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tarter_Code\"/>
    </mc:Choice>
  </mc:AlternateContent>
  <xr:revisionPtr revIDLastSave="0" documentId="13_ncr:1_{E2B44D97-7182-4B19-AF60-4BA50DC3B8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Outcome_by_Category" sheetId="2" r:id="rId2"/>
    <sheet name="Outcome_by_Sub-Category" sheetId="3" r:id="rId3"/>
    <sheet name="Launch_Date_Outcome" sheetId="4" r:id="rId4"/>
    <sheet name="Crowdfunding_Goal_Analysis" sheetId="5" r:id="rId5"/>
    <sheet name="Statistical_Analysis" sheetId="6" r:id="rId6"/>
  </sheets>
  <definedNames>
    <definedName name="_xlnm._FilterDatabase" localSheetId="0" hidden="1">Crowdfunding!$G$1:$G$1001</definedName>
    <definedName name="backers_count_failed">Statistical_Analysis!$F$2:$F$365</definedName>
    <definedName name="backers_count_successful">Statistical_Analysis!$B$2:$B$566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H2" i="6" l="1"/>
  <c r="D2" i="6"/>
  <c r="H7" i="6"/>
  <c r="H6" i="6"/>
  <c r="H5" i="6"/>
  <c r="H4" i="6"/>
  <c r="H3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F998" i="1"/>
  <c r="F999" i="1"/>
  <c r="F1000" i="1"/>
  <c r="F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4" i="1"/>
  <c r="F3" i="1"/>
  <c r="F2" i="1"/>
  <c r="F2" i="5" l="1"/>
  <c r="F13" i="5"/>
  <c r="G5" i="5"/>
  <c r="E2" i="5"/>
  <c r="G2" i="5" s="1"/>
  <c r="E13" i="5"/>
  <c r="H13" i="5" s="1"/>
  <c r="E12" i="5"/>
  <c r="F12" i="5" s="1"/>
  <c r="E11" i="5"/>
  <c r="H11" i="5" s="1"/>
  <c r="E10" i="5"/>
  <c r="H10" i="5" s="1"/>
  <c r="E9" i="5"/>
  <c r="F9" i="5" s="1"/>
  <c r="E6" i="5"/>
  <c r="F6" i="5" s="1"/>
  <c r="E8" i="5"/>
  <c r="F8" i="5" s="1"/>
  <c r="E7" i="5"/>
  <c r="H7" i="5" s="1"/>
  <c r="E5" i="5"/>
  <c r="F5" i="5" s="1"/>
  <c r="E4" i="5"/>
  <c r="F4" i="5" s="1"/>
  <c r="E3" i="5"/>
  <c r="G3" i="5" s="1"/>
  <c r="F3" i="5" l="1"/>
  <c r="H5" i="5"/>
  <c r="G12" i="5"/>
  <c r="G9" i="5"/>
  <c r="F11" i="5"/>
  <c r="H12" i="5"/>
  <c r="H3" i="5"/>
  <c r="H2" i="5"/>
  <c r="F10" i="5"/>
  <c r="G8" i="5"/>
  <c r="G13" i="5"/>
  <c r="H9" i="5"/>
  <c r="G10" i="5"/>
  <c r="G11" i="5"/>
  <c r="G7" i="5"/>
  <c r="H4" i="5"/>
  <c r="F7" i="5"/>
  <c r="G4" i="5"/>
  <c r="H8" i="5"/>
  <c r="G6" i="5"/>
  <c r="H6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<sst xmlns="http://schemas.openxmlformats.org/spreadsheetml/2006/main" count="7068" uniqueCount="2114">
  <si>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</si>
  <si>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</si>
  <si>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</si>
  <si>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</si>
  <si>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</si>
  <si>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</si>
  <si>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</si>
  <si>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</si>
  <si>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</si>
  <si>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</si>
  <si>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</si>
  <si>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</si>
  <si>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</si>
  <si>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</si>
  <si>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</si>
  <si>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</si>
  <si>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</si>
  <si>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</si>
  <si>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</si>
  <si>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</si>
  <si>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</si>
  <si>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</si>
  <si>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</si>
  <si>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</si>
  <si>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</si>
  <si>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</si>
  <si>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</si>
  <si>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</si>
  <si>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</si>
  <si>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</si>
  <si>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</si>
  <si>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</si>
  <si>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</si>
  <si>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</si>
  <si>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</si>
  <si>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</si>
  <si>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</si>
  <si>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</si>
  <si>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</si>
  <si>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</si>
  <si>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</si>
  <si>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</si>
  <si>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</si>
  <si>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</si>
  <si>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</si>
  <si>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</si>
  <si>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</si>
  <si>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</si>
  <si>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</si>
  <si>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</si>
  <si>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</si>
  <si>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</si>
  <si>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</si>
  <si>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</si>
  <si>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</si>
  <si>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</si>
  <si>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</si>
  <si>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</si>
  <si>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</si>
  <si>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</si>
  <si>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</si>
  <si>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</si>
  <si>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</si>
  <si>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</si>
  <si>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</si>
  <si>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</si>
  <si>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</si>
  <si>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</si>
  <si>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</si>
  <si>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</si>
  <si>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</si>
  <si>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</si>
  <si>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</si>
  <si>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</si>
  <si>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</si>
  <si>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</si>
  <si>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</si>
  <si>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</si>
  <si>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</si>
  <si>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</si>
  <si>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</si>
  <si>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</si>
  <si>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</si>
  <si>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</si>
  <si>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</si>
  <si>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</si>
  <si>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</si>
  <si>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</si>
  <si>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</si>
  <si>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</si>
  <si>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</si>
  <si>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</si>
  <si>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</si>
  <si>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</si>
  <si>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</si>
  <si>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</si>
  <si>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</si>
  <si>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</si>
  <si>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</si>
  <si>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</si>
  <si>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</si>
  <si>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</si>
  <si>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</si>
  <si>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</si>
  <si>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</si>
  <si>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</si>
  <si>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</si>
  <si>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</si>
  <si>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</si>
  <si>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</si>
  <si>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</si>
  <si>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</si>
  <si>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</si>
  <si>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</si>
  <si>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</si>
  <si>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</si>
  <si>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</si>
  <si>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</si>
  <si>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</si>
  <si>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</si>
  <si>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</si>
  <si>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</si>
  <si>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</si>
  <si>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</si>
  <si>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</si>
  <si>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</si>
  <si>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</si>
  <si>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</si>
  <si>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</si>
  <si>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</si>
  <si>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</si>
  <si>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</si>
  <si>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</si>
  <si>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</si>
  <si>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</si>
  <si>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</si>
  <si>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</si>
  <si>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</si>
  <si>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</si>
  <si>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</si>
  <si>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</si>
  <si>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</si>
  <si>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</si>
  <si>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</si>
  <si>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</si>
  <si>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</si>
  <si>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</si>
  <si>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</si>
  <si>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</si>
  <si>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</si>
  <si>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</si>
  <si>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</si>
  <si>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</si>
  <si>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</si>
  <si>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</si>
  <si>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</si>
  <si>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</si>
  <si>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</si>
  <si>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</si>
  <si>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</si>
  <si>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</si>
  <si>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</si>
  <si>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</si>
  <si>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</si>
  <si>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</si>
  <si>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</si>
  <si>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</si>
  <si>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</si>
  <si>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</si>
  <si>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</si>
  <si>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</si>
  <si>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</si>
  <si>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</si>
  <si>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</si>
  <si>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</si>
  <si>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</si>
  <si>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</si>
  <si>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</si>
  <si>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</si>
  <si>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</si>
  <si>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</si>
  <si>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</si>
  <si>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</si>
  <si>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</si>
  <si>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</si>
  <si>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</si>
  <si>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</si>
  <si>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</si>
  <si>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</si>
  <si>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</si>
  <si>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</si>
  <si>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</si>
  <si>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</si>
  <si>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</si>
  <si>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</si>
  <si>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</si>
  <si>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</si>
  <si>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</si>
  <si>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</si>
  <si>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</si>
  <si>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</si>
  <si>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</si>
  <si>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</si>
  <si>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</si>
  <si>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</si>
  <si>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</si>
  <si>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</si>
  <si>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</si>
  <si>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</si>
  <si>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</si>
  <si>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</si>
  <si>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</si>
  <si>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</si>
  <si>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</si>
  <si>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</si>
  <si>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</si>
  <si>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</si>
  <si>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</si>
  <si>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</si>
  <si>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</si>
  <si>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</si>
  <si>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</si>
  <si>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</si>
  <si>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</si>
  <si>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</si>
  <si>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</si>
  <si>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</si>
  <si>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</si>
  <si>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</si>
  <si>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</si>
  <si>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</si>
  <si>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</si>
  <si>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</si>
  <si>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</si>
  <si>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</si>
  <si>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</si>
  <si>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</si>
  <si>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</si>
  <si>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</si>
  <si>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</si>
  <si>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</si>
  <si>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</si>
  <si>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</si>
  <si>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</si>
  <si>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</si>
  <si>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</si>
  <si>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</si>
  <si>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</si>
  <si>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</si>
  <si>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</si>
  <si>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</si>
  <si>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</si>
  <si>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</si>
  <si>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</si>
  <si>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</si>
  <si>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</si>
  <si>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</si>
  <si>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</si>
  <si>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</si>
  <si>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</si>
  <si>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</si>
  <si>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</si>
  <si>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</si>
  <si>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</si>
  <si>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</si>
  <si>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</si>
  <si>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</si>
  <si>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</si>
  <si>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</si>
  <si>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</si>
  <si>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</si>
  <si>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</si>
  <si>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</si>
  <si>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</si>
  <si>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</si>
  <si>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</si>
  <si>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</si>
  <si>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</si>
  <si>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</si>
  <si>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</si>
  <si>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</si>
  <si>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</si>
  <si>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</si>
  <si>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</si>
  <si>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</si>
  <si>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</si>
  <si>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</si>
  <si>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</si>
  <si>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</si>
  <si>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</si>
  <si>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</si>
  <si>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</si>
  <si>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</si>
  <si>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</si>
  <si>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</si>
  <si>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</si>
  <si>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</si>
  <si>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</si>
  <si>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</si>
  <si>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</si>
  <si>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</si>
  <si>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</si>
  <si>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</si>
  <si>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</si>
  <si>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</si>
  <si>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</si>
  <si>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</si>
  <si>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</si>
  <si>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</si>
  <si>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</si>
  <si>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</si>
  <si>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</si>
  <si>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</si>
  <si>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</si>
  <si>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</si>
  <si>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</si>
  <si>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</si>
  <si>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</si>
  <si>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</si>
  <si>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</si>
  <si>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</si>
  <si>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</si>
  <si>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</si>
  <si>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</si>
  <si>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</si>
  <si>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</si>
  <si>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</si>
  <si>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</si>
  <si>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</si>
  <si>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</si>
  <si>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</si>
  <si>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</si>
  <si>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</si>
  <si>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</si>
  <si>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</si>
  <si>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</si>
  <si>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</si>
  <si>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</si>
  <si>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</si>
  <si>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</si>
  <si>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</si>
  <si>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</si>
  <si>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</si>
  <si>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</si>
  <si>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</si>
  <si>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</si>
  <si>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</si>
  <si>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</si>
  <si>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</si>
  <si>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</si>
  <si>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</si>
  <si>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</si>
  <si>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</si>
  <si>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</si>
  <si>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</si>
  <si>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</si>
  <si>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</si>
  <si>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</si>
  <si>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</si>
  <si>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</si>
  <si>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</si>
  <si>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</si>
  <si>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</si>
  <si>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</si>
  <si>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</si>
  <si>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</si>
  <si>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</si>
  <si>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</si>
  <si>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</si>
  <si>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</si>
  <si>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</si>
  <si>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</si>
  <si>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</si>
  <si>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</si>
  <si>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</si>
  <si>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</si>
  <si>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</si>
  <si>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</si>
  <si>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</si>
  <si>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</si>
  <si>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</si>
  <si>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</si>
  <si>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</si>
  <si>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</si>
  <si>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</si>
  <si>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</si>
  <si>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</si>
  <si>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</si>
  <si>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</si>
  <si>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</si>
  <si>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</si>
  <si>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</si>
  <si>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</si>
  <si>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</si>
  <si>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</si>
  <si>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</si>
  <si>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</si>
  <si>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</si>
  <si>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</si>
  <si>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</si>
  <si>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</si>
  <si>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</si>
  <si>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</si>
  <si>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</si>
  <si>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</si>
  <si>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</si>
  <si>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</si>
  <si>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</si>
  <si>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</si>
  <si>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</si>
  <si>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</si>
  <si>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</si>
  <si>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</si>
  <si>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</si>
  <si>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</si>
  <si>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</si>
  <si>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</si>
  <si>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</si>
  <si>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</si>
  <si>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</si>
  <si>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</si>
  <si>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</si>
  <si>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</si>
  <si>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</si>
  <si>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</si>
  <si>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</si>
  <si>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</si>
  <si>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</si>
  <si>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</si>
  <si>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</si>
  <si>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</si>
  <si>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</si>
  <si>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</si>
  <si>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</si>
  <si>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</si>
  <si>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</si>
  <si>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</si>
  <si>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</si>
  <si>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</si>
  <si>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</si>
  <si>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</si>
  <si>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</si>
  <si>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</si>
  <si>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</si>
  <si>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</si>
  <si>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</si>
  <si>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</si>
  <si>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</si>
  <si>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</si>
  <si>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</si>
  <si>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</si>
  <si>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</si>
  <si>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</si>
  <si>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</si>
  <si>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</si>
  <si>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</si>
  <si>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</si>
  <si>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</si>
  <si>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</si>
  <si>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</si>
  <si>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</si>
  <si>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</si>
  <si>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</si>
  <si>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</si>
  <si>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</si>
  <si>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</si>
  <si>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</si>
  <si>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</si>
  <si>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</si>
  <si>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</si>
  <si>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</si>
  <si>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</si>
  <si>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</si>
  <si>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</si>
  <si>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</si>
  <si>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</si>
  <si>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</si>
  <si>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</si>
  <si>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</si>
  <si>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</si>
  <si>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</si>
  <si>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</si>
  <si>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</si>
  <si>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</si>
  <si>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</si>
  <si>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</si>
  <si>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</si>
  <si>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</si>
  <si>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</si>
  <si>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</si>
  <si>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</si>
  <si>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</si>
  <si>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</si>
  <si>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</si>
  <si>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</si>
  <si>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</si>
  <si>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</si>
  <si>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</si>
  <si>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</si>
  <si>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</si>
  <si>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</si>
  <si>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</si>
  <si>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</si>
  <si>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</si>
  <si>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</si>
  <si>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</si>
  <si>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</si>
  <si>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</si>
  <si>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</si>
  <si>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</si>
  <si>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</si>
  <si>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</si>
  <si>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</si>
  <si>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</si>
  <si>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</si>
  <si>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</si>
  <si>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</si>
  <si>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</si>
  <si>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</si>
  <si>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</si>
  <si>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</si>
  <si>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</si>
  <si>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</si>
  <si>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</si>
  <si>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</si>
  <si>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</si>
  <si>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</si>
  <si>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</si>
  <si>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</si>
  <si>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</si>
  <si>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</si>
  <si>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</si>
  <si>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</si>
  <si>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</si>
  <si>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</si>
  <si>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</si>
  <si>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</si>
  <si>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</si>
  <si>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</si>
  <si>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</si>
  <si>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</si>
  <si>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</si>
  <si>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</si>
  <si>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</si>
  <si>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</si>
  <si>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</si>
  <si>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</si>
  <si>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</si>
  <si>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</si>
  <si>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</si>
  <si>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</si>
  <si>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</si>
  <si>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</si>
  <si>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</si>
  <si>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</si>
  <si>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</si>
  <si>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</si>
  <si>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</si>
  <si>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</si>
  <si>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</si>
  <si>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</si>
  <si>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</si>
  <si>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</si>
  <si>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</si>
  <si>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</si>
  <si>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</si>
  <si>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</si>
  <si>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</si>
  <si>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</si>
  <si>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</si>
  <si>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</si>
  <si>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</si>
  <si>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</si>
  <si>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</si>
  <si>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</si>
  <si>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</si>
  <si>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</si>
  <si>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</si>
  <si>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</si>
  <si>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</si>
  <si>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</si>
  <si>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</si>
  <si>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</si>
  <si>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</si>
  <si>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</si>
  <si>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</si>
  <si>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</si>
  <si>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</si>
  <si>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</si>
  <si>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</si>
  <si>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</si>
  <si>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</si>
  <si>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</si>
  <si>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</si>
  <si>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</si>
  <si>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</si>
  <si>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</si>
  <si>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</si>
  <si>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</si>
  <si>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</si>
  <si>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</si>
  <si>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</si>
  <si>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</si>
  <si>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</si>
  <si>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</si>
  <si>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</si>
  <si>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</si>
  <si>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</si>
  <si>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</si>
  <si>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</si>
  <si>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</si>
  <si>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</si>
  <si>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</si>
  <si>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</si>
  <si>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</si>
  <si>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</si>
  <si>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</si>
  <si>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</si>
  <si>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</si>
  <si>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</si>
  <si>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</si>
  <si>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</si>
  <si>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</si>
  <si>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</si>
  <si>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</si>
  <si>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</si>
  <si>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</si>
  <si>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</si>
  <si>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</si>
  <si>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</si>
  <si>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</si>
  <si>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</si>
  <si>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</si>
  <si>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</si>
  <si>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</si>
  <si>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</si>
  <si>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</si>
  <si>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</si>
  <si>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</si>
  <si>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</si>
  <si>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</si>
  <si>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</si>
  <si>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</si>
  <si>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</si>
  <si>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</si>
  <si>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</si>
  <si>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</si>
  <si>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</si>
  <si>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</si>
  <si>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</si>
  <si>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</si>
  <si>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</si>
  <si>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</si>
  <si>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</si>
  <si>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</si>
  <si>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</si>
  <si>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</si>
  <si>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</si>
  <si>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</si>
  <si>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</si>
  <si>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</si>
  <si>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</si>
  <si>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</si>
  <si>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</si>
  <si>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</si>
  <si>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</si>
  <si>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</si>
  <si>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</si>
  <si>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</si>
  <si>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</si>
  <si>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</si>
  <si>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</si>
  <si>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</si>
  <si>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</si>
  <si>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</si>
  <si>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</si>
  <si>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</si>
  <si>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</si>
  <si>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</si>
  <si>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</si>
  <si>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</si>
  <si>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</si>
  <si>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</si>
  <si>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</si>
  <si>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</si>
  <si>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</si>
  <si>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</si>
  <si>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</si>
  <si>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</si>
  <si>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</si>
  <si>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</si>
  <si>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</si>
  <si>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</si>
  <si>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</si>
  <si>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</si>
  <si>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</si>
  <si>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</si>
  <si>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</si>
  <si>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</si>
  <si>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</si>
  <si>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</si>
  <si>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</si>
  <si>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</si>
  <si>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</si>
  <si>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</si>
  <si>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</si>
  <si>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</si>
  <si>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</si>
  <si>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</si>
  <si>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</si>
  <si>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</si>
  <si>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</si>
  <si>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</si>
  <si>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</si>
  <si>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</si>
  <si>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</si>
  <si>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</si>
  <si>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</si>
  <si>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</si>
  <si>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</si>
  <si>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</si>
  <si>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</si>
  <si>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</si>
  <si>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</si>
  <si>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</si>
  <si>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</si>
  <si>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</si>
  <si>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</si>
  <si>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</si>
  <si>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</si>
  <si>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</si>
  <si>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</si>
  <si>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</si>
  <si>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</si>
  <si>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</si>
  <si>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</si>
  <si>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</si>
  <si>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</si>
  <si>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</si>
  <si>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</si>
  <si>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</si>
  <si>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</si>
  <si>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</si>
  <si>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</si>
  <si>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</si>
  <si>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</si>
  <si>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</si>
  <si>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</si>
  <si>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</si>
  <si>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</si>
  <si>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</si>
  <si>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</si>
  <si>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</si>
  <si>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</si>
  <si>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</si>
  <si>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</si>
  <si>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</si>
  <si>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</si>
  <si>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</si>
  <si>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</si>
  <si>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</si>
  <si>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</si>
  <si>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</si>
  <si>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</si>
  <si>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</si>
  <si>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</si>
  <si>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</si>
  <si>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</si>
  <si>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</si>
  <si>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</si>
  <si>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</si>
  <si>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</si>
  <si>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</si>
  <si>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</si>
  <si>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</si>
  <si>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</si>
  <si>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</si>
  <si>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</si>
  <si>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</si>
  <si>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</si>
  <si>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</si>
  <si>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</si>
  <si>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</si>
  <si>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</si>
  <si>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</si>
  <si>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</si>
  <si>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</si>
  <si>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</si>
  <si>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</si>
  <si>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</si>
  <si>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</si>
  <si>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</si>
  <si>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</si>
  <si>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</si>
  <si>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</si>
  <si>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</si>
  <si>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</si>
  <si>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</si>
  <si>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</si>
  <si>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</si>
  <si>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</si>
  <si>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</si>
  <si>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</si>
  <si>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</si>
  <si>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</si>
  <si>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</si>
  <si>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</si>
  <si>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</si>
  <si>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</si>
  <si>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</si>
  <si>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</si>
  <si>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</si>
  <si>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</si>
  <si>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</si>
  <si>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</si>
  <si>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</si>
  <si>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</si>
  <si>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</si>
  <si>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</si>
  <si>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</si>
  <si>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</si>
  <si>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</si>
  <si>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</si>
  <si>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</si>
  <si>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</si>
  <si>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</si>
  <si>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</si>
  <si>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</si>
  <si>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</si>
  <si>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</si>
  <si>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</si>
  <si>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</si>
  <si>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</si>
  <si>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</si>
  <si>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</si>
  <si>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</si>
  <si>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</si>
  <si>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</si>
  <si>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</si>
  <si>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</si>
  <si>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</si>
  <si>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</si>
  <si>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</si>
  <si>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</si>
  <si>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</si>
  <si>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</si>
  <si>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</si>
  <si>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</si>
  <si>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</si>
  <si>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</si>
  <si>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</si>
  <si>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</si>
  <si>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</si>
  <si>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</si>
  <si>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</si>
  <si>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</si>
  <si>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</si>
  <si>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</si>
  <si>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</si>
  <si>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</si>
  <si>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</si>
  <si>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</si>
  <si>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</si>
  <si>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</si>
  <si>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</si>
  <si>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</si>
  <si>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</si>
  <si>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</si>
  <si>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</si>
  <si>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</si>
  <si>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</si>
  <si>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</si>
  <si>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</si>
  <si>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</si>
  <si>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</si>
  <si>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</si>
  <si>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</si>
  <si>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</si>
  <si>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</si>
  <si>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</si>
  <si>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</si>
  <si>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</si>
  <si>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</si>
  <si>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</si>
  <si>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</si>
  <si>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</si>
  <si>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</si>
  <si>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</si>
  <si>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</si>
  <si>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</si>
  <si>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</si>
  <si>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</si>
  <si>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</si>
  <si>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</si>
  <si>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</si>
  <si>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</si>
  <si>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</si>
  <si>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</si>
  <si>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</si>
  <si>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</si>
  <si>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</si>
  <si>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</si>
  <si>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</si>
  <si>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</si>
  <si>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</si>
  <si>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</si>
  <si>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</si>
  <si>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</si>
  <si>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</si>
  <si>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</si>
  <si>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</si>
  <si>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</si>
  <si>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</si>
  <si>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</si>
  <si>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</si>
  <si>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</si>
  <si>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</si>
  <si>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</si>
  <si>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</si>
  <si>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</si>
  <si>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</si>
  <si>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</si>
  <si>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</si>
  <si>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</si>
  <si>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</si>
  <si>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</si>
  <si>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</si>
  <si>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</si>
  <si>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</si>
  <si>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</si>
  <si>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</si>
  <si>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</si>
  <si>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</si>
  <si>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</si>
  <si>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</si>
  <si>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</si>
  <si>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</si>
  <si>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</si>
  <si>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</si>
  <si>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</si>
  <si>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</si>
  <si>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</si>
  <si>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</si>
  <si>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</si>
  <si>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</si>
  <si>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</si>
  <si>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</si>
  <si>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</si>
  <si>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</si>
  <si>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</si>
  <si>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</si>
  <si>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</si>
  <si>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</si>
  <si>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</si>
  <si>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</si>
  <si>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</si>
  <si>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</si>
  <si>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</si>
  <si>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</si>
  <si>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</si>
  <si>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</si>
  <si>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</si>
  <si>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</si>
  <si>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</si>
  <si>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</si>
  <si>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</si>
  <si>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</si>
  <si>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</si>
  <si>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</si>
  <si>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</si>
  <si>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</si>
  <si>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</si>
  <si>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</si>
  <si>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</si>
  <si>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</si>
  <si>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</si>
  <si>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</si>
  <si>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</si>
  <si>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</si>
  <si>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</si>
  <si>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</si>
  <si>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</si>
  <si>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</si>
  <si>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</si>
  <si>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</si>
  <si>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</si>
  <si>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</si>
  <si>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</si>
  <si>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</si>
  <si>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</si>
  <si>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</si>
  <si>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</si>
  <si>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</si>
  <si>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</si>
  <si>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</si>
  <si>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</si>
  <si>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</si>
  <si>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</si>
  <si>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</si>
  <si>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</si>
  <si>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</si>
  <si>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</si>
  <si>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</si>
  <si>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</si>
  <si>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</si>
  <si>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</si>
  <si>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</si>
  <si>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</si>
  <si>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</si>
  <si>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</si>
  <si>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</si>
  <si>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</si>
  <si>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</si>
  <si>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</si>
  <si>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</si>
  <si>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</si>
  <si>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</si>
  <si>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</si>
  <si>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</si>
  <si>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</si>
  <si>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</si>
  <si>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</si>
  <si>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</si>
  <si>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</si>
  <si>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</si>
  <si>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</si>
  <si>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</si>
  <si>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</si>
  <si>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</si>
  <si>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</si>
  <si>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</si>
  <si>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</si>
  <si>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</si>
  <si>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</si>
  <si>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</si>
  <si>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</si>
  <si>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</si>
  <si>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</si>
  <si>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</si>
  <si>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</si>
  <si>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</si>
  <si>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</si>
  <si>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</si>
  <si>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</si>
  <si>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</si>
  <si>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</si>
  <si>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</si>
  <si>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</si>
  <si>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</si>
  <si>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</si>
  <si>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</si>
  <si>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</si>
  <si>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</si>
  <si>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</si>
  <si>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</si>
  <si>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</si>
  <si>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</si>
  <si>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</si>
  <si>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</si>
  <si>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</si>
  <si>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</si>
  <si>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</si>
  <si>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</si>
  <si>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</si>
  <si>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</si>
  <si>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</si>
  <si>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</si>
  <si>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</si>
  <si>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</si>
  <si>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</si>
  <si>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</si>
  <si>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</si>
  <si>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</si>
  <si>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</si>
  <si>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</si>
  <si>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</si>
  <si>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</si>
  <si>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</si>
  <si>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</si>
  <si>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</si>
  <si>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</si>
  <si>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</si>
  <si>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</si>
  <si>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</si>
  <si>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</si>
  <si>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</si>
  <si>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</si>
  <si>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</si>
  <si>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</si>
  <si>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</si>
  <si>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</si>
  <si>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</si>
  <si>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</si>
  <si>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</si>
  <si>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</si>
  <si>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</si>
  <si>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</si>
  <si>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</si>
  <si>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</si>
  <si>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</si>
  <si>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</si>
  <si>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</si>
  <si>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</si>
  <si>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</si>
  <si>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</si>
  <si>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</si>
  <si>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</si>
  <si>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</si>
  <si>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</si>
  <si>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</si>
  <si>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</si>
  <si>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</si>
  <si>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</si>
  <si>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</si>
  <si>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</si>
  <si>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</si>
  <si>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</si>
  <si>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</si>
  <si>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</si>
  <si>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</si>
  <si>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</si>
  <si>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</si>
  <si>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</si>
  <si>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</si>
  <si>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</si>
  <si>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</si>
  <si>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</si>
  <si>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</si>
  <si>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</si>
  <si>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</si>
  <si>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</si>
  <si>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</si>
  <si>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</si>
  <si>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</si>
  <si>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</si>
  <si>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</si>
  <si>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</si>
  <si>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</si>
  <si>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</si>
  <si>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</si>
  <si>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</si>
  <si>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</si>
  <si>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</si>
  <si>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</si>
  <si>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</si>
  <si>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</si>
  <si>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</si>
  <si>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</si>
  <si>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</si>
  <si>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</si>
  <si>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</si>
  <si>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</si>
  <si>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</si>
  <si>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</si>
  <si>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</si>
  <si>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</si>
  <si>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</si>
  <si>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</si>
  <si>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</si>
  <si>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</si>
  <si>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</si>
  <si>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</si>
  <si>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</si>
  <si>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</si>
  <si>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</si>
  <si>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</si>
  <si>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</si>
  <si>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</si>
  <si>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</si>
  <si>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</si>
  <si>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</si>
  <si>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</si>
  <si>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</si>
  <si>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</si>
  <si>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</si>
  <si>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</si>
  <si>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</si>
  <si>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</si>
  <si>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</si>
  <si>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</si>
  <si>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</si>
  <si>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</si>
  <si>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</si>
  <si>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</si>
  <si>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</si>
  <si>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</si>
  <si>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</si>
  <si>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</si>
  <si>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</si>
  <si>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</si>
  <si>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</si>
  <si>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</si>
  <si>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</si>
  <si>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</si>
  <si>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</si>
  <si>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</si>
  <si>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</si>
  <si>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</si>
  <si>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</si>
  <si>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</si>
  <si>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</si>
  <si>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</si>
  <si>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</si>
  <si>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</si>
  <si>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</si>
  <si>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</si>
  <si>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</si>
  <si>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</si>
  <si>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</si>
  <si>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</si>
  <si>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</si>
  <si>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</si>
  <si>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</si>
  <si>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</si>
  <si>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</si>
  <si>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</si>
  <si>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</si>
  <si>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</si>
  <si>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</si>
  <si>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</si>
  <si>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</si>
  <si>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</si>
  <si>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</si>
  <si>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</si>
  <si>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</si>
  <si>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</si>
  <si>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</si>
  <si>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</si>
  <si>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</si>
  <si>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</si>
  <si>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</si>
  <si>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</si>
  <si>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</si>
  <si>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</si>
  <si>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</si>
  <si>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</si>
  <si>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</si>
  <si>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</si>
  <si>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</si>
  <si>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</si>
  <si>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</si>
  <si>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</si>
  <si>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</si>
  <si>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</si>
  <si>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</si>
  <si>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</si>
  <si>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</si>
  <si>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</si>
  <si>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</si>
  <si>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</si>
  <si>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</si>
  <si>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</si>
  <si>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</si>
  <si>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</si>
  <si>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</si>
  <si>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</si>
  <si>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</si>
  <si>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</si>
  <si>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</si>
  <si>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</si>
  <si>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</si>
  <si>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</si>
  <si>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</si>
  <si>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</si>
  <si>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</si>
  <si>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</si>
  <si>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</si>
  <si>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</si>
  <si>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</si>
  <si>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</si>
  <si>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</si>
  <si>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</si>
  <si>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</si>
  <si>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</si>
  <si>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</si>
  <si>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</si>
  <si>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</si>
  <si>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</si>
  <si>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</si>
  <si>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</si>
  <si>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</si>
  <si>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</si>
  <si>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</si>
  <si>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</si>
  <si>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</si>
  <si>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</si>
  <si>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</si>
  <si>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</si>
  <si>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</si>
  <si>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</si>
  <si>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</si>
  <si>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</si>
  <si>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</si>
  <si>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</si>
  <si>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</si>
  <si>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</si>
  <si>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</si>
  <si>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</si>
  <si>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</si>
  <si>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</si>
  <si>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</si>
  <si>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</si>
  <si>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</si>
  <si>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</si>
  <si>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</si>
  <si>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</si>
  <si>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</si>
  <si>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</si>
  <si>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</si>
  <si>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</si>
  <si>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</si>
  <si>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</si>
  <si>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</si>
  <si>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</si>
  <si>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</si>
  <si>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</si>
  <si>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</si>
  <si>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</si>
  <si>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</si>
  <si>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</si>
  <si>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</si>
  <si>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</si>
  <si>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</si>
  <si>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</si>
  <si>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</si>
  <si>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</si>
  <si>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</si>
  <si>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</si>
  <si>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</si>
  <si>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</si>
  <si>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</si>
  <si>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</si>
  <si>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</si>
  <si>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</si>
  <si>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</si>
  <si>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</si>
  <si>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</si>
  <si>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</si>
  <si>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</si>
  <si>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</si>
  <si>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</si>
  <si>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</si>
  <si>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</si>
  <si>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</si>
  <si>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</si>
  <si>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</si>
  <si>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</si>
  <si>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</si>
  <si>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</si>
  <si>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</si>
  <si>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</si>
  <si>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</si>
  <si>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</si>
  <si>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</si>
  <si>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</si>
  <si>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</si>
  <si>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</si>
  <si>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</si>
  <si>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</si>
  <si>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</si>
  <si>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</si>
  <si>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</si>
  <si>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</si>
  <si>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</si>
  <si>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</si>
  <si>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</si>
  <si>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</si>
  <si>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</si>
  <si>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</si>
  <si>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</si>
  <si>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</si>
  <si>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</si>
  <si>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</si>
  <si>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</si>
  <si>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</si>
  <si>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</si>
  <si>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</si>
  <si>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</si>
  <si>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</si>
  <si>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</si>
  <si>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</si>
  <si>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</si>
  <si>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</si>
  <si>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</si>
  <si>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</si>
  <si>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</si>
  <si>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</si>
  <si>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</si>
  <si>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</si>
  <si>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</si>
  <si>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</si>
  <si>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</si>
  <si>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</si>
  <si>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</si>
  <si>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</si>
  <si>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</si>
  <si>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</si>
  <si>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</si>
  <si>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</si>
  <si>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</si>
  <si>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</si>
  <si>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</si>
  <si>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</si>
  <si>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</si>
  <si>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</si>
  <si>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</si>
  <si>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</si>
  <si>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</si>
  <si>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</si>
  <si>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</si>
  <si>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</si>
  <si>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</si>
  <si>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</si>
  <si>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</si>
  <si>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</si>
  <si>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</si>
  <si>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</si>
  <si>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</si>
  <si>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</si>
  <si>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</si>
  <si>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</si>
  <si>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</si>
  <si>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</si>
  <si>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</si>
  <si>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</si>
  <si>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</si>
  <si>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</si>
  <si>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</si>
  <si>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</si>
  <si>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</si>
  <si>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</si>
  <si>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</si>
  <si>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</si>
  <si>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</si>
  <si>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</si>
  <si>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</si>
  <si>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</si>
  <si>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</si>
  <si>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</si>
  <si>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</si>
  <si>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</si>
  <si>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</si>
  <si>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</si>
  <si>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</si>
  <si>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</si>
  <si>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</si>
  <si>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</si>
  <si>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</si>
  <si>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</si>
  <si>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</si>
  <si>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</si>
  <si>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</si>
  <si>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</si>
  <si>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</si>
  <si>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</si>
  <si>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</si>
  <si>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</si>
  <si>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</si>
  <si>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</si>
  <si>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</si>
  <si>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</si>
  <si>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</si>
  <si>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</si>
  <si>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</si>
  <si>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</si>
  <si>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</si>
  <si>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</si>
  <si>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</si>
  <si>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</si>
  <si>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</si>
  <si>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</si>
  <si>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</si>
  <si>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</si>
  <si>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</si>
  <si>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</si>
  <si>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</si>
  <si>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</si>
  <si>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</si>
  <si>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</si>
  <si>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</si>
  <si>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</si>
  <si>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</si>
  <si>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</si>
  <si>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</si>
  <si>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</si>
  <si>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</si>
  <si>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</si>
  <si>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</si>
  <si>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</si>
  <si>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</si>
  <si>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</si>
  <si>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</si>
  <si>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</si>
  <si>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</si>
  <si>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</si>
  <si>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</si>
  <si>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</si>
  <si>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</si>
  <si>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</si>
  <si>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</si>
  <si>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</si>
  <si>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</si>
  <si>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</si>
  <si>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</si>
  <si>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</si>
  <si>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</si>
  <si>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</si>
  <si>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</si>
  <si>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</si>
  <si>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</si>
  <si>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</si>
  <si>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</si>
  <si>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</si>
  <si>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</si>
  <si>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</si>
  <si>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</si>
  <si>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</si>
  <si>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</si>
  <si>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</si>
  <si>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</si>
  <si>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</si>
  <si>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</si>
  <si>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</si>
  <si>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</si>
  <si>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</si>
  <si>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</si>
  <si>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</si>
  <si>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</si>
  <si>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</si>
  <si>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</si>
  <si>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</si>
  <si>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</si>
  <si>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</si>
  <si>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</si>
  <si>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</si>
  <si>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</si>
  <si>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</si>
  <si>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</si>
  <si>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</si>
  <si>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</si>
  <si>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</si>
  <si>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</si>
  <si>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</si>
  <si>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</si>
  <si>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</si>
  <si>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</si>
  <si>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</si>
  <si>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</si>
  <si>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</si>
  <si>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</si>
  <si>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</si>
  <si>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</si>
  <si>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</si>
  <si>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</si>
  <si>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</si>
  <si>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</si>
  <si>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</si>
  <si>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</si>
  <si>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</si>
  <si>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</si>
  <si>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</si>
  <si>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</si>
  <si>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</si>
  <si>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</si>
  <si>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</si>
  <si>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</si>
  <si>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</si>
  <si>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</si>
  <si>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</si>
  <si>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</si>
  <si>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</si>
  <si>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</si>
  <si>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</si>
  <si>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</si>
  <si>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</si>
  <si>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</si>
  <si>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</si>
  <si>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</si>
  <si>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</si>
  <si>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</si>
  <si>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</si>
  <si>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</si>
  <si>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</si>
  <si>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</si>
  <si>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</si>
  <si>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</si>
  <si>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</si>
  <si>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</si>
  <si>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</si>
  <si>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</si>
  <si>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</si>
  <si>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</si>
  <si>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</si>
  <si>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</si>
  <si>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</si>
  <si>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</si>
  <si>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</si>
  <si>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</si>
  <si>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</si>
  <si>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</si>
  <si>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</si>
  <si>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</si>
  <si>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</si>
  <si>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</si>
  <si>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</si>
  <si>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</si>
  <si>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</si>
  <si>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</si>
  <si>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</si>
  <si>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</si>
  <si>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</si>
  <si>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</si>
  <si>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</si>
  <si>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</si>
  <si>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</si>
  <si>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</si>
  <si>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</si>
  <si>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</si>
  <si>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</si>
  <si>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</si>
  <si>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</si>
  <si>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</si>
  <si>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</si>
  <si>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</si>
  <si>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</si>
  <si>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</si>
  <si>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</si>
  <si>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</si>
  <si>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</si>
  <si>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</si>
  <si>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</si>
  <si>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</si>
  <si>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</si>
  <si>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</si>
  <si>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</si>
  <si>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</si>
  <si>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</si>
  <si>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</si>
  <si>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</si>
  <si>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</si>
  <si>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</si>
  <si>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</si>
  <si>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</si>
  <si>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</si>
  <si>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</si>
  <si>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</si>
  <si>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</si>
  <si>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</si>
  <si>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</si>
  <si>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</si>
  <si>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</si>
  <si>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</si>
  <si>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</si>
  <si>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</si>
  <si>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</si>
  <si>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</si>
  <si>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</si>
  <si>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</si>
  <si>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</si>
  <si>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</si>
  <si>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</si>
  <si>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</si>
  <si>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</si>
  <si>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</si>
  <si>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</si>
  <si>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</si>
  <si>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</si>
  <si>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</si>
  <si>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</si>
  <si>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</si>
  <si>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</si>
  <si>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</si>
  <si>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</si>
  <si>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</si>
  <si>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</si>
  <si>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</si>
  <si>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</si>
  <si>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</si>
  <si>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</si>
  <si>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</si>
  <si>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</si>
  <si>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</si>
  <si>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</si>
  <si>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</si>
  <si>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</si>
  <si>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</si>
  <si>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</si>
  <si>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</si>
  <si>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</si>
  <si>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</si>
  <si>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</si>
  <si>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</si>
  <si>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</si>
  <si>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</si>
  <si>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</si>
  <si>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</si>
  <si>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</si>
  <si>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</si>
  <si>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</si>
  <si>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</si>
  <si>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</si>
  <si>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</si>
  <si>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</si>
  <si>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</si>
  <si>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</si>
  <si>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</si>
  <si>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</si>
  <si>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</si>
  <si>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</si>
  <si>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</si>
  <si>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</si>
  <si>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</si>
  <si>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</si>
  <si>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</si>
  <si>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</si>
  <si>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</si>
  <si>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</si>
  <si>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</si>
  <si>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</si>
  <si>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</si>
  <si>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</si>
  <si>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</si>
  <si>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</si>
  <si>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</si>
  <si>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</si>
  <si>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</si>
  <si>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</si>
  <si>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</si>
  <si>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</si>
  <si>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</si>
  <si>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</si>
  <si>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</si>
  <si>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</si>
  <si>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</si>
  <si>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</si>
  <si>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</si>
  <si>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</si>
  <si>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</si>
  <si>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</si>
  <si>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</si>
  <si>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</si>
  <si>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</si>
  <si>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</si>
  <si>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</si>
  <si>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</si>
  <si>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</si>
  <si>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</si>
  <si>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</si>
  <si>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</si>
  <si>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</si>
  <si>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</si>
  <si>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</si>
  <si>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</si>
  <si>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</si>
  <si>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</si>
  <si>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</si>
  <si>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</si>
  <si>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</si>
  <si>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</si>
  <si>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</si>
  <si>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</si>
  <si>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</si>
  <si>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</si>
  <si>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</si>
  <si>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</si>
  <si>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</si>
  <si>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</si>
  <si>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</si>
  <si>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</si>
  <si>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</si>
  <si>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</si>
  <si>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</si>
  <si>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</si>
  <si>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</si>
  <si>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</si>
  <si>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</si>
  <si>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</si>
  <si>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</si>
  <si>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</si>
  <si>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</si>
  <si>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</si>
  <si>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</si>
  <si>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</si>
  <si>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</si>
  <si>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</si>
  <si>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</si>
  <si>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</si>
  <si>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</si>
  <si>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</si>
  <si>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</si>
  <si>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</si>
  <si>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</si>
  <si>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</si>
  <si>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</si>
  <si>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</si>
  <si>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</si>
  <si>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</si>
  <si>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</si>
  <si>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</si>
  <si>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</si>
  <si>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</si>
  <si>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</si>
  <si>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</si>
  <si>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</si>
  <si>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</si>
  <si>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</si>
  <si>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</si>
  <si>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</si>
  <si>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</si>
  <si>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</si>
  <si>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</si>
  <si>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</si>
  <si>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</si>
  <si>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</si>
  <si>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</si>
  <si>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</si>
  <si>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</si>
  <si>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</si>
  <si>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</si>
  <si>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</si>
  <si>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</si>
  <si>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</si>
  <si>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</si>
  <si>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</si>
  <si>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</si>
  <si>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</si>
  <si>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</si>
  <si>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</si>
  <si>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</si>
  <si>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</si>
  <si>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</si>
  <si>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</si>
  <si>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</si>
  <si>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</si>
  <si>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</si>
  <si>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</si>
  <si>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</si>
  <si>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</si>
  <si>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</si>
  <si>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</si>
  <si>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</si>
  <si>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</si>
  <si>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</si>
  <si>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</si>
  <si>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</si>
  <si>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</si>
  <si>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</si>
  <si>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</si>
  <si>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</si>
  <si>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</si>
  <si>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</si>
  <si>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</si>
  <si>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</si>
  <si>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</si>
  <si>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</si>
  <si>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</si>
  <si>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</si>
  <si>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</si>
  <si>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</si>
  <si>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</si>
  <si>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</si>
  <si>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</si>
  <si>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</si>
  <si>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</si>
  <si>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</si>
  <si>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</si>
  <si>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</si>
  <si>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</si>
  <si>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</si>
  <si>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</si>
  <si>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</si>
  <si>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</si>
  <si>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</si>
  <si>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</si>
  <si>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</si>
  <si>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</si>
  <si>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</si>
  <si>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</si>
  <si>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</si>
  <si>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</si>
  <si>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</si>
  <si>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</si>
  <si>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</si>
  <si>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</si>
  <si>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</si>
  <si>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</si>
  <si>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</si>
  <si>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</si>
  <si>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</si>
  <si>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</si>
  <si>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</si>
  <si>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</si>
  <si>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</si>
  <si>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</si>
  <si>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</si>
  <si>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</si>
  <si>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</si>
  <si>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</si>
  <si>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</si>
  <si>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</si>
  <si>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</si>
  <si>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</si>
  <si>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</si>
  <si>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</si>
  <si>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</si>
  <si>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</si>
  <si>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</si>
  <si>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</si>
  <si>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</si>
  <si>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</si>
  <si>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</si>
  <si>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</si>
  <si>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</si>
  <si>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</si>
  <si>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</si>
  <si>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</si>
  <si>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</si>
  <si>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</si>
  <si>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</si>
  <si>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</si>
  <si>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</si>
  <si>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</si>
  <si>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</si>
  <si>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</si>
  <si>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</si>
  <si>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</si>
  <si>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</si>
  <si>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</si>
  <si>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</si>
  <si>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</si>
  <si>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</si>
  <si>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</si>
  <si>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</si>
  <si>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</si>
  <si>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</si>
  <si>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</si>
  <si>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</si>
  <si>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</si>
  <si>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</si>
  <si>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</si>
  <si>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</si>
  <si>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</si>
  <si>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</si>
  <si>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</si>
  <si>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</si>
  <si>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</si>
  <si>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</si>
  <si>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</si>
  <si>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</si>
  <si>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</si>
  <si>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</si>
  <si>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</si>
  <si>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</si>
  <si>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</si>
  <si>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</si>
  <si>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</si>
  <si>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</si>
  <si>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</si>
  <si>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</si>
  <si>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</si>
  <si>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</si>
  <si>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</si>
  <si>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</si>
  <si>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</si>
  <si>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</si>
  <si>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</si>
  <si>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</si>
  <si>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</si>
  <si>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</si>
  <si>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</si>
  <si>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</si>
  <si>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</si>
  <si>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</si>
  <si>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</si>
  <si>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</si>
  <si>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</si>
  <si>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</si>
  <si>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</si>
  <si>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</si>
  <si>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</si>
  <si>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</si>
  <si>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</si>
  <si>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</si>
  <si>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</si>
  <si>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</si>
  <si>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</si>
  <si>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</si>
  <si>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</si>
  <si>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</si>
  <si>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</si>
  <si>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</si>
  <si>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</si>
  <si>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</si>
  <si>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</si>
  <si>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</si>
  <si>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</si>
  <si>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</si>
  <si>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</si>
  <si>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</si>
  <si>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</si>
  <si>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</si>
  <si>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</si>
  <si>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</si>
  <si>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</si>
  <si>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</si>
  <si>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</si>
  <si>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</si>
  <si>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</si>
  <si>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</si>
  <si>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</si>
  <si>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</si>
  <si>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</si>
  <si>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</si>
  <si>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</si>
  <si>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</si>
  <si>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</si>
  <si>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</si>
  <si>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</si>
  <si>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</si>
  <si>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</si>
  <si>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</si>
  <si>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</si>
  <si>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</si>
  <si>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</si>
  <si>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</si>
  <si>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</si>
  <si>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</si>
  <si>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</si>
  <si>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</si>
  <si>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</si>
  <si>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</si>
  <si>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</si>
  <si>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</si>
  <si>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</si>
  <si>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</si>
  <si>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</si>
  <si>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</si>
  <si>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</si>
  <si>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</si>
  <si>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</si>
  <si>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</si>
  <si>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</si>
  <si>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</si>
  <si>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</si>
  <si>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</si>
  <si>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</si>
  <si>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</si>
  <si>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</si>
  <si>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</si>
  <si>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</si>
  <si>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</si>
  <si>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</si>
  <si>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</si>
  <si>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</si>
  <si>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</si>
  <si>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</si>
  <si>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</si>
  <si>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</si>
  <si>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</si>
  <si>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</si>
  <si>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</si>
  <si>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</si>
  <si>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</si>
  <si>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</si>
  <si>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</si>
  <si>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</si>
  <si>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</si>
  <si>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</si>
  <si>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</si>
  <si>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</si>
  <si>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</si>
  <si>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</si>
  <si>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</si>
  <si>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</si>
  <si>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</si>
  <si>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</si>
  <si>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</si>
  <si>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</si>
  <si>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</si>
  <si>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</si>
  <si>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</si>
  <si>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</si>
  <si>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</si>
  <si>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</si>
  <si>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</si>
  <si>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</si>
  <si>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</si>
  <si>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</si>
  <si>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</si>
  <si>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</si>
  <si>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</si>
  <si>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</si>
  <si>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</si>
  <si>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</si>
  <si>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</si>
  <si>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</si>
  <si>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</si>
  <si>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</si>
  <si>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</si>
  <si>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</si>
  <si>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</si>
  <si>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</si>
  <si>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</si>
  <si>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</si>
  <si>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</si>
  <si>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</si>
  <si>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</si>
  <si>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</si>
  <si>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</si>
  <si>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</si>
  <si>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</si>
  <si>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StDev</t>
  </si>
  <si>
    <t>Measures of Central Tendancy for Failed Outcome</t>
  </si>
  <si>
    <t>Measures of Central Tendancy Successful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</si>
</sst>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numFmt numFmtId="1" formatCode="0"/>
    </dxf>
    <dxf>
      <numFmt numFmtId="2" formatCode="0.00"/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[CrowdfundingBook_Britton.xlsx]Outcome_by_Category!PivotTable2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4-4552-A5A6-5794A7F87A1E}"/>
            </c:ext>
          </c:extLst>
        </c:ser>
        <c:ser>
          <c:idx val="1"/>
          <c:order val="1"/>
          <c:tx>
            <c:strRef>
              <c:f>Outcome_by_Category!$C$3:$C$4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4-4552-A5A6-5794A7F87A1E}"/>
            </c:ext>
          </c:extLst>
        </c:ser>
        <c:ser>
          <c:idx val="2"/>
          <c:order val="2"/>
          <c:tx>
            <c:strRef>
              <c:f>Outcome_by_Category!$D$3:$D$4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4-4552-A5A6-5794A7F87A1E}"/>
            </c:ext>
          </c:extLst>
        </c:ser>
        <c:ser>
          <c:idx val="3"/>
          <c:order val="3"/>
          <c:tx>
            <c:strRef>
              <c:f>Outcome_by_Category!$E$3:$E$4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4-4552-A5A6-5794A7F8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7263"/>
        <c:axId val="10549503"/>
      </c:barChart>
      <c:catAx>
        <c:axId val="118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03"/>
        <c:crosses val="autoZero"/>
        <c:auto val="1"/>
        <c:lblAlgn val="ctr"/>
        <c:lblOffset val="100"/>
        <c:noMultiLvlLbl val="0"/>
      </c:catAx>
      <c:valAx>
        <c:axId val="10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[CrowdfundingBook_Britton.xlsx]Outcome_by_Sub-Category!PivotTable4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A-4975-910B-188A339FC2FE}"/>
            </c:ext>
          </c:extLst>
        </c:ser>
        <c:ser>
          <c:idx val="1"/>
          <c:order val="1"/>
          <c:tx>
            <c:strRef>
              <c:f>'Outcome_by_Sub-Category'!$C$4:$C$5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A-4975-910B-188A339FC2FE}"/>
            </c:ext>
          </c:extLst>
        </c:ser>
        <c:ser>
          <c:idx val="2"/>
          <c:order val="2"/>
          <c:tx>
            <c:strRef>
              <c:f>'Outcome_by_Sub-Category'!$D$4:$D$5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A-4975-910B-188A339FC2FE}"/>
            </c:ext>
          </c:extLst>
        </c:ser>
        <c:ser>
          <c:idx val="3"/>
          <c:order val="3"/>
          <c:tx>
            <c:strRef>
              <c:f>'Outcome_by_Sub-Category'!$E$4:$E$5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A-4975-910B-188A339F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83471"/>
        <c:axId val="1956715807"/>
      </c:barChart>
      <c:catAx>
        <c:axId val="1951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15807"/>
        <c:crosses val="autoZero"/>
        <c:auto val="1"/>
        <c:lblAlgn val="ctr"/>
        <c:lblOffset val="100"/>
        <c:noMultiLvlLbl val="0"/>
      </c:catAx>
      <c:valAx>
        <c:axId val="19567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[CrowdfundingBook_Britton.xlsx]Launch_Date_Outcome!PivotTable2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Launch_Date_Outcome!$B$4:$B$5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00E-A989-65F5AB226A1F}"/>
            </c:ext>
          </c:extLst>
        </c:ser>
        <c:ser>
          <c:idx val="1"/>
          <c:order val="1"/>
          <c:tx>
            <c:strRef>
              <c:f>Launch_Date_Outcome!$C$4:$C$5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00E-A989-65F5AB226A1F}"/>
            </c:ext>
          </c:extLst>
        </c:ser>
        <c:ser>
          <c:idx val="2"/>
          <c:order val="2"/>
          <c:tx>
            <c:strRef>
              <c:f>Launch_Date_Outcome!$D$4:$D$5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C-400E-A989-65F5AB22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04624"/>
        <c:axId val="481304144"/>
      </c:lineChart>
      <c:catAx>
        <c:axId val="4813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4144"/>
        <c:crosses val="autoZero"/>
        <c:auto val="1"/>
        <c:lblAlgn val="ctr"/>
        <c:lblOffset val="100"/>
        <c:noMultiLvlLbl val="0"/>
      </c:catAx>
      <c:valAx>
        <c:axId val="481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B10-80E8-47C5E0AA88FD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B10-80E8-47C5E0AA88FD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F-4B10-80E8-47C5E0AA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82624"/>
        <c:axId val="741883104"/>
      </c:lineChart>
      <c:catAx>
        <c:axId val="7418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83104"/>
        <c:crosses val="autoZero"/>
        <c:auto val="1"/>
        <c:lblAlgn val="ctr"/>
        <c:lblOffset val="100"/>
        <c:noMultiLvlLbl val="0"/>
      </c:catAx>
      <c:valAx>
        <c:axId val="741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2</xdr:row>
      <xdr:rowOff>19050</xdr:rowOff>
    </xdr:from>
    <xdr:to>
      <xdr:col>14</xdr:col>
      <xdr:colOff>238124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4073-9634-2D8F-AEDF-D8AE9A69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47624</xdr:rowOff>
    </xdr:from>
    <xdr:to>
      <xdr:col>18</xdr:col>
      <xdr:colOff>123824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AA065-0622-3CD9-AE0D-2810A3ED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</xdr:row>
      <xdr:rowOff>175260</xdr:rowOff>
    </xdr:from>
    <xdr:to>
      <xdr:col>12</xdr:col>
      <xdr:colOff>327660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15960-1D69-7B3A-1AE0-D923674E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7</xdr:col>
      <xdr:colOff>1394460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D4E14-72EC-7D84-711B-FB79F034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on, Jason C" refreshedDate="45461.736796064812" createdVersion="8" refreshedVersion="8" minRefreshableVersion="3" recordCount="1000" xr:uid="{D29CBA71-14E2-463E-AA35-721EE587E34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on, Jason C" refreshedDate="45461.742591550923" createdVersion="8" refreshedVersion="8" minRefreshableVersion="3" recordCount="1000" xr:uid="{FA18E846-1D55-4694-BF07-56CD5F2C8CC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62.424535300925" createdVersion="8" refreshedVersion="8" minRefreshableVersion="3" recordCount="1000" xr:uid="{B89E5988-DFF7-450D-BBE8-FF54B9ADF93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x v="298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x v="496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x v="498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x v="499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x v="500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x v="501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x v="505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x v="507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x v="508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x v="509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x v="510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x v="51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x v="514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x v="51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x v="518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x v="519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x v="523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x v="524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x v="526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x v="527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x v="52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x v="530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x v="532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x v="534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x v="539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x v="542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x v="546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x v="54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x v="549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x v="550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x v="55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x v="554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x v="555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x v="556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x v="565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x v="566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x v="568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x v="571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x v="572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x v="573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x v="574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x v="575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x v="578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x v="579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x v="58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x v="588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x v="590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x v="59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x v="593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x v="5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x v="596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x v="601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x v="60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x v="60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x v="605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x v="60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x v="608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x v="609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x v="610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x v="61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x v="61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x v="61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x v="61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x v="620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x v="622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x v="625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x v="627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x v="628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x v="631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x v="632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x v="639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x v="640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x v="641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x v="6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x v="644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x v="645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x v="646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x v="649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x v="651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x v="653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x v="654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x v="655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x v="658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x v="663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x v="665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x v="666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x v="671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x v="675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x v="676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x v="678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x v="679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x v="68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x v="682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x v="683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x v="684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x v="68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x v="688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x v="690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x v="693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x v="695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x v="697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x v="699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x v="702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x v="703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x v="707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x v="710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x v="712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x v="713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x v="714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x v="715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x v="718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x v="719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x v="72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x v="722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x v="725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x v="730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x v="732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x v="733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x v="735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x v="739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x v="741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x v="74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x v="749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x v="751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x v="752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x v="753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x v="75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x v="756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x v="757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x v="758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x v="763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x v="770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x v="771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x v="773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x v="702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x v="780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x v="782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x v="784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x v="785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x v="78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x v="788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x v="790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x v="792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x v="793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x v="794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x v="79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x v="796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x v="798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x v="800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x v="801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x v="802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x v="805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x v="807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x v="80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x v="812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x v="81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x v="81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x v="82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x v="825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x v="830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x v="831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x v="833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x v="835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x v="83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x v="841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x v="842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x v="84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x v="844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x v="846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x v="847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x v="848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x v="849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x v="850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x v="858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x v="86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x v="868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x v="86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x v="870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x v="873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x v="875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x v="87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x v="87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x v="880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x v="883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x v="884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x v="886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x v="887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x v="888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x v="88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x v="895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x v="897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x v="899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x v="902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x v="90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x v="904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x v="905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x v="908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x v="911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x v="91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x v="915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x v="916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x v="918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x v="919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x v="922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x v="923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x v="92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x v="92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x v="929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x v="933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x v="937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x v="939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x v="94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x v="947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x v="949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x v="951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x v="953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x v="954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x v="955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x v="958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x v="96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x v="968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x v="969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x v="971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x v="973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x v="976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x v="978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x v="979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m/>
    <x v="0"/>
    <n v="112"/>
    <x v="980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m/>
    <x v="3"/>
    <n v="139"/>
    <x v="981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m/>
    <x v="0"/>
    <n v="374"/>
    <x v="982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m/>
    <x v="3"/>
    <n v="1122"/>
    <x v="983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035A1-48A9-4579-8A4F-25D2A4C4CD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4FC33-A3F1-4506-BEA4-937F599E8DC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95F7-24CF-4CA7-82A6-AA5A6B045B4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2" sqref="N2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5" max="5" width="11" customWidth="1"/>
    <col min="6" max="6" width="14.19921875" style="5" customWidth="1"/>
    <col min="8" max="8" width="13" bestFit="1" customWidth="1"/>
    <col min="9" max="9" width="20" style="7" customWidth="1"/>
    <col min="12" max="13" width="11.09765625" bestFit="1" customWidth="1"/>
    <col min="14" max="14" width="23.59765625" style="11" customWidth="1"/>
    <col min="15" max="15" width="21.59765625" customWidth="1"/>
    <col min="18" max="18" width="28" bestFit="1" customWidth="1"/>
    <col min="19" max="20" width="16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 t="shared" ref="O2:O65" si="0"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7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5" si="2">(((L3/60)/60)/24)+DATE(1970,1,1)</f>
        <v>41870.208333333336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ref="T4:T67" si="4">RIGHT(R4,LEN(R4)-FIND("/",R4))</f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5">(E5/D5)*100</f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7">
        <f t="shared" ref="I67:I130" si="8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si="4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ref="T68:T131" si="10">RIGHT(R68,LEN(R68)-FIND("/",R68))</f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11">(E69/D69)*100</f>
        <v>162.38567493112947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2">(((L130/60)/60)/24)+DATE(1970,1,1)</f>
        <v>40417.208333333336</v>
      </c>
      <c r="O130" s="11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7">
        <f t="shared" ref="I131:I194" si="14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2"/>
        <v>42038.25</v>
      </c>
      <c r="O131" s="11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si="10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1"/>
        <v>155.46875</v>
      </c>
      <c r="G132" t="s">
        <v>20</v>
      </c>
      <c r="H132">
        <v>533</v>
      </c>
      <c r="I132" s="7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ref="T132:T195" si="16">RIGHT(R132,LEN(R132)-FIND("/",R132))</f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7">(E133/D133)*100</f>
        <v>100.85974499089254</v>
      </c>
      <c r="G133" t="s">
        <v>20</v>
      </c>
      <c r="H133">
        <v>2443</v>
      </c>
      <c r="I133" s="7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7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7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7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7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7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7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7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7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7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7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7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7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7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7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7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7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7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7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7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7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7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7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7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7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7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7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7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7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7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7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7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7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7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7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7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7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7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7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7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7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7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7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7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7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7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7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7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7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7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7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7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7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7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7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7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7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7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7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7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7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7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8">(((L194/60)/60)/24)+DATE(1970,1,1)</f>
        <v>41817.208333333336</v>
      </c>
      <c r="O194" s="11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7">
        <f t="shared" ref="I195:I258" si="20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8"/>
        <v>43198.208333333328</v>
      </c>
      <c r="O195" s="11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si="16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7"/>
        <v>122.7605633802817</v>
      </c>
      <c r="G196" t="s">
        <v>20</v>
      </c>
      <c r="H196">
        <v>126</v>
      </c>
      <c r="I196" s="7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ref="T196:T259" si="22">RIGHT(R196,LEN(R196)-FIND("/",R196))</f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23">(E197/D197)*100</f>
        <v>361.75316455696202</v>
      </c>
      <c r="G197" t="s">
        <v>20</v>
      </c>
      <c r="H197">
        <v>524</v>
      </c>
      <c r="I197" s="7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7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7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7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7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7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7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7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7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7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7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7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7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7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7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7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7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7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7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7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7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7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7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7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7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7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7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7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7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7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7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7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7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7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7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7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7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7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7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7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7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7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7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7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7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7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7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7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7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7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7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7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7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7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7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7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7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7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7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7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7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7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4">(((L258/60)/60)/24)+DATE(1970,1,1)</f>
        <v>42393.25</v>
      </c>
      <c r="O258" s="11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7">
        <f t="shared" ref="I259:I322" si="26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4"/>
        <v>41338.25</v>
      </c>
      <c r="O259" s="11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si="22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3"/>
        <v>268.48</v>
      </c>
      <c r="G260" t="s">
        <v>20</v>
      </c>
      <c r="H260">
        <v>186</v>
      </c>
      <c r="I260" s="7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ref="T260:T323" si="28">RIGHT(R260,LEN(R260)-FIND("/",R260))</f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29">(E261/D261)*100</f>
        <v>597.5</v>
      </c>
      <c r="G261" t="s">
        <v>20</v>
      </c>
      <c r="H261">
        <v>138</v>
      </c>
      <c r="I261" s="7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7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7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7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7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7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7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7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7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7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7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7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7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7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7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7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7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7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7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7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7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7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7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7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7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7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7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7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7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7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7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7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7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7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7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7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7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7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7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7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7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7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7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7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7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7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7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7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7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7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7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7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7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7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7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7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7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7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7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7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7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7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0">(((L322/60)/60)/24)+DATE(1970,1,1)</f>
        <v>40673.208333333336</v>
      </c>
      <c r="O322" s="11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7">
        <f t="shared" ref="I323:I386" si="32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0"/>
        <v>40634.208333333336</v>
      </c>
      <c r="O323" s="11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si="28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9"/>
        <v>166.56234096692114</v>
      </c>
      <c r="G324" t="s">
        <v>20</v>
      </c>
      <c r="H324">
        <v>5168</v>
      </c>
      <c r="I324" s="7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ref="T324:T387" si="34">RIGHT(R324,LEN(R324)-FIND("/",R324))</f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35">(E325/D325)*100</f>
        <v>24.134831460674157</v>
      </c>
      <c r="G325" t="s">
        <v>14</v>
      </c>
      <c r="H325">
        <v>26</v>
      </c>
      <c r="I325" s="7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7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7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7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7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7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7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7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7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7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7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7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7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7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7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7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7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7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7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7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7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7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7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7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7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7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7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7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7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7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7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7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7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7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7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7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7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7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7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7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7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7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7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7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7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7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7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7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7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7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7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7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7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7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7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7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7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7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7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7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7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6">(((L386/60)/60)/24)+DATE(1970,1,1)</f>
        <v>42776.25</v>
      </c>
      <c r="O386" s="11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7">
        <f t="shared" ref="I387:I450" si="38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6"/>
        <v>43553.208333333328</v>
      </c>
      <c r="O387" s="11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si="34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5"/>
        <v>76.42361623616236</v>
      </c>
      <c r="G388" t="s">
        <v>14</v>
      </c>
      <c r="H388">
        <v>1068</v>
      </c>
      <c r="I388" s="7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ref="T388:T451" si="40">RIGHT(R388,LEN(R388)-FIND("/",R388))</f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41">(E389/D389)*100</f>
        <v>39.261467889908261</v>
      </c>
      <c r="G389" t="s">
        <v>14</v>
      </c>
      <c r="H389">
        <v>424</v>
      </c>
      <c r="I389" s="7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7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7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7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7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7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7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7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7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7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7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7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7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7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7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7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7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7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7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7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7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7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7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7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7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7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7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7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7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7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7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7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7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7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7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7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7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7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7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7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7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7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7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7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7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7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7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7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7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7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7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7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7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7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7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7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7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7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7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7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7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7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2">(((L450/60)/60)/24)+DATE(1970,1,1)</f>
        <v>41378.208333333336</v>
      </c>
      <c r="O450" s="11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7">
        <f t="shared" ref="I451:I514" si="44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2"/>
        <v>43530.25</v>
      </c>
      <c r="O451" s="11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si="40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1"/>
        <v>4</v>
      </c>
      <c r="G452" t="s">
        <v>14</v>
      </c>
      <c r="H452">
        <v>1</v>
      </c>
      <c r="I452" s="7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ref="T452:T515" si="46">RIGHT(R452,LEN(R452)-FIND("/",R452))</f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47">(E453/D453)*100</f>
        <v>122.84501347708894</v>
      </c>
      <c r="G453" t="s">
        <v>20</v>
      </c>
      <c r="H453">
        <v>6286</v>
      </c>
      <c r="I453" s="7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7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7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7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7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7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7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7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7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7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7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7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7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7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7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7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7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7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7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7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7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7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7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7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7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7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7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7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7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7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7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7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7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7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7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7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7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7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7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7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7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7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7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7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7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7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7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7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7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7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7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7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7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7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7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7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7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7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7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7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7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7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48">(((L514/60)/60)/24)+DATE(1970,1,1)</f>
        <v>41825.208333333336</v>
      </c>
      <c r="O514" s="11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7">
        <f t="shared" ref="I515:I578" si="50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48"/>
        <v>40430.208333333336</v>
      </c>
      <c r="O515" s="11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si="46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7"/>
        <v>22.439077144917089</v>
      </c>
      <c r="G516" t="s">
        <v>74</v>
      </c>
      <c r="H516">
        <v>528</v>
      </c>
      <c r="I516" s="7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ref="T516:T579" si="52">RIGHT(R516,LEN(R516)-FIND("/",R516))</f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53">(E517/D517)*100</f>
        <v>55.779069767441861</v>
      </c>
      <c r="G517" t="s">
        <v>14</v>
      </c>
      <c r="H517">
        <v>133</v>
      </c>
      <c r="I517" s="7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7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7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7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7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7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7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7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7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7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7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7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7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7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7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7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7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7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7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7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7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7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7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7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7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7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7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7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7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7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7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7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7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7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7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7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7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7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7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7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7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7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7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7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7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7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7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7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7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7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7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7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7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7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7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7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7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7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7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7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7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7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4">(((L578/60)/60)/24)+DATE(1970,1,1)</f>
        <v>43040.208333333328</v>
      </c>
      <c r="O578" s="11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7">
        <f t="shared" ref="I579:I642" si="56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4"/>
        <v>40613.25</v>
      </c>
      <c r="O579" s="11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si="52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3"/>
        <v>16.754404145077721</v>
      </c>
      <c r="G580" t="s">
        <v>14</v>
      </c>
      <c r="H580">
        <v>245</v>
      </c>
      <c r="I580" s="7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ref="T580:T643" si="58">RIGHT(R580,LEN(R580)-FIND("/",R580))</f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59">(E581/D581)*100</f>
        <v>101.11290322580646</v>
      </c>
      <c r="G581" t="s">
        <v>20</v>
      </c>
      <c r="H581">
        <v>87</v>
      </c>
      <c r="I581" s="7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7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7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7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7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7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7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7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7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7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7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7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7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7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7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7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7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7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7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7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7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7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7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7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7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7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7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7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7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7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7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7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7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7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7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7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7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7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7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7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7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7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7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7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7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7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7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7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7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7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7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7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7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7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7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7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7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7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7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7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7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7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0">(((L642/60)/60)/24)+DATE(1970,1,1)</f>
        <v>42387.25</v>
      </c>
      <c r="O642" s="11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7">
        <f t="shared" ref="I643:I706" si="62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0"/>
        <v>42786.25</v>
      </c>
      <c r="O643" s="11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si="58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9"/>
        <v>145.45652173913044</v>
      </c>
      <c r="G644" t="s">
        <v>20</v>
      </c>
      <c r="H644">
        <v>129</v>
      </c>
      <c r="I644" s="7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ref="T644:T707" si="64">RIGHT(R644,LEN(R644)-FIND("/",R644))</f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65">(E645/D645)*100</f>
        <v>221.38255033557047</v>
      </c>
      <c r="G645" t="s">
        <v>20</v>
      </c>
      <c r="H645">
        <v>375</v>
      </c>
      <c r="I645" s="7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7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7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7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7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7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7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7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7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7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7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7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7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7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7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7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7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7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7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7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7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7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7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7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7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7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7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7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7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7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7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7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7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7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7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7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7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7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7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7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7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7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7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7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7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7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7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7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7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7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7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7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7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7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7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7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7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7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7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7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7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7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6">(((L706/60)/60)/24)+DATE(1970,1,1)</f>
        <v>42555.208333333328</v>
      </c>
      <c r="O706" s="11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7">
        <f t="shared" ref="I707:I770" si="68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6"/>
        <v>41619.25</v>
      </c>
      <c r="O707" s="11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si="64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5"/>
        <v>127.84686346863469</v>
      </c>
      <c r="G708" t="s">
        <v>20</v>
      </c>
      <c r="H708">
        <v>1345</v>
      </c>
      <c r="I708" s="7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ref="T708:T771" si="70">RIGHT(R708,LEN(R708)-FIND("/",R708))</f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71">(E709/D709)*100</f>
        <v>158.61643835616439</v>
      </c>
      <c r="G709" t="s">
        <v>20</v>
      </c>
      <c r="H709">
        <v>168</v>
      </c>
      <c r="I709" s="7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7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7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7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7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7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7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7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7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7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7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7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7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7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7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7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7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7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7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7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7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7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7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7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7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7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7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7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7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7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7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7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7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7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7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7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7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7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7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7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7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7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7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7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7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7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7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7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7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7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7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7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7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7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7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7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7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7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7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7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7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2">(((L770/60)/60)/24)+DATE(1970,1,1)</f>
        <v>41619.25</v>
      </c>
      <c r="O770" s="11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7">
        <f t="shared" ref="I771:I834" si="74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2"/>
        <v>41501.208333333336</v>
      </c>
      <c r="O771" s="11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si="70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1"/>
        <v>270.74418604651163</v>
      </c>
      <c r="G772" t="s">
        <v>20</v>
      </c>
      <c r="H772">
        <v>216</v>
      </c>
      <c r="I772" s="7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ref="T772:T835" si="76">RIGHT(R772,LEN(R772)-FIND("/",R772))</f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77">(E773/D773)*100</f>
        <v>49.446428571428569</v>
      </c>
      <c r="G773" t="s">
        <v>74</v>
      </c>
      <c r="H773">
        <v>26</v>
      </c>
      <c r="I773" s="7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7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7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7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7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7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7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7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7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7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7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7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7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7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7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7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7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7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7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7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7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7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7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7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7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7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7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7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7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7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7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7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7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7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7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7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7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7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7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7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7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7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7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7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7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7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7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7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7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7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7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7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7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7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7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7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7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7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7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7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7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78">(((L834/60)/60)/24)+DATE(1970,1,1)</f>
        <v>42299.208333333328</v>
      </c>
      <c r="O834" s="11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7">
        <f t="shared" ref="I835:I898" si="80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78"/>
        <v>40588.25</v>
      </c>
      <c r="O835" s="11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si="76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7"/>
        <v>153.8082191780822</v>
      </c>
      <c r="G836" t="s">
        <v>20</v>
      </c>
      <c r="H836">
        <v>119</v>
      </c>
      <c r="I836" s="7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ref="T836:T899" si="82">RIGHT(R836,LEN(R836)-FIND("/",R836))</f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83">(E837/D837)*100</f>
        <v>89.738979118329468</v>
      </c>
      <c r="G837" t="s">
        <v>14</v>
      </c>
      <c r="H837">
        <v>1758</v>
      </c>
      <c r="I837" s="7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7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7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7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7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7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7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7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7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7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7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7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7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7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7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7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7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7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7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7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7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7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7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7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7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7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7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7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7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7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7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7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7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7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7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7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7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7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7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7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7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7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7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7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7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7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7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7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7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7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7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7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7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7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7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7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7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7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7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7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7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4">(((L898/60)/60)/24)+DATE(1970,1,1)</f>
        <v>40738.208333333336</v>
      </c>
      <c r="O898" s="11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7">
        <f t="shared" ref="I899:I962" si="86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4"/>
        <v>43583.208333333328</v>
      </c>
      <c r="O899" s="11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si="82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3"/>
        <v>52.479620323841424</v>
      </c>
      <c r="G900" t="s">
        <v>14</v>
      </c>
      <c r="H900">
        <v>1221</v>
      </c>
      <c r="I900" s="7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ref="T900:T963" si="88">RIGHT(R900,LEN(R900)-FIND("/",R900))</f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89">(E901/D901)*100</f>
        <v>407.09677419354841</v>
      </c>
      <c r="G901" t="s">
        <v>20</v>
      </c>
      <c r="H901">
        <v>123</v>
      </c>
      <c r="I901" s="7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7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7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7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7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7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7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7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7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7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7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7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7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7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7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7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7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7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7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7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7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7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7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7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7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7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7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7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7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7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7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7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7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7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7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7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7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7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7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7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7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7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7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7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7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7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7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7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7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7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7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7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7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7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7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7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7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7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7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7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7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7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0">(((L962/60)/60)/24)+DATE(1970,1,1)</f>
        <v>42408.25</v>
      </c>
      <c r="O962" s="11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7">
        <f t="shared" ref="I963:I1001" si="92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0"/>
        <v>40591.25</v>
      </c>
      <c r="O963" s="11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si="88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89"/>
        <v>296.02777777777777</v>
      </c>
      <c r="G964" t="s">
        <v>20</v>
      </c>
      <c r="H964">
        <v>266</v>
      </c>
      <c r="I964" s="7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ref="T964:T1001" si="94">RIGHT(R964,LEN(R964)-FIND("/",R964))</f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95">(E965/D965)*100</f>
        <v>84.694915254237287</v>
      </c>
      <c r="G965" t="s">
        <v>14</v>
      </c>
      <c r="H965">
        <v>114</v>
      </c>
      <c r="I965" s="7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7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7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7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7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7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7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7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7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7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7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7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7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7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7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7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7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7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7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7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7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7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7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7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7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7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7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7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7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7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7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7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7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7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7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7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7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1:F1048576">
    <cfRule type="colorScale" priority="10">
      <colorScale>
        <cfvo type="num" val="0"/>
        <cfvo type="num" val="100"/>
        <cfvo type="num" val="200"/>
        <color rgb="FFFF5050"/>
        <color theme="9"/>
        <color theme="4"/>
      </colorScale>
    </cfRule>
  </conditionalFormatting>
  <conditionalFormatting sqref="G1:G1048576">
    <cfRule type="containsText" dxfId="14" priority="11" operator="containsText" text="canceled">
      <formula>NOT(ISERROR(SEARCH("canceled",G1)))</formula>
    </cfRule>
    <cfRule type="containsText" dxfId="13" priority="12" operator="containsText" text="live">
      <formula>NOT(ISERROR(SEARCH("live",G1)))</formula>
    </cfRule>
    <cfRule type="containsText" dxfId="12" priority="13" operator="containsText" text="successful">
      <formula>NOT(ISERROR(SEARCH("successful",G1)))</formula>
    </cfRule>
    <cfRule type="containsText" dxfId="11" priority="14" operator="containsText" text="failed">
      <formula>NOT(ISERROR(SEARCH("failed",G1)))</formula>
    </cfRule>
  </conditionalFormatting>
  <conditionalFormatting sqref="I1:I1048576">
    <cfRule type="expression" dxfId="10" priority="1">
      <formula>MOD($I1,1)&lt;&gt;0</formula>
    </cfRule>
    <cfRule type="expression" dxfId="9" priority="2">
      <formula>MOD($I1,1)=0</formula>
    </cfRule>
  </conditionalFormatting>
  <conditionalFormatting sqref="R2">
    <cfRule type="expression" dxfId="8" priority="22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4B22-5F6B-4339-AA0A-D62FE36BC167}">
  <dimension ref="A1:F14"/>
  <sheetViews>
    <sheetView workbookViewId="0">
      <selection activeCell="B7" sqref="B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2045</v>
      </c>
    </row>
    <row r="3" spans="1:6" x14ac:dyDescent="0.3">
      <c r="A3" s="8" t="s">
        <v>2046</v>
      </c>
      <c r="B3" s="8" t="s">
        <v>2044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2038</v>
      </c>
      <c r="E8">
        <v>4</v>
      </c>
      <c r="F8">
        <v>4</v>
      </c>
    </row>
    <row r="9" spans="1:6" x14ac:dyDescent="0.3">
      <c r="A9" s="9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8E98-83B6-4120-972F-6000006426B7}">
  <dimension ref="A1:F30"/>
  <sheetViews>
    <sheetView workbookViewId="0">
      <selection activeCell="B36" sqref="B3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6.3984375" bestFit="1" customWidth="1"/>
    <col min="8" max="8" width="10.59765625" bestFit="1" customWidth="1"/>
    <col min="9" max="9" width="9.3984375" bestFit="1" customWidth="1"/>
    <col min="10" max="10" width="3.8984375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</cols>
  <sheetData>
    <row r="1" spans="1:6" x14ac:dyDescent="0.3">
      <c r="A1" s="8" t="s">
        <v>6</v>
      </c>
      <c r="B1" t="s">
        <v>2045</v>
      </c>
    </row>
    <row r="2" spans="1:6" x14ac:dyDescent="0.3">
      <c r="A2" s="8" t="s">
        <v>2031</v>
      </c>
      <c r="B2" t="s">
        <v>2045</v>
      </c>
    </row>
    <row r="4" spans="1:6" x14ac:dyDescent="0.3">
      <c r="A4" s="8" t="s">
        <v>2046</v>
      </c>
      <c r="B4" s="8" t="s">
        <v>2044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ECF9-F1E6-4A24-B769-5B0A42129E34}">
  <dimension ref="A1:E18"/>
  <sheetViews>
    <sheetView workbookViewId="0">
      <selection activeCell="A6" sqref="A6:E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2045</v>
      </c>
    </row>
    <row r="2" spans="1:5" x14ac:dyDescent="0.3">
      <c r="A2" s="8" t="s">
        <v>2085</v>
      </c>
      <c r="B2" t="s">
        <v>2045</v>
      </c>
    </row>
    <row r="4" spans="1:5" x14ac:dyDescent="0.3">
      <c r="A4" s="8" t="s">
        <v>2046</v>
      </c>
      <c r="B4" s="8" t="s">
        <v>2044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9AB1-D040-4760-9184-60143A2C53D1}">
  <dimension ref="A1:H14"/>
  <sheetViews>
    <sheetView workbookViewId="0">
      <selection activeCell="I9" sqref="I9"/>
    </sheetView>
  </sheetViews>
  <sheetFormatPr defaultRowHeight="15.6" x14ac:dyDescent="0.3"/>
  <cols>
    <col min="1" max="1" width="27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5" bestFit="1" customWidth="1"/>
    <col min="7" max="7" width="15.69921875" style="15" bestFit="1" customWidth="1"/>
    <col min="8" max="8" width="18.3984375" style="15" bestFit="1" customWidth="1"/>
  </cols>
  <sheetData>
    <row r="1" spans="1:8" s="1" customFormat="1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">
      <c r="A2" t="s">
        <v>2094</v>
      </c>
      <c r="B2">
        <f>COUNTIFS(goal,"&lt;"&amp;1000,outcome,"successful")</f>
        <v>30</v>
      </c>
      <c r="C2">
        <f>COUNTIFS(goal,"&lt;"&amp;1000,outcome,"failed")</f>
        <v>20</v>
      </c>
      <c r="D2">
        <f>COUNTIFS(goal,"&lt;"&amp;1000,outcome,"canceled")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t="s">
        <v>2095</v>
      </c>
      <c r="B3">
        <f>COUNTIFS(goal,"&gt;="&amp;1000,goal,"&lt;"&amp;5000,outcome,"successful")</f>
        <v>191</v>
      </c>
      <c r="C3">
        <f>COUNTIFS(goal,"&gt;="&amp;1000,goal,"&lt;"&amp;5000,outcome,"failed")</f>
        <v>38</v>
      </c>
      <c r="D3">
        <f>COUNTIFS(goal,"&gt;="&amp;1000,goal,"&lt;"&amp;5000,outcome,"canceled")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">
      <c r="A4" t="s">
        <v>2096</v>
      </c>
      <c r="B4">
        <f>COUNTIFS(goal,"&gt;="&amp;5000,goal,"&lt;"&amp;10000,outcome,"successful")</f>
        <v>164</v>
      </c>
      <c r="C4">
        <f>COUNTIFS(goal,"&gt;="&amp;5000,goal,"&lt;"&amp;10000,outcome,"failed")</f>
        <v>126</v>
      </c>
      <c r="D4">
        <f>COUNTIFS(goal,"&gt;="&amp;5000,goal,"&lt;"&amp;10000,outcome,"canceled")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t="s">
        <v>2097</v>
      </c>
      <c r="B5">
        <f>COUNTIFS(goal,"&gt;="&amp;10000,goal,"&lt;"&amp;15000,outcome,"successful")</f>
        <v>4</v>
      </c>
      <c r="C5">
        <f>COUNTIFS(goal,"&gt;="&amp;10000,goal,"&lt;"&amp;15000,outcome,"failed")</f>
        <v>5</v>
      </c>
      <c r="D5">
        <f>COUNTIFS(goal,"&gt;="&amp;10000,goal,"&lt;"&amp;15000,outcome,"canceled")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t="s">
        <v>2098</v>
      </c>
      <c r="B6">
        <f>COUNTIFS(goal,"&gt;="&amp;15000,goal,"&lt;"&amp;20000,outcome,"successful")</f>
        <v>10</v>
      </c>
      <c r="C6">
        <f>COUNTIFS(goal,"&gt;="&amp;15000,goal,"&lt;"&amp;20000,outcome,"failed")</f>
        <v>0</v>
      </c>
      <c r="D6">
        <f>COUNTIFS(goal,"&gt;="&amp;15000,goal,"&lt;"&amp;20000,outcome,"canceled")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t="s">
        <v>2099</v>
      </c>
      <c r="B7">
        <f>COUNTIFS(goal,"&gt;="&amp;20000,goal,"&lt;"&amp;25000,outcome,"successful")</f>
        <v>7</v>
      </c>
      <c r="C7">
        <f>COUNTIFS(goal,"&gt;="&amp;20000,goal,"&lt;"&amp;25000,outcome,"failed")</f>
        <v>0</v>
      </c>
      <c r="D7">
        <f>COUNTIFS(goal,"&gt;="&amp;20000,goal,"&lt;"&amp;25000,outcome,"canceled")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2100</v>
      </c>
      <c r="B8">
        <f>COUNTIFS(goal,"&gt;="&amp;25000,goal,"&lt;"&amp;30000,outcome,"successful")</f>
        <v>11</v>
      </c>
      <c r="C8">
        <f>COUNTIFS(goal,"&gt;="&amp;25000,goal,"&lt;"&amp;30000,outcome,"failed")</f>
        <v>3</v>
      </c>
      <c r="D8">
        <f>COUNTIFS(goal,"&gt;="&amp;25000,goal,"&lt;"&amp;30000,outcome,"canceled")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t="s">
        <v>2101</v>
      </c>
      <c r="B9">
        <f>COUNTIFS(goal,"&gt;="&amp;30000,goal,"&lt;"&amp;35000,outcome,"successful")</f>
        <v>7</v>
      </c>
      <c r="C9">
        <f>COUNTIFS(goal,"&gt;="&amp;30000,goal,"&lt;"&amp;35000,outcome,"failed")</f>
        <v>0</v>
      </c>
      <c r="D9">
        <f>COUNTIFS(goal,"&gt;="&amp;30000,goal,"&lt;"&amp;35000,outcome,"canceled")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2102</v>
      </c>
      <c r="B10">
        <f>COUNTIFS(goal,"&gt;="&amp;35000,goal,"&lt;"&amp;40000,outcome,"successful")</f>
        <v>8</v>
      </c>
      <c r="C10">
        <f>COUNTIFS(goal,"&gt;="&amp;35000,goal,"&lt;"&amp;40000,outcome,"failed")</f>
        <v>3</v>
      </c>
      <c r="D10">
        <f>COUNTIFS(goal,"&gt;="&amp;35000,goal,"&lt;"&amp;40000,outcome,"canceled")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t="s">
        <v>2103</v>
      </c>
      <c r="B11">
        <f>COUNTIFS(goal,"&gt;="&amp;40000,goal,"&lt;"&amp;45000,outcome,"successful")</f>
        <v>11</v>
      </c>
      <c r="C11">
        <f>COUNTIFS(goal,"&gt;="&amp;40000,goal,"&lt;"&amp;45000,outcome,"failed")</f>
        <v>3</v>
      </c>
      <c r="D11">
        <f>COUNTIFS(goal,"&gt;="&amp;40000,goal,"&lt;"&amp;45000,outcome,"canceled")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t="s">
        <v>2104</v>
      </c>
      <c r="B12">
        <f>COUNTIFS(goal,"&gt;="&amp;45000,goal,"&lt;"&amp;50000,outcome,"successful")</f>
        <v>8</v>
      </c>
      <c r="C12">
        <f>COUNTIFS(goal,"&gt;="&amp;45000,goal,"&lt;"&amp;50000,outcome,"failed")</f>
        <v>3</v>
      </c>
      <c r="D12">
        <f>COUNTIFS(goal,"&gt;="&amp;45000,goal,"&lt;"&amp;50000,outcome,"canceled")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t="s">
        <v>2105</v>
      </c>
      <c r="B13">
        <f>COUNTIFS(goal,"&gt;="&amp;50000,outcome,"successful")</f>
        <v>114</v>
      </c>
      <c r="C13">
        <f>COUNTIFS(goal,"&gt;="&amp;50000,outcome,"failed")</f>
        <v>163</v>
      </c>
      <c r="D13">
        <f>COUNTIFS(goal,"&gt;="&amp;50000,outcome,"canceled")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">
      <c r="B14" s="13"/>
      <c r="C14" s="13"/>
      <c r="D14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E9D5-240F-462F-8387-D4D63E7451F2}">
  <dimension ref="A1:J566"/>
  <sheetViews>
    <sheetView workbookViewId="0">
      <selection activeCell="H6" sqref="H6"/>
    </sheetView>
  </sheetViews>
  <sheetFormatPr defaultRowHeight="15.6" x14ac:dyDescent="0.3"/>
  <cols>
    <col min="1" max="1" width="10.3984375" customWidth="1"/>
    <col min="2" max="2" width="14.09765625" customWidth="1"/>
    <col min="3" max="3" width="9.5" customWidth="1"/>
    <col min="4" max="4" width="18" customWidth="1"/>
    <col min="6" max="6" width="19.5" customWidth="1"/>
    <col min="8" max="8" width="18.5" customWidth="1"/>
  </cols>
  <sheetData>
    <row r="1" spans="1:10" s="16" customFormat="1" ht="34.799999999999997" customHeight="1" x14ac:dyDescent="0.3">
      <c r="A1" s="2" t="s">
        <v>4</v>
      </c>
      <c r="B1" s="2" t="s">
        <v>5</v>
      </c>
      <c r="C1" s="17" t="s">
        <v>2113</v>
      </c>
      <c r="D1" s="17"/>
      <c r="E1" s="2" t="s">
        <v>4</v>
      </c>
      <c r="F1" s="2" t="s">
        <v>5</v>
      </c>
      <c r="G1" s="17" t="s">
        <v>2112</v>
      </c>
      <c r="H1" s="17"/>
    </row>
    <row r="2" spans="1:10" x14ac:dyDescent="0.3">
      <c r="A2" t="s">
        <v>20</v>
      </c>
      <c r="B2">
        <v>158</v>
      </c>
      <c r="C2" s="13" t="s">
        <v>2106</v>
      </c>
      <c r="D2" s="12">
        <f>AVERAGE(backers_count_successful)</f>
        <v>851.14690265486729</v>
      </c>
      <c r="E2" t="s">
        <v>14</v>
      </c>
      <c r="F2">
        <v>0</v>
      </c>
      <c r="G2" s="13" t="s">
        <v>2106</v>
      </c>
      <c r="H2" s="12">
        <f>AVERAGE(backers_count_failed)</f>
        <v>585.61538461538464</v>
      </c>
    </row>
    <row r="3" spans="1:10" x14ac:dyDescent="0.3">
      <c r="A3" t="s">
        <v>20</v>
      </c>
      <c r="B3">
        <v>1425</v>
      </c>
      <c r="C3" s="13" t="s">
        <v>2107</v>
      </c>
      <c r="D3" s="12">
        <f>MEDIAN(backers_count_successful)</f>
        <v>201</v>
      </c>
      <c r="E3" t="s">
        <v>14</v>
      </c>
      <c r="F3">
        <v>24</v>
      </c>
      <c r="G3" s="13" t="s">
        <v>2107</v>
      </c>
      <c r="H3" s="12">
        <f>MEDIAN(backers_count_failed)</f>
        <v>114.5</v>
      </c>
    </row>
    <row r="4" spans="1:10" x14ac:dyDescent="0.3">
      <c r="A4" t="s">
        <v>20</v>
      </c>
      <c r="B4">
        <v>174</v>
      </c>
      <c r="C4" s="13" t="s">
        <v>2108</v>
      </c>
      <c r="D4" s="12">
        <f>MAX(backers_count_successful)</f>
        <v>7295</v>
      </c>
      <c r="E4" t="s">
        <v>14</v>
      </c>
      <c r="F4">
        <v>53</v>
      </c>
      <c r="G4" s="13" t="s">
        <v>2108</v>
      </c>
      <c r="H4" s="12">
        <f>MAX(backers_count_failed)</f>
        <v>6080</v>
      </c>
    </row>
    <row r="5" spans="1:10" x14ac:dyDescent="0.3">
      <c r="A5" t="s">
        <v>20</v>
      </c>
      <c r="B5">
        <v>227</v>
      </c>
      <c r="C5" s="13" t="s">
        <v>2109</v>
      </c>
      <c r="D5" s="12">
        <f>MIN(backers_count_successful)</f>
        <v>16</v>
      </c>
      <c r="E5" t="s">
        <v>14</v>
      </c>
      <c r="F5">
        <v>18</v>
      </c>
      <c r="G5" s="13" t="s">
        <v>2109</v>
      </c>
      <c r="H5" s="12">
        <f>MIN(backers_count_failed)</f>
        <v>0</v>
      </c>
    </row>
    <row r="6" spans="1:10" x14ac:dyDescent="0.3">
      <c r="A6" t="s">
        <v>20</v>
      </c>
      <c r="B6">
        <v>220</v>
      </c>
      <c r="C6" s="13" t="s">
        <v>2110</v>
      </c>
      <c r="D6" s="12">
        <f>_xlfn.VAR.P(backers_count_successful)</f>
        <v>1603373.7324019109</v>
      </c>
      <c r="E6" t="s">
        <v>14</v>
      </c>
      <c r="F6">
        <v>44</v>
      </c>
      <c r="G6" s="13" t="s">
        <v>2110</v>
      </c>
      <c r="H6" s="12">
        <f>_xlfn.VAR.P(backers_count_failed)</f>
        <v>921574.68174133555</v>
      </c>
      <c r="J6" s="18"/>
    </row>
    <row r="7" spans="1:10" x14ac:dyDescent="0.3">
      <c r="A7" t="s">
        <v>20</v>
      </c>
      <c r="B7">
        <v>98</v>
      </c>
      <c r="C7" s="13" t="s">
        <v>2111</v>
      </c>
      <c r="D7" s="12">
        <f>_xlfn.STDEV.P(backers_count_successful)</f>
        <v>1266.2439466397898</v>
      </c>
      <c r="E7" t="s">
        <v>14</v>
      </c>
      <c r="F7">
        <v>27</v>
      </c>
      <c r="G7" s="13" t="s">
        <v>2111</v>
      </c>
      <c r="H7" s="12">
        <f>_xlfn.STDEV.P(backers_count_failed)</f>
        <v>959.98681331637863</v>
      </c>
    </row>
    <row r="8" spans="1:10" x14ac:dyDescent="0.3">
      <c r="A8" t="s">
        <v>20</v>
      </c>
      <c r="B8">
        <v>100</v>
      </c>
      <c r="E8" t="s">
        <v>14</v>
      </c>
      <c r="F8">
        <v>55</v>
      </c>
    </row>
    <row r="9" spans="1:10" x14ac:dyDescent="0.3">
      <c r="A9" t="s">
        <v>20</v>
      </c>
      <c r="B9">
        <v>1249</v>
      </c>
      <c r="E9" t="s">
        <v>14</v>
      </c>
      <c r="F9">
        <v>200</v>
      </c>
    </row>
    <row r="10" spans="1:10" x14ac:dyDescent="0.3">
      <c r="A10" t="s">
        <v>20</v>
      </c>
      <c r="B10">
        <v>1396</v>
      </c>
      <c r="E10" t="s">
        <v>14</v>
      </c>
      <c r="F10">
        <v>452</v>
      </c>
    </row>
    <row r="11" spans="1:10" x14ac:dyDescent="0.3">
      <c r="A11" t="s">
        <v>20</v>
      </c>
      <c r="B11">
        <v>890</v>
      </c>
      <c r="E11" t="s">
        <v>14</v>
      </c>
      <c r="F11">
        <v>674</v>
      </c>
    </row>
    <row r="12" spans="1:10" x14ac:dyDescent="0.3">
      <c r="A12" t="s">
        <v>20</v>
      </c>
      <c r="B12">
        <v>142</v>
      </c>
      <c r="E12" t="s">
        <v>14</v>
      </c>
      <c r="F12">
        <v>558</v>
      </c>
    </row>
    <row r="13" spans="1:10" x14ac:dyDescent="0.3">
      <c r="A13" t="s">
        <v>20</v>
      </c>
      <c r="B13">
        <v>2673</v>
      </c>
      <c r="E13" t="s">
        <v>14</v>
      </c>
      <c r="F13">
        <v>15</v>
      </c>
    </row>
    <row r="14" spans="1:10" x14ac:dyDescent="0.3">
      <c r="A14" t="s">
        <v>20</v>
      </c>
      <c r="B14">
        <v>163</v>
      </c>
      <c r="E14" t="s">
        <v>14</v>
      </c>
      <c r="F14">
        <v>2307</v>
      </c>
    </row>
    <row r="15" spans="1:10" x14ac:dyDescent="0.3">
      <c r="A15" t="s">
        <v>20</v>
      </c>
      <c r="B15">
        <v>2220</v>
      </c>
      <c r="E15" t="s">
        <v>14</v>
      </c>
      <c r="F15">
        <v>88</v>
      </c>
    </row>
    <row r="16" spans="1:10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C1:D1"/>
    <mergeCell ref="G1:H1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E1:E1047940">
    <cfRule type="containsText" dxfId="3" priority="1" operator="containsText" text="canceled">
      <formula>NOT(ISERROR(SEARCH("canceled",E1)))</formula>
    </cfRule>
    <cfRule type="containsText" dxfId="2" priority="2" operator="containsText" text="live">
      <formula>NOT(ISERROR(SEARCH("live",E1)))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Outcome_by_Category</vt:lpstr>
      <vt:lpstr>Outcome_by_Sub-Category</vt:lpstr>
      <vt:lpstr>Launch_Date_Outcome</vt:lpstr>
      <vt:lpstr>Crowdfunding_Goal_Analysis</vt:lpstr>
      <vt:lpstr>Statistical_Analysis</vt:lpstr>
      <vt:lpstr>backers_count_failed</vt:lpstr>
      <vt:lpstr>backers_count_successful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Britton</cp:lastModifiedBy>
  <dcterms:created xsi:type="dcterms:W3CDTF">2021-09-29T18:52:28Z</dcterms:created>
  <dcterms:modified xsi:type="dcterms:W3CDTF">2024-06-19T21:25:46Z</dcterms:modified>
</cp:coreProperties>
</file>