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umcutrecht-my.sharepoint.com/personal/c_vanderzee-3_umcutrecht_nl/Documents/1b. Carbon Footprint/1. Draft/Shared Folder/"/>
    </mc:Choice>
  </mc:AlternateContent>
  <xr:revisionPtr revIDLastSave="2" documentId="8_{44165C2F-B35B-4E6D-B8CF-00C55E8F92A0}" xr6:coauthVersionLast="47" xr6:coauthVersionMax="47" xr10:uidLastSave="{25CA1726-5799-4594-9E68-5E6DC14590D1}"/>
  <bookViews>
    <workbookView xWindow="16476" yWindow="5712" windowWidth="11520" windowHeight="7104" xr2:uid="{00000000-000D-0000-FFFF-FFFF00000000}"/>
  </bookViews>
  <sheets>
    <sheet name="Used Data Poi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 i="1" l="1"/>
  <c r="F27" i="1"/>
  <c r="F28" i="1"/>
  <c r="F29" i="1"/>
  <c r="I5" i="1" l="1"/>
  <c r="H5" i="1" s="1"/>
  <c r="J5" i="1" s="1"/>
  <c r="N5" i="1"/>
  <c r="M5" i="1" s="1"/>
  <c r="I15" i="1"/>
  <c r="H15" i="1" s="1"/>
  <c r="M15" i="1"/>
  <c r="N15" i="1"/>
  <c r="H3" i="1"/>
  <c r="N12" i="1"/>
  <c r="M12" i="1" s="1"/>
  <c r="N11" i="1"/>
  <c r="M11" i="1" s="1"/>
  <c r="H12" i="1"/>
  <c r="J12" i="1" s="1"/>
  <c r="H11" i="1"/>
  <c r="N6" i="1"/>
  <c r="N10" i="1"/>
  <c r="M25" i="1"/>
  <c r="N25" i="1" s="1"/>
  <c r="H25" i="1"/>
  <c r="J25" i="1" s="1"/>
  <c r="M24" i="1"/>
  <c r="N24" i="1" s="1"/>
  <c r="H24" i="1"/>
  <c r="J24" i="1" s="1"/>
  <c r="M23" i="1"/>
  <c r="N23" i="1" s="1"/>
  <c r="J23" i="1"/>
  <c r="H23" i="1" s="1"/>
  <c r="I23" i="1" s="1"/>
  <c r="M22" i="1"/>
  <c r="N22" i="1" s="1"/>
  <c r="H22" i="1"/>
  <c r="J22" i="1" s="1"/>
  <c r="M21" i="1"/>
  <c r="N21" i="1" s="1"/>
  <c r="J21" i="1"/>
  <c r="H21" i="1" s="1"/>
  <c r="I21" i="1" s="1"/>
  <c r="M20" i="1"/>
  <c r="L20" i="1" s="1"/>
  <c r="K20" i="1" s="1"/>
  <c r="H20" i="1"/>
  <c r="I20" i="1" s="1"/>
  <c r="M19" i="1"/>
  <c r="N19" i="1" s="1"/>
  <c r="H19" i="1"/>
  <c r="J19" i="1" s="1"/>
  <c r="M18" i="1"/>
  <c r="L18" i="1" s="1"/>
  <c r="K18" i="1" s="1"/>
  <c r="H18" i="1"/>
  <c r="I18" i="1" s="1"/>
  <c r="K17" i="1"/>
  <c r="J17" i="1"/>
  <c r="M17" i="1" s="1"/>
  <c r="N17" i="1" s="1"/>
  <c r="M16" i="1"/>
  <c r="N16" i="1" s="1"/>
  <c r="J16" i="1"/>
  <c r="H16" i="1" s="1"/>
  <c r="I16" i="1" s="1"/>
  <c r="K14" i="1"/>
  <c r="H14" i="1"/>
  <c r="I14" i="1" s="1"/>
  <c r="M13" i="1"/>
  <c r="N13" i="1" s="1"/>
  <c r="J13" i="1"/>
  <c r="H13" i="1" s="1"/>
  <c r="I13" i="1" s="1"/>
  <c r="L10" i="1"/>
  <c r="K10" i="1" s="1"/>
  <c r="H10" i="1"/>
  <c r="I10" i="1" s="1"/>
  <c r="K9" i="1"/>
  <c r="H9" i="1"/>
  <c r="I9" i="1" s="1"/>
  <c r="M8" i="1"/>
  <c r="N8" i="1" s="1"/>
  <c r="J8" i="1"/>
  <c r="H8" i="1" s="1"/>
  <c r="I8" i="1" s="1"/>
  <c r="M7" i="1"/>
  <c r="N7" i="1" s="1"/>
  <c r="K7" i="1"/>
  <c r="L7" i="1" s="1"/>
  <c r="H6" i="1"/>
  <c r="K6" i="1" s="1"/>
  <c r="L6" i="1" s="1"/>
  <c r="M4" i="1"/>
  <c r="N4" i="1" s="1"/>
  <c r="J4" i="1"/>
  <c r="H4" i="1" s="1"/>
  <c r="I4" i="1" s="1"/>
  <c r="K2" i="1"/>
  <c r="H2" i="1"/>
  <c r="J2" i="1" l="1"/>
  <c r="K5" i="1"/>
  <c r="F26" i="1"/>
  <c r="K12" i="1"/>
  <c r="L12" i="1" s="1"/>
  <c r="I2" i="1"/>
  <c r="I25" i="1"/>
  <c r="I22" i="1"/>
  <c r="I19" i="1"/>
  <c r="I24" i="1"/>
  <c r="I6" i="1"/>
  <c r="L13" i="1"/>
  <c r="K13" i="1" s="1"/>
  <c r="K24" i="1"/>
  <c r="L24" i="1" s="1"/>
  <c r="N20" i="1"/>
  <c r="N18" i="1"/>
  <c r="H7" i="1"/>
  <c r="M9" i="1"/>
  <c r="N9" i="1" s="1"/>
  <c r="L8" i="1"/>
  <c r="K8" i="1" s="1"/>
  <c r="L23" i="1"/>
  <c r="K23" i="1" s="1"/>
  <c r="K25" i="1"/>
  <c r="L25" i="1" s="1"/>
  <c r="K19" i="1"/>
  <c r="L19" i="1" s="1"/>
  <c r="L21" i="1"/>
  <c r="K21" i="1" s="1"/>
  <c r="L4" i="1"/>
  <c r="K4" i="1" s="1"/>
  <c r="M14" i="1"/>
  <c r="N14" i="1" s="1"/>
  <c r="L5" i="1"/>
  <c r="H17" i="1"/>
  <c r="K22" i="1"/>
  <c r="L22" i="1" s="1"/>
  <c r="J6" i="1"/>
  <c r="L16" i="1"/>
  <c r="K16" i="1" s="1"/>
  <c r="M2" i="1"/>
  <c r="H31" i="1" l="1"/>
  <c r="H30" i="1"/>
  <c r="N2" i="1"/>
  <c r="N26" i="1" s="1"/>
  <c r="M31" i="1"/>
  <c r="M30" i="1"/>
  <c r="I17" i="1"/>
  <c r="J7" i="1"/>
  <c r="I7" i="1"/>
  <c r="N27" i="1"/>
  <c r="N28" i="1"/>
  <c r="M28" i="1"/>
  <c r="M27" i="1"/>
  <c r="M29" i="1"/>
  <c r="N29" i="1" l="1"/>
  <c r="N31" i="1"/>
  <c r="N30" i="1"/>
  <c r="K11" i="1"/>
  <c r="L11" i="1" l="1"/>
  <c r="J11" i="1"/>
  <c r="I26" i="1" l="1"/>
  <c r="L3" i="1"/>
  <c r="K3" i="1" s="1"/>
  <c r="K15" i="1" l="1"/>
  <c r="L15" i="1" s="1"/>
  <c r="K29" i="1"/>
  <c r="H29" i="1"/>
  <c r="H27" i="1"/>
  <c r="H28" i="1"/>
  <c r="J15" i="1"/>
  <c r="J27" i="1" s="1"/>
  <c r="K31" i="1" l="1"/>
  <c r="K30" i="1"/>
  <c r="J28" i="1"/>
  <c r="K27" i="1"/>
  <c r="K28" i="1"/>
  <c r="L28" i="1"/>
  <c r="L27" i="1"/>
  <c r="L29" i="1"/>
  <c r="J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 authorId="0" shapeId="0" xr:uid="{00000000-0006-0000-0000-000001000000}">
      <text>
        <r>
          <rPr>
            <sz val="10"/>
            <color rgb="FF000000"/>
            <rFont val="Arial"/>
            <family val="2"/>
            <scheme val="minor"/>
          </rPr>
          <t>= total of 203,202 kilometres in travel distance / 263 reviews</t>
        </r>
      </text>
    </comment>
    <comment ref="L3" authorId="0" shapeId="0" xr:uid="{8B44D435-E604-4EBF-99E7-2F516EC080AA}">
      <text>
        <r>
          <rPr>
            <sz val="10"/>
            <color rgb="FF000000"/>
            <rFont val="Arial"/>
            <family val="2"/>
            <scheme val="minor"/>
          </rPr>
          <t>= 70.45 kgCO2e / 251 miles travelled over 3 months</t>
        </r>
      </text>
    </comment>
    <comment ref="P3" authorId="0" shapeId="0" xr:uid="{9668C413-21B4-4DE0-A773-9205DE6A1F10}">
      <text>
        <r>
          <rPr>
            <sz val="10"/>
            <color rgb="FF000000"/>
            <rFont val="Arial"/>
            <family val="2"/>
            <scheme val="minor"/>
          </rPr>
          <t>Energy use for rooms, telecommunications, personal protective equipment, water use, staff travel, patient travel</t>
        </r>
      </text>
    </comment>
    <comment ref="M4" authorId="0" shapeId="0" xr:uid="{00000000-0006-0000-0000-000004000000}">
      <text>
        <r>
          <rPr>
            <sz val="10"/>
            <color rgb="FF000000"/>
            <rFont val="Arial"/>
            <family val="2"/>
            <scheme val="minor"/>
          </rPr>
          <t>= Carbon dioxide emissions avoided (14.5 metric tons) / automobile travel distance saved (34,158 miles)</t>
        </r>
      </text>
    </comment>
    <comment ref="M5" authorId="0" shapeId="0" xr:uid="{00000000-0006-0000-0000-000005000000}">
      <text>
        <r>
          <rPr>
            <sz val="10"/>
            <color rgb="FF000000"/>
            <rFont val="Arial"/>
            <family val="2"/>
            <scheme val="minor"/>
          </rPr>
          <t>38,095 kg CO2e = average-sized car for each fuel type, consistent with 37,659 for diesel and 38,969 for petrol cars</t>
        </r>
      </text>
    </comment>
    <comment ref="P5" authorId="0" shapeId="0" xr:uid="{00000000-0006-0000-0000-000006000000}">
      <text>
        <r>
          <rPr>
            <sz val="10"/>
            <color rgb="FF000000"/>
            <rFont val="Arial"/>
            <family val="2"/>
            <scheme val="minor"/>
          </rPr>
          <t>PC hardware (Desktop, 24 in LCD monitor, webcam, audio hardware, microphone), laptop, mobile phone, cordless telephone</t>
        </r>
      </text>
    </comment>
    <comment ref="P6" authorId="0" shapeId="0" xr:uid="{00000000-0006-0000-0000-000007000000}">
      <text>
        <r>
          <rPr>
            <sz val="10"/>
            <color rgb="FF000000"/>
            <rFont val="Arial"/>
            <family val="2"/>
            <scheme val="minor"/>
          </rPr>
          <t>"Had these patients attended clinic, they would have travelled a total of 1180.10 km (mean 39.34 km, range 1.76–241.26 km), with only 64.74 km (5.8%) undertaken by public transport (Table 1). The greenhouse gas emissions arising from each patient’s travel were calculated using DEFRA conversion factors specific to the transport modality that they would use to attend their local clinic."</t>
        </r>
      </text>
    </comment>
    <comment ref="J7" authorId="0" shapeId="0" xr:uid="{00000000-0006-0000-0000-000008000000}">
      <text>
        <r>
          <rPr>
            <sz val="10"/>
            <color rgb="FF000000"/>
            <rFont val="Arial"/>
            <family val="2"/>
            <scheme val="minor"/>
          </rPr>
          <t>Median NOT MEAN (IQR) distance travelled by each patient was 4.3 (2.5-6) miles</t>
        </r>
      </text>
    </comment>
    <comment ref="K7" authorId="0" shapeId="0" xr:uid="{00000000-0006-0000-0000-000009000000}">
      <text>
        <r>
          <rPr>
            <sz val="10"/>
            <color rgb="FF000000"/>
            <rFont val="Arial"/>
            <family val="2"/>
            <scheme val="minor"/>
          </rPr>
          <t>= 2.93 metric tonnes of carbon dioxide equivalent (CO2e) production for cars / 15,085 patient journey kilmetres avoided</t>
        </r>
      </text>
    </comment>
    <comment ref="M7" authorId="0" shapeId="0" xr:uid="{00000000-0006-0000-0000-00000A000000}">
      <text>
        <r>
          <rPr>
            <sz val="10"/>
            <color rgb="FF000000"/>
            <rFont val="Arial"/>
            <family val="2"/>
            <scheme val="minor"/>
          </rPr>
          <t>= 2.93 metric tonnes of carbon dioxide equivalent (CO2e) production / 1008 VCs</t>
        </r>
      </text>
    </comment>
    <comment ref="F8" authorId="0" shapeId="0" xr:uid="{00000000-0006-0000-0000-00000B000000}">
      <text>
        <r>
          <rPr>
            <sz val="10"/>
            <color rgb="FF000000"/>
            <rFont val="Arial"/>
            <family val="2"/>
            <scheme val="minor"/>
          </rPr>
          <t>"Of 1016 scheduled consultations, 736 (72.44%) were conducted by VCs over the study period."</t>
        </r>
      </text>
    </comment>
    <comment ref="J8" authorId="0" shapeId="0" xr:uid="{00000000-0006-0000-0000-00000C000000}">
      <text>
        <r>
          <rPr>
            <sz val="10"/>
            <color rgb="FF000000"/>
            <rFont val="Arial"/>
            <family val="2"/>
            <scheme val="minor"/>
          </rPr>
          <t>= overall reduction in round-trip distance travelled by patients of 31,038 miles / 736 VCs over the study period</t>
        </r>
      </text>
    </comment>
    <comment ref="M8" authorId="0" shapeId="0" xr:uid="{00000000-0006-0000-0000-00000D000000}">
      <text>
        <r>
          <rPr>
            <sz val="10"/>
            <color rgb="FF000000"/>
            <rFont val="Arial"/>
            <family val="2"/>
            <scheme val="minor"/>
          </rPr>
          <t>= estimated 6.07 tonnes of CO2 emissions / 442 'car travellers'</t>
        </r>
      </text>
    </comment>
    <comment ref="P8" authorId="0" shapeId="0" xr:uid="{00000000-0006-0000-0000-00000E000000}">
      <text>
        <r>
          <rPr>
            <sz val="10"/>
            <color rgb="FF000000"/>
            <rFont val="Arial"/>
            <family val="2"/>
            <scheme val="minor"/>
          </rPr>
          <t>Public transport</t>
        </r>
      </text>
    </comment>
    <comment ref="J9" authorId="0" shapeId="0" xr:uid="{00000000-0006-0000-0000-00000F000000}">
      <text>
        <r>
          <rPr>
            <sz val="10"/>
            <color rgb="FF000000"/>
            <rFont val="Arial"/>
            <family val="2"/>
            <scheme val="minor"/>
          </rPr>
          <t>± 34</t>
        </r>
      </text>
    </comment>
    <comment ref="Q9" authorId="0" shapeId="0" xr:uid="{00000000-0006-0000-0000-000010000000}">
      <text>
        <r>
          <rPr>
            <sz val="10"/>
            <color rgb="FF000000"/>
            <rFont val="Arial"/>
            <family val="2"/>
            <scheme val="minor"/>
          </rPr>
          <t>CO2, VOC, CO, NOx, PM10, and PM2.5</t>
        </r>
      </text>
    </comment>
    <comment ref="J10" authorId="0" shapeId="0" xr:uid="{00000000-0006-0000-0000-000012000000}">
      <text>
        <r>
          <rPr>
            <sz val="10"/>
            <color rgb="FF000000"/>
            <rFont val="Arial"/>
            <family val="2"/>
            <scheme val="minor"/>
          </rPr>
          <t>± 142.6</t>
        </r>
      </text>
    </comment>
    <comment ref="M10" authorId="0" shapeId="0" xr:uid="{00000000-0006-0000-0000-000013000000}">
      <text>
        <r>
          <rPr>
            <sz val="10"/>
            <color rgb="FF000000"/>
            <rFont val="Arial"/>
            <family val="2"/>
            <scheme val="minor"/>
          </rPr>
          <t xml:space="preserve">± 57.60
</t>
        </r>
      </text>
    </comment>
    <comment ref="P11" authorId="0" shapeId="0" xr:uid="{0443615B-C8F0-48D6-9A18-F5AFDC2554F9}">
      <text>
        <r>
          <rPr>
            <sz val="10"/>
            <color rgb="FF000000"/>
            <rFont val="Arial"/>
            <family val="2"/>
            <scheme val="minor"/>
          </rPr>
          <t>PC (desktop, laptop, camera, sound system, microphone), monitor (46" NEC LCD), videoconference (camera + codec [Cisco SX20], Local Area Network [LAN] end-points)</t>
        </r>
      </text>
    </comment>
    <comment ref="P12" authorId="0" shapeId="0" xr:uid="{DE02FB45-A4D1-40AD-9C5E-3BA5F1D4EBBB}">
      <text>
        <r>
          <rPr>
            <sz val="10"/>
            <color rgb="FF000000"/>
            <rFont val="Arial"/>
            <family val="2"/>
            <scheme val="minor"/>
          </rPr>
          <t>PC (desktop, laptop, camera, sound system, microphone), monitor (46" NEC LCD), videoconference (camera + codec [Cisco SX20], Local Area Network [LAN] end-points)</t>
        </r>
      </text>
    </comment>
    <comment ref="L14" authorId="0" shapeId="0" xr:uid="{00000000-0006-0000-0000-000019000000}">
      <text>
        <r>
          <rPr>
            <sz val="10"/>
            <color rgb="FF000000"/>
            <rFont val="Arial"/>
            <family val="2"/>
            <scheme val="minor"/>
          </rPr>
          <t>"Estimated emission factors (grams of CO2 equivalents of gas emitted per mile driven) for each GHG were based on the most recent US EPA and Federal Highway Administration (FHWA) data from 2017 for light-duty vehicles in West Virginia and are the following: CO2344.85, CH4-0.36, N2O -2 . 8 4, an d HFC-7.47."</t>
        </r>
      </text>
    </comment>
    <comment ref="Q14" authorId="0" shapeId="0" xr:uid="{00000000-0006-0000-0000-00001A000000}">
      <text>
        <r>
          <rPr>
            <sz val="10"/>
            <color rgb="FF000000"/>
            <rFont val="Arial"/>
            <family val="2"/>
            <scheme val="minor"/>
          </rPr>
          <t>CO2, CH4, N2O, and HFC
"Computer energy consumption also diminishes the environmental benefit of virtual isotretinoin management; however, in-person visits also utilize computer documentation, and the difference in computer energy consumption for virtual versus in-person visits is likely insignificant."</t>
        </r>
      </text>
    </comment>
    <comment ref="Q15" authorId="0" shapeId="0" xr:uid="{00000000-0006-0000-0000-00001B000000}">
      <text>
        <r>
          <rPr>
            <sz val="10"/>
            <color rgb="FF000000"/>
            <rFont val="Arial"/>
            <family val="2"/>
            <scheme val="minor"/>
          </rPr>
          <t>"To estimate carbon dioxide emissions associated with use of videoconferencing equipment, a Watts Up Pro meter was used to obtain sample electricity demand (i.e., watt) values for devices. A 32" LCD videoconference unit was selected to conduct this investigation."
PM, SOx, NOx
"CH4 and N2O were considered to have global warming potentials 21 times and 310 times, respectively, greater than CO2"</t>
        </r>
      </text>
    </comment>
    <comment ref="J17" authorId="0" shapeId="0" xr:uid="{00000000-0006-0000-0000-00001C000000}">
      <text>
        <r>
          <rPr>
            <sz val="10"/>
            <color rgb="FF000000"/>
            <rFont val="Arial"/>
            <family val="2"/>
            <scheme val="minor"/>
          </rPr>
          <t>Standard deviation 84.40 (= 42.20 * 2)</t>
        </r>
      </text>
    </comment>
    <comment ref="P19" authorId="0" shapeId="0" xr:uid="{00000000-0006-0000-0000-00001D000000}">
      <text>
        <r>
          <rPr>
            <sz val="10"/>
            <color rgb="FF000000"/>
            <rFont val="Arial"/>
            <family val="2"/>
            <scheme val="minor"/>
          </rPr>
          <t>Taxi, bus, ambulance, walk</t>
        </r>
      </text>
    </comment>
    <comment ref="Q20" authorId="0" shapeId="0" xr:uid="{00000000-0006-0000-0000-00001E000000}">
      <text>
        <r>
          <rPr>
            <sz val="10"/>
            <color rgb="FF000000"/>
            <rFont val="Arial"/>
            <family val="2"/>
            <scheme val="minor"/>
          </rPr>
          <t>Carbon dioxide, carbon monoxide, nitric oxides, and volatile organic compounds</t>
        </r>
      </text>
    </comment>
    <comment ref="Q24" authorId="0" shapeId="0" xr:uid="{00000000-0006-0000-0000-000021000000}">
      <text>
        <r>
          <rPr>
            <sz val="10"/>
            <color rgb="FF000000"/>
            <rFont val="Arial"/>
            <family val="2"/>
            <scheme val="minor"/>
          </rPr>
          <t>Carbon dioxide, carbon monoxide, nitric oxide, and sulphur dioxide</t>
        </r>
      </text>
    </comment>
  </commentList>
</comments>
</file>

<file path=xl/sharedStrings.xml><?xml version="1.0" encoding="utf-8"?>
<sst xmlns="http://schemas.openxmlformats.org/spreadsheetml/2006/main" count="201" uniqueCount="75">
  <si>
    <t>Author</t>
  </si>
  <si>
    <t>Year</t>
  </si>
  <si>
    <t>Country</t>
  </si>
  <si>
    <t>Region</t>
  </si>
  <si>
    <t>Source used</t>
  </si>
  <si>
    <t>Population</t>
  </si>
  <si>
    <r>
      <rPr>
        <sz val="10"/>
        <color rgb="FF000000"/>
        <rFont val="Arial"/>
        <family val="2"/>
      </rPr>
      <t xml:space="preserve">Mean </t>
    </r>
    <r>
      <rPr>
        <b/>
        <sz val="10"/>
        <color rgb="FF000000"/>
        <rFont val="Arial"/>
        <family val="2"/>
      </rPr>
      <t xml:space="preserve">roundtrip </t>
    </r>
    <r>
      <rPr>
        <sz val="10"/>
        <color rgb="FF000000"/>
        <rFont val="Arial"/>
        <family val="2"/>
      </rPr>
      <t>km's</t>
    </r>
  </si>
  <si>
    <r>
      <rPr>
        <sz val="10"/>
        <color rgb="FF000000"/>
        <rFont val="Arial"/>
        <family val="2"/>
      </rPr>
      <t xml:space="preserve">Mean </t>
    </r>
    <r>
      <rPr>
        <b/>
        <sz val="10"/>
        <color rgb="FF000000"/>
        <rFont val="Arial"/>
        <family val="2"/>
      </rPr>
      <t xml:space="preserve">roundtrip </t>
    </r>
    <r>
      <rPr>
        <sz val="10"/>
        <color rgb="FF000000"/>
        <rFont val="Arial"/>
        <family val="2"/>
      </rPr>
      <t>miles</t>
    </r>
  </si>
  <si>
    <t>Mean emissions in kgCO2(e)/km</t>
  </si>
  <si>
    <t>Mean emissions in kgCO2(e)/mile</t>
  </si>
  <si>
    <t>Mean roundtrip emissions in kgCO2(e)</t>
  </si>
  <si>
    <t>Outcome other than CO2e</t>
  </si>
  <si>
    <t>Pro/retrospective</t>
  </si>
  <si>
    <t>Andrew</t>
  </si>
  <si>
    <t>Aus</t>
  </si>
  <si>
    <t>US EPA. Greenhouse Gas Emissions from a Typical Passenger Vehicle</t>
  </si>
  <si>
    <t>Prospective</t>
  </si>
  <si>
    <t>Bartlett</t>
  </si>
  <si>
    <t>UK</t>
  </si>
  <si>
    <t>BEIS. Government conversion factors for company reporting of greenhouse gas emissions</t>
  </si>
  <si>
    <t>Retrospective</t>
  </si>
  <si>
    <t>Beswick</t>
  </si>
  <si>
    <t>USA</t>
  </si>
  <si>
    <t>NA</t>
  </si>
  <si>
    <t>US EPA. Passenger vehicles per year</t>
  </si>
  <si>
    <t>Blenkinsop</t>
  </si>
  <si>
    <t>Connor</t>
  </si>
  <si>
    <t>DEFRA. Guidelines to DEFRA/DECC's GHG conversion factors for company reporting</t>
  </si>
  <si>
    <t>Carbon Footprint. Carbon Calculator</t>
  </si>
  <si>
    <t>Croghan</t>
  </si>
  <si>
    <t>Dullet</t>
  </si>
  <si>
    <t>US EPA. Greenhouse gas equivalences calculator</t>
  </si>
  <si>
    <t>CO2</t>
  </si>
  <si>
    <t>Carbon Neutral. Carbon Calculator</t>
  </si>
  <si>
    <t>Evers</t>
  </si>
  <si>
    <t>Holmner</t>
  </si>
  <si>
    <t>Swe</t>
  </si>
  <si>
    <t>EU</t>
  </si>
  <si>
    <t>Leduc 2010</t>
  </si>
  <si>
    <t>Jiang</t>
  </si>
  <si>
    <t>Lee</t>
  </si>
  <si>
    <t>Masino</t>
  </si>
  <si>
    <t>Can</t>
  </si>
  <si>
    <t>Government of Canada. National inventory report : greenhouse gas sources and sinks in Canada</t>
  </si>
  <si>
    <t>CO2eq</t>
  </si>
  <si>
    <t>Miah</t>
  </si>
  <si>
    <t>Mojdehbakhsh</t>
  </si>
  <si>
    <t>O'Connell</t>
  </si>
  <si>
    <t>Oliveira</t>
  </si>
  <si>
    <t>Por</t>
  </si>
  <si>
    <t>Paquette</t>
  </si>
  <si>
    <t>Robinson</t>
  </si>
  <si>
    <t>Schulz</t>
  </si>
  <si>
    <t>Udayaraj</t>
  </si>
  <si>
    <t>NEF. Simple Carbon Calculator</t>
  </si>
  <si>
    <t>Vidal-Alaball</t>
  </si>
  <si>
    <t>Spain</t>
  </si>
  <si>
    <t>Generalitat de Catalunya. Mobilitat i emissions</t>
  </si>
  <si>
    <t>Wootton</t>
  </si>
  <si>
    <t>DEFRA. Act on CO2 Calculator: Public Trial Version</t>
  </si>
  <si>
    <t>Median</t>
  </si>
  <si>
    <t>IQR1</t>
  </si>
  <si>
    <t>IQR3</t>
  </si>
  <si>
    <t>Context</t>
  </si>
  <si>
    <t>Surgery</t>
  </si>
  <si>
    <t>Clinic</t>
  </si>
  <si>
    <t>Total</t>
  </si>
  <si>
    <t>Total roundtrip km's</t>
  </si>
  <si>
    <t>Life Cycle Analysis (LCA)</t>
  </si>
  <si>
    <t>LCA Included</t>
  </si>
  <si>
    <t>LCA Excluded</t>
  </si>
  <si>
    <t>Total emissions savings in kgCO2(e)</t>
  </si>
  <si>
    <t>Number of remote visits</t>
  </si>
  <si>
    <t>Average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</si>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</sst>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
  </numFmts>
  <fonts count="10" x14ac:knownFonts="1">
    <font>
      <sz val="10"/>
      <color rgb="FF000000"/>
      <name val="Arial"/>
      <scheme val="minor"/>
    </font>
    <font>
      <sz val="10"/>
      <color rgb="FF000000"/>
      <name val="Arial"/>
      <family val="2"/>
    </font>
    <font>
      <sz val="10"/>
      <color theme="1"/>
      <name val="Arial"/>
      <family val="2"/>
      <scheme val="minor"/>
    </font>
    <font>
      <sz val="10"/>
      <color theme="1"/>
      <name val="Arial"/>
      <family val="2"/>
    </font>
    <font>
      <u/>
      <sz val="10"/>
      <color rgb="FF1155CC"/>
      <name val="Arial"/>
      <family val="2"/>
    </font>
    <font>
      <b/>
      <sz val="8"/>
      <color rgb="FF000000"/>
      <name val="Arial"/>
      <family val="2"/>
    </font>
    <font>
      <u/>
      <sz val="10"/>
      <color rgb="FF1155CC"/>
      <name val="Arial"/>
      <family val="2"/>
    </font>
    <font>
      <sz val="11"/>
      <color rgb="FF000000"/>
      <name val="Inconsolata"/>
    </font>
    <font>
      <b/>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wrapText="1"/>
    </xf>
    <xf numFmtId="0" fontId="4" fillId="0" borderId="0" xfId="0" applyFont="1" applyAlignment="1">
      <alignment wrapText="1"/>
    </xf>
    <xf numFmtId="1" fontId="2" fillId="0" borderId="0" xfId="0" applyNumberFormat="1" applyFont="1" applyAlignment="1">
      <alignment wrapText="1"/>
    </xf>
    <xf numFmtId="164" fontId="3" fillId="0" borderId="0" xfId="0" applyNumberFormat="1" applyFont="1" applyAlignment="1">
      <alignment wrapText="1"/>
    </xf>
    <xf numFmtId="1" fontId="3" fillId="0" borderId="0" xfId="0" applyNumberFormat="1" applyFont="1" applyAlignment="1">
      <alignment wrapText="1"/>
    </xf>
    <xf numFmtId="0" fontId="5" fillId="0" borderId="2" xfId="0" applyFont="1" applyBorder="1" applyAlignment="1">
      <alignment horizontal="left" wrapText="1"/>
    </xf>
    <xf numFmtId="0" fontId="2" fillId="0" borderId="0" xfId="0" applyFont="1" applyAlignment="1">
      <alignment wrapText="1"/>
    </xf>
    <xf numFmtId="0" fontId="6" fillId="0" borderId="0" xfId="0" applyFont="1" applyAlignment="1">
      <alignment wrapText="1"/>
    </xf>
    <xf numFmtId="165" fontId="2" fillId="0" borderId="0" xfId="0" applyNumberFormat="1" applyFont="1" applyAlignment="1">
      <alignment wrapText="1"/>
    </xf>
    <xf numFmtId="2" fontId="2" fillId="0" borderId="0" xfId="0" applyNumberFormat="1" applyFont="1" applyAlignment="1">
      <alignment wrapText="1"/>
    </xf>
    <xf numFmtId="166" fontId="3" fillId="0" borderId="0" xfId="0" applyNumberFormat="1" applyFont="1" applyAlignment="1">
      <alignment wrapText="1"/>
    </xf>
    <xf numFmtId="0" fontId="2" fillId="0" borderId="0" xfId="0" applyFont="1"/>
    <xf numFmtId="165" fontId="2" fillId="0" borderId="0" xfId="0" applyNumberFormat="1" applyFont="1"/>
    <xf numFmtId="164" fontId="2" fillId="0" borderId="0" xfId="0" applyNumberFormat="1" applyFont="1"/>
    <xf numFmtId="0" fontId="7" fillId="2" borderId="0" xfId="0" applyFont="1" applyFill="1"/>
    <xf numFmtId="2" fontId="2" fillId="0" borderId="0" xfId="0" applyNumberFormat="1" applyFont="1"/>
    <xf numFmtId="1" fontId="2" fillId="0" borderId="0" xfId="0" applyNumberFormat="1" applyFont="1"/>
    <xf numFmtId="0" fontId="5" fillId="0" borderId="0" xfId="0" applyFont="1" applyAlignment="1">
      <alignment horizontal="left" wrapText="1"/>
    </xf>
    <xf numFmtId="1" fontId="0" fillId="0" borderId="0" xfId="0" applyNumberFormat="1"/>
    <xf numFmtId="165"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greenvehicles/greenhouse-gas-emissions-typical-passenger-vehicle" TargetMode="External"/><Relationship Id="rId13" Type="http://schemas.openxmlformats.org/officeDocument/2006/relationships/hyperlink" Target="https://www.epa.gov/energy/greenhouse-gases-equivalencies-calculator-calculations-and-references" TargetMode="External"/><Relationship Id="rId18" Type="http://schemas.openxmlformats.org/officeDocument/2006/relationships/hyperlink" Target="http://carbonneutral.com.au/carbon-calculator/" TargetMode="External"/><Relationship Id="rId26" Type="http://schemas.openxmlformats.org/officeDocument/2006/relationships/comments" Target="../comments1.xml"/><Relationship Id="rId3" Type="http://schemas.openxmlformats.org/officeDocument/2006/relationships/hyperlink" Target="https://www.gov.uk/government/collections/government-conversion-factors-for-company-reporting" TargetMode="External"/><Relationship Id="rId21" Type="http://schemas.openxmlformats.org/officeDocument/2006/relationships/hyperlink" Target="https://webarchive.nationalarchives.gov.uk/ukgwa/20121208175729/http:/carboncalculator.direct.gov.uk/carboncalc/html/index.aspx" TargetMode="External"/><Relationship Id="rId7" Type="http://schemas.openxmlformats.org/officeDocument/2006/relationships/hyperlink" Target="https://www.epa.gov/energy/greenhouse-gases-equivalencies-calculator-calculations-and-references" TargetMode="External"/><Relationship Id="rId12" Type="http://schemas.openxmlformats.org/officeDocument/2006/relationships/hyperlink" Target="https://www.carbonfootprint.com/calculator.aspx" TargetMode="External"/><Relationship Id="rId17" Type="http://schemas.openxmlformats.org/officeDocument/2006/relationships/hyperlink" Target="https://www.epa.gov/energy/greenhouse-gases-equivalencies-calculator-calculations-and-references" TargetMode="External"/><Relationship Id="rId25" Type="http://schemas.openxmlformats.org/officeDocument/2006/relationships/vmlDrawing" Target="../drawings/vmlDrawing1.vml"/><Relationship Id="rId2" Type="http://schemas.openxmlformats.org/officeDocument/2006/relationships/hyperlink" Target="http://www.epa.gov/cleanenergy/energy-resources/refs.html" TargetMode="External"/><Relationship Id="rId16" Type="http://schemas.openxmlformats.org/officeDocument/2006/relationships/hyperlink" Target="https://www.epa.gov/greenvehicles/greenhouse-gas-emissions-typical-passenger-vehicle" TargetMode="External"/><Relationship Id="rId20" Type="http://schemas.openxmlformats.org/officeDocument/2006/relationships/hyperlink" Target="http://mobilitat.gencat.cat/ca/detalls/Article/mobilitat_emissions" TargetMode="External"/><Relationship Id="rId1" Type="http://schemas.openxmlformats.org/officeDocument/2006/relationships/hyperlink" Target="https://www.epa.gov/greenvehicles/greenhouse-gas-emissions-typical-passenger-vehicle" TargetMode="External"/><Relationship Id="rId6" Type="http://schemas.openxmlformats.org/officeDocument/2006/relationships/hyperlink" Target="https://www.carbonfootprint.com/calculator.aspx" TargetMode="External"/><Relationship Id="rId11" Type="http://schemas.openxmlformats.org/officeDocument/2006/relationships/hyperlink" Target="https://publications.gc.ca/site/eng/9.515696/publication.html" TargetMode="External"/><Relationship Id="rId24" Type="http://schemas.openxmlformats.org/officeDocument/2006/relationships/hyperlink" Target="https://www.gov.uk/government/collections/government-conversion-factors-for-company-reporting" TargetMode="External"/><Relationship Id="rId5" Type="http://schemas.openxmlformats.org/officeDocument/2006/relationships/hyperlink" Target="https://www.carbonfootprint.com/calculator.aspx" TargetMode="External"/><Relationship Id="rId15" Type="http://schemas.openxmlformats.org/officeDocument/2006/relationships/hyperlink" Target="https://www.defra.gov.uk/environment/business/reporting/conversion-factors.htm" TargetMode="External"/><Relationship Id="rId23" Type="http://schemas.openxmlformats.org/officeDocument/2006/relationships/hyperlink" Target="http://doi.org/10.1016/j.tranpol.2010.04.008" TargetMode="External"/><Relationship Id="rId10" Type="http://schemas.openxmlformats.org/officeDocument/2006/relationships/hyperlink" Target="https://www.epa.gov/energy/greenhouse-gases-equivalencies-calculator-calculations-and-references" TargetMode="External"/><Relationship Id="rId19" Type="http://schemas.openxmlformats.org/officeDocument/2006/relationships/hyperlink" Target="http://www.carbon-calculator.org.uk/" TargetMode="External"/><Relationship Id="rId4" Type="http://schemas.openxmlformats.org/officeDocument/2006/relationships/hyperlink" Target="https://www.defra.gov.uk/environment/business/reporting/conversion-factors.htm" TargetMode="External"/><Relationship Id="rId9" Type="http://schemas.openxmlformats.org/officeDocument/2006/relationships/hyperlink" Target="https://www.epa.gov/greenvehicles/greenhouse-gas-emissions-typical-passenger-vehicle" TargetMode="External"/><Relationship Id="rId14" Type="http://schemas.openxmlformats.org/officeDocument/2006/relationships/hyperlink" Target="https://www.carbonfootprint.com/calculator.aspx" TargetMode="External"/><Relationship Id="rId22" Type="http://schemas.openxmlformats.org/officeDocument/2006/relationships/hyperlink" Target="http://doi.org/10.1016/j.tranpol.2010.04.0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31"/>
  <sheetViews>
    <sheetView tabSelected="1" workbookViewId="0">
      <pane xSplit="2" ySplit="1" topLeftCell="M2" activePane="bottomRight" state="frozen"/>
      <selection pane="topRight" activeCell="C1" sqref="C1"/>
      <selection pane="bottomLeft" activeCell="A2" sqref="A2"/>
      <selection pane="bottomRight" activeCell="I24" sqref="I24"/>
    </sheetView>
  </sheetViews>
  <sheetFormatPr defaultColWidth="12.6640625" defaultRowHeight="15.75" customHeight="1" x14ac:dyDescent="0.25"/>
  <cols>
    <col min="1" max="1" width="11.88671875" customWidth="1"/>
    <col min="2" max="2" width="4.77734375" customWidth="1"/>
    <col min="3" max="4" width="6.88671875" customWidth="1"/>
    <col min="5" max="5" width="13.33203125" customWidth="1"/>
    <col min="6" max="6" width="17.44140625" customWidth="1"/>
    <col min="7" max="7" width="11.21875" customWidth="1"/>
    <col min="8" max="8" width="8.33203125" customWidth="1"/>
    <col min="9" max="9" width="9" bestFit="1" customWidth="1"/>
    <col min="10" max="10" width="8.33203125" customWidth="1"/>
    <col min="11" max="11" width="10.88671875" customWidth="1"/>
    <col min="12" max="12" width="11.77734375" customWidth="1"/>
    <col min="13" max="14" width="9.44140625" customWidth="1"/>
    <col min="15" max="15" width="15.109375" customWidth="1"/>
    <col min="16" max="16" width="8.6640625" customWidth="1"/>
    <col min="17" max="17" width="10.77734375" customWidth="1"/>
    <col min="18" max="18" width="13.6640625" customWidth="1"/>
  </cols>
  <sheetData>
    <row r="1" spans="1:34" ht="66" x14ac:dyDescent="0.25">
      <c r="A1" s="1" t="s">
        <v>0</v>
      </c>
      <c r="B1" s="1" t="s">
        <v>1</v>
      </c>
      <c r="C1" s="1" t="s">
        <v>2</v>
      </c>
      <c r="D1" s="1" t="s">
        <v>3</v>
      </c>
      <c r="E1" s="1" t="s">
        <v>4</v>
      </c>
      <c r="F1" s="1" t="s">
        <v>5</v>
      </c>
      <c r="G1" s="1" t="s">
        <v>72</v>
      </c>
      <c r="H1" s="2" t="s">
        <v>6</v>
      </c>
      <c r="I1" s="2" t="s">
        <v>67</v>
      </c>
      <c r="J1" s="2" t="s">
        <v>7</v>
      </c>
      <c r="K1" s="2" t="s">
        <v>8</v>
      </c>
      <c r="L1" s="2" t="s">
        <v>9</v>
      </c>
      <c r="M1" s="2" t="s">
        <v>10</v>
      </c>
      <c r="N1" s="1" t="s">
        <v>71</v>
      </c>
      <c r="O1" s="1" t="s">
        <v>63</v>
      </c>
      <c r="P1" s="1" t="s">
        <v>68</v>
      </c>
      <c r="Q1" s="1" t="s">
        <v>11</v>
      </c>
      <c r="R1" s="1" t="s">
        <v>12</v>
      </c>
      <c r="S1" s="3"/>
      <c r="T1" s="3"/>
      <c r="U1" s="3"/>
      <c r="V1" s="3"/>
      <c r="W1" s="3"/>
      <c r="X1" s="3"/>
      <c r="Y1" s="3"/>
      <c r="Z1" s="3"/>
      <c r="AA1" s="3"/>
      <c r="AB1" s="3"/>
      <c r="AC1" s="3"/>
      <c r="AD1" s="3"/>
      <c r="AE1" s="3"/>
      <c r="AF1" s="3"/>
      <c r="AG1" s="3"/>
      <c r="AH1" s="3"/>
    </row>
    <row r="2" spans="1:34" ht="79.2" x14ac:dyDescent="0.25">
      <c r="A2" s="4" t="s">
        <v>13</v>
      </c>
      <c r="B2" s="4">
        <v>2020</v>
      </c>
      <c r="C2" s="4" t="s">
        <v>14</v>
      </c>
      <c r="D2" s="4" t="s">
        <v>14</v>
      </c>
      <c r="E2" s="5" t="s">
        <v>15</v>
      </c>
      <c r="F2" s="4">
        <v>45</v>
      </c>
      <c r="G2" s="6">
        <v>263</v>
      </c>
      <c r="H2" s="6">
        <f>203202/263</f>
        <v>772.63117870722431</v>
      </c>
      <c r="I2" s="6">
        <f t="shared" ref="I2:I25" si="0">H2*G2</f>
        <v>203202</v>
      </c>
      <c r="J2" s="6">
        <f>H2/1.60934</f>
        <v>480.09194993427388</v>
      </c>
      <c r="K2" s="7">
        <f t="shared" ref="K2:K4" si="1">L2*0.621371192</f>
        <v>0.25103396156800001</v>
      </c>
      <c r="L2" s="4">
        <v>0.40400000000000003</v>
      </c>
      <c r="M2" s="8">
        <f>H2*K2</f>
        <v>193.95666562182788</v>
      </c>
      <c r="N2" s="8">
        <f t="shared" ref="N2:N25" si="2">M2*G2</f>
        <v>51010.603058540735</v>
      </c>
      <c r="O2" s="4" t="s">
        <v>64</v>
      </c>
      <c r="P2" s="9" t="s">
        <v>70</v>
      </c>
      <c r="R2" s="4" t="s">
        <v>16</v>
      </c>
    </row>
    <row r="3" spans="1:34" ht="105.6" x14ac:dyDescent="0.25">
      <c r="A3" s="10" t="s">
        <v>17</v>
      </c>
      <c r="B3" s="10">
        <v>2022</v>
      </c>
      <c r="C3" s="10" t="s">
        <v>18</v>
      </c>
      <c r="D3" s="10" t="s">
        <v>18</v>
      </c>
      <c r="E3" s="11" t="s">
        <v>19</v>
      </c>
      <c r="F3" s="6">
        <v>87</v>
      </c>
      <c r="G3" s="6">
        <v>21</v>
      </c>
      <c r="H3" s="12">
        <f>J3*1.60934</f>
        <v>19.235444761904763</v>
      </c>
      <c r="I3" s="6">
        <v>251</v>
      </c>
      <c r="J3" s="12">
        <f>I3/G3</f>
        <v>11.952380952380953</v>
      </c>
      <c r="K3" s="7">
        <f t="shared" ref="K3" si="3">L3*0.621371192</f>
        <v>0.19911109550820716</v>
      </c>
      <c r="L3" s="7">
        <f>M3/J3</f>
        <v>0.32043824701195217</v>
      </c>
      <c r="M3" s="10">
        <v>3.83</v>
      </c>
      <c r="N3" s="8">
        <v>16.760000000000002</v>
      </c>
      <c r="O3" s="10" t="s">
        <v>65</v>
      </c>
      <c r="P3" s="9" t="s">
        <v>69</v>
      </c>
      <c r="R3" s="10" t="s">
        <v>20</v>
      </c>
    </row>
    <row r="4" spans="1:34" ht="52.8" x14ac:dyDescent="0.25">
      <c r="A4" s="10" t="s">
        <v>21</v>
      </c>
      <c r="B4" s="10">
        <v>2016</v>
      </c>
      <c r="C4" s="10" t="s">
        <v>22</v>
      </c>
      <c r="D4" s="10" t="s">
        <v>23</v>
      </c>
      <c r="E4" s="11" t="s">
        <v>24</v>
      </c>
      <c r="F4" s="10">
        <v>21</v>
      </c>
      <c r="G4" s="6">
        <v>39</v>
      </c>
      <c r="H4" s="6">
        <f>J4*1.60934</f>
        <v>1409.5342492307691</v>
      </c>
      <c r="I4" s="6">
        <f t="shared" si="0"/>
        <v>54971.835719999995</v>
      </c>
      <c r="J4" s="6">
        <f>34158/(15+24)</f>
        <v>875.84615384615381</v>
      </c>
      <c r="K4" s="7">
        <f t="shared" si="1"/>
        <v>0.26377077943673516</v>
      </c>
      <c r="L4" s="7">
        <f>M4/J4</f>
        <v>0.42449792142397097</v>
      </c>
      <c r="M4" s="6">
        <f>14500/(15+24)</f>
        <v>371.79487179487177</v>
      </c>
      <c r="N4" s="8">
        <f t="shared" si="2"/>
        <v>14499.999999999998</v>
      </c>
      <c r="O4" s="10" t="s">
        <v>64</v>
      </c>
      <c r="P4" s="9" t="s">
        <v>70</v>
      </c>
      <c r="Q4" s="10"/>
      <c r="R4" s="10" t="s">
        <v>20</v>
      </c>
    </row>
    <row r="5" spans="1:34" ht="105.6" x14ac:dyDescent="0.25">
      <c r="A5" s="10" t="s">
        <v>25</v>
      </c>
      <c r="B5" s="10">
        <v>2021</v>
      </c>
      <c r="C5" s="10" t="s">
        <v>18</v>
      </c>
      <c r="D5" s="10" t="s">
        <v>18</v>
      </c>
      <c r="E5" s="11" t="s">
        <v>19</v>
      </c>
      <c r="F5" s="10">
        <v>1277</v>
      </c>
      <c r="G5" s="6">
        <v>1567</v>
      </c>
      <c r="H5" s="12">
        <f>I5/G5</f>
        <v>142.67677089980856</v>
      </c>
      <c r="I5" s="6">
        <f>223574.5</f>
        <v>223574.5</v>
      </c>
      <c r="J5" s="6">
        <f>H5/1.60934</f>
        <v>88.65545559037156</v>
      </c>
      <c r="K5" s="7">
        <f>N5/I5</f>
        <v>0.17001268033697939</v>
      </c>
      <c r="L5" s="7">
        <f t="shared" ref="L5:L7" si="4">K5/0.621371192</f>
        <v>0.27360888712874121</v>
      </c>
      <c r="M5" s="12">
        <f>N5/G5</f>
        <v>24.256860242501595</v>
      </c>
      <c r="N5" s="8">
        <f>38095-(2+167)/2</f>
        <v>38010.5</v>
      </c>
      <c r="O5" s="10" t="s">
        <v>65</v>
      </c>
      <c r="P5" s="9" t="s">
        <v>69</v>
      </c>
      <c r="Q5" s="10"/>
      <c r="R5" s="10" t="s">
        <v>20</v>
      </c>
    </row>
    <row r="6" spans="1:34" ht="105.6" x14ac:dyDescent="0.25">
      <c r="A6" s="10" t="s">
        <v>26</v>
      </c>
      <c r="B6" s="10">
        <v>2011</v>
      </c>
      <c r="C6" s="10" t="s">
        <v>18</v>
      </c>
      <c r="D6" s="10" t="s">
        <v>18</v>
      </c>
      <c r="E6" s="11" t="s">
        <v>27</v>
      </c>
      <c r="F6" s="10">
        <v>30</v>
      </c>
      <c r="G6" s="6">
        <v>30</v>
      </c>
      <c r="H6" s="12">
        <f>39.34</f>
        <v>39.340000000000003</v>
      </c>
      <c r="I6" s="6">
        <f t="shared" si="0"/>
        <v>1180.2</v>
      </c>
      <c r="J6" s="6">
        <f>H6/1.60934</f>
        <v>24.444803459803399</v>
      </c>
      <c r="K6" s="7">
        <f>M6/H6</f>
        <v>0.20462633451957296</v>
      </c>
      <c r="L6" s="7">
        <f t="shared" si="4"/>
        <v>0.3293141638268498</v>
      </c>
      <c r="M6" s="10">
        <v>8.0500000000000007</v>
      </c>
      <c r="N6" s="8">
        <f t="shared" si="2"/>
        <v>241.50000000000003</v>
      </c>
      <c r="O6" s="10" t="s">
        <v>64</v>
      </c>
      <c r="P6" s="9" t="s">
        <v>70</v>
      </c>
      <c r="Q6" s="10"/>
      <c r="R6" s="10" t="s">
        <v>16</v>
      </c>
    </row>
    <row r="7" spans="1:34" ht="52.8" x14ac:dyDescent="0.25">
      <c r="A7" s="10" t="s">
        <v>26</v>
      </c>
      <c r="B7" s="10">
        <v>2019</v>
      </c>
      <c r="C7" s="10" t="s">
        <v>18</v>
      </c>
      <c r="D7" s="10" t="s">
        <v>18</v>
      </c>
      <c r="E7" s="11" t="s">
        <v>28</v>
      </c>
      <c r="F7" s="10">
        <v>1008</v>
      </c>
      <c r="G7" s="6">
        <v>1008</v>
      </c>
      <c r="H7" s="12">
        <f>M7/K7</f>
        <v>14.965277777777777</v>
      </c>
      <c r="I7" s="6">
        <f t="shared" si="0"/>
        <v>15084.999999999998</v>
      </c>
      <c r="J7" s="6">
        <f>H7/1.60934</f>
        <v>9.2990156075023158</v>
      </c>
      <c r="K7" s="7">
        <f>2930/15085</f>
        <v>0.19423268147166059</v>
      </c>
      <c r="L7" s="7">
        <f t="shared" si="4"/>
        <v>0.31258720064972145</v>
      </c>
      <c r="M7" s="13">
        <f>2930/1008</f>
        <v>2.9067460317460316</v>
      </c>
      <c r="N7" s="8">
        <f t="shared" si="2"/>
        <v>2930</v>
      </c>
      <c r="O7" s="10" t="s">
        <v>64</v>
      </c>
      <c r="P7" s="9" t="s">
        <v>70</v>
      </c>
      <c r="Q7" s="10"/>
      <c r="R7" s="10" t="s">
        <v>16</v>
      </c>
    </row>
    <row r="8" spans="1:34" ht="52.8" x14ac:dyDescent="0.25">
      <c r="A8" s="10" t="s">
        <v>29</v>
      </c>
      <c r="B8" s="10">
        <v>2021</v>
      </c>
      <c r="C8" s="10" t="s">
        <v>18</v>
      </c>
      <c r="D8" s="10" t="s">
        <v>18</v>
      </c>
      <c r="E8" s="11" t="s">
        <v>28</v>
      </c>
      <c r="F8" s="10">
        <v>736</v>
      </c>
      <c r="G8" s="6">
        <v>736</v>
      </c>
      <c r="H8" s="12">
        <f>J8*1.60934</f>
        <v>67.867792010869564</v>
      </c>
      <c r="I8" s="6">
        <f t="shared" si="0"/>
        <v>49950.694920000002</v>
      </c>
      <c r="J8" s="12">
        <f>31038/736</f>
        <v>42.171195652173914</v>
      </c>
      <c r="K8" s="7">
        <f t="shared" ref="K8:K9" si="5">L8*0.621371192</f>
        <v>0.20234926065551523</v>
      </c>
      <c r="L8" s="7">
        <f>M8/J8</f>
        <v>0.32564956866477202</v>
      </c>
      <c r="M8" s="12">
        <f>6070/442</f>
        <v>13.733031674208144</v>
      </c>
      <c r="N8" s="8">
        <f t="shared" si="2"/>
        <v>10107.511312217193</v>
      </c>
      <c r="O8" s="10" t="s">
        <v>64</v>
      </c>
      <c r="P8" s="9" t="s">
        <v>70</v>
      </c>
      <c r="Q8" s="10"/>
      <c r="R8" s="10" t="s">
        <v>20</v>
      </c>
    </row>
    <row r="9" spans="1:34" ht="66" x14ac:dyDescent="0.25">
      <c r="A9" s="10" t="s">
        <v>30</v>
      </c>
      <c r="B9" s="10">
        <v>2017</v>
      </c>
      <c r="C9" s="10" t="s">
        <v>22</v>
      </c>
      <c r="D9" s="10" t="s">
        <v>23</v>
      </c>
      <c r="E9" s="11" t="s">
        <v>31</v>
      </c>
      <c r="F9" s="10">
        <v>11281</v>
      </c>
      <c r="G9" s="6">
        <v>19246</v>
      </c>
      <c r="H9" s="6">
        <f>J9*1.60934</f>
        <v>447.39652000000001</v>
      </c>
      <c r="I9" s="6">
        <f>G9*H9</f>
        <v>8610593.42392</v>
      </c>
      <c r="J9" s="6">
        <v>278</v>
      </c>
      <c r="K9" s="7">
        <f t="shared" si="5"/>
        <v>0.2289131471328</v>
      </c>
      <c r="L9" s="7">
        <v>0.36840000000000001</v>
      </c>
      <c r="M9" s="13">
        <f>H9*K9</f>
        <v>102.4149454094627</v>
      </c>
      <c r="N9" s="8">
        <f t="shared" si="2"/>
        <v>1971078.0393505192</v>
      </c>
      <c r="O9" s="10" t="s">
        <v>65</v>
      </c>
      <c r="P9" s="9" t="s">
        <v>70</v>
      </c>
      <c r="Q9" s="10" t="s">
        <v>32</v>
      </c>
      <c r="R9" s="10" t="s">
        <v>20</v>
      </c>
    </row>
    <row r="10" spans="1:34" ht="79.2" x14ac:dyDescent="0.25">
      <c r="A10" s="10" t="s">
        <v>34</v>
      </c>
      <c r="B10" s="10">
        <v>2022</v>
      </c>
      <c r="C10" s="10" t="s">
        <v>22</v>
      </c>
      <c r="D10" s="10" t="s">
        <v>23</v>
      </c>
      <c r="E10" s="5" t="s">
        <v>15</v>
      </c>
      <c r="F10" s="10">
        <v>75</v>
      </c>
      <c r="G10" s="6">
        <v>75</v>
      </c>
      <c r="H10" s="12">
        <f>J10*1.60934</f>
        <v>365.64204799999999</v>
      </c>
      <c r="I10" s="6">
        <f t="shared" si="0"/>
        <v>27423.153599999998</v>
      </c>
      <c r="J10" s="12">
        <v>227.2</v>
      </c>
      <c r="K10" s="7">
        <f>L10*0.621371192</f>
        <v>0.25103724345809864</v>
      </c>
      <c r="L10" s="7">
        <f>M10/J10</f>
        <v>0.40400528169014088</v>
      </c>
      <c r="M10" s="13">
        <v>91.79</v>
      </c>
      <c r="N10" s="8">
        <f t="shared" si="2"/>
        <v>6884.2500000000009</v>
      </c>
      <c r="O10" s="4" t="s">
        <v>65</v>
      </c>
      <c r="P10" s="9" t="s">
        <v>70</v>
      </c>
      <c r="Q10" s="10"/>
      <c r="R10" s="10" t="s">
        <v>16</v>
      </c>
    </row>
    <row r="11" spans="1:34" ht="24.75" customHeight="1" x14ac:dyDescent="0.25">
      <c r="A11" s="10" t="s">
        <v>35</v>
      </c>
      <c r="B11" s="10">
        <v>2014</v>
      </c>
      <c r="C11" s="10" t="s">
        <v>36</v>
      </c>
      <c r="D11" s="10" t="s">
        <v>37</v>
      </c>
      <c r="E11" s="11" t="s">
        <v>38</v>
      </c>
      <c r="F11" s="10">
        <v>238</v>
      </c>
      <c r="G11" s="6">
        <v>238</v>
      </c>
      <c r="H11" s="12">
        <f>I11/G11</f>
        <v>345.84033613445376</v>
      </c>
      <c r="I11" s="6">
        <v>82310</v>
      </c>
      <c r="J11" s="6">
        <f>H11/1.60934</f>
        <v>214.89575610775458</v>
      </c>
      <c r="K11" s="7">
        <f>M11/H11</f>
        <v>0.25267889685335926</v>
      </c>
      <c r="L11" s="7">
        <f t="shared" ref="L11:L12" si="6">K11/0.621371192</f>
        <v>0.40664726673289231</v>
      </c>
      <c r="M11" s="13">
        <f>N11/G11</f>
        <v>87.386554621848745</v>
      </c>
      <c r="N11" s="8">
        <f>21400-602</f>
        <v>20798</v>
      </c>
      <c r="O11" s="10" t="s">
        <v>64</v>
      </c>
      <c r="P11" s="9" t="s">
        <v>69</v>
      </c>
      <c r="Q11" s="10"/>
      <c r="R11" s="10" t="s">
        <v>20</v>
      </c>
    </row>
    <row r="12" spans="1:34" ht="24.75" customHeight="1" x14ac:dyDescent="0.25">
      <c r="A12" s="10" t="s">
        <v>35</v>
      </c>
      <c r="B12" s="10">
        <v>2014</v>
      </c>
      <c r="C12" s="10" t="s">
        <v>36</v>
      </c>
      <c r="D12" s="10" t="s">
        <v>37</v>
      </c>
      <c r="E12" s="11" t="s">
        <v>38</v>
      </c>
      <c r="F12" s="10">
        <v>481</v>
      </c>
      <c r="G12" s="6">
        <v>481</v>
      </c>
      <c r="H12" s="12">
        <f t="shared" ref="H12" si="7">I12/G12</f>
        <v>321.91683991683993</v>
      </c>
      <c r="I12" s="6">
        <v>154842</v>
      </c>
      <c r="J12" s="6">
        <f>H12/1.60934</f>
        <v>200.03034779278457</v>
      </c>
      <c r="K12" s="7">
        <f>M12/H12</f>
        <v>0.25226682682992985</v>
      </c>
      <c r="L12" s="7">
        <f t="shared" si="6"/>
        <v>0.40598410431285303</v>
      </c>
      <c r="M12" s="13">
        <f>N12/G12</f>
        <v>81.20893970893971</v>
      </c>
      <c r="N12" s="8">
        <f>40258-(409+1984)/2</f>
        <v>39061.5</v>
      </c>
      <c r="O12" s="10" t="s">
        <v>65</v>
      </c>
      <c r="P12" s="9" t="s">
        <v>69</v>
      </c>
      <c r="Q12" s="10"/>
      <c r="R12" s="10" t="s">
        <v>20</v>
      </c>
    </row>
    <row r="13" spans="1:34" ht="79.2" x14ac:dyDescent="0.25">
      <c r="A13" s="10" t="s">
        <v>39</v>
      </c>
      <c r="B13" s="10">
        <v>2021</v>
      </c>
      <c r="C13" s="10" t="s">
        <v>22</v>
      </c>
      <c r="D13" s="10" t="s">
        <v>23</v>
      </c>
      <c r="E13" s="5" t="s">
        <v>15</v>
      </c>
      <c r="F13" s="10">
        <v>560</v>
      </c>
      <c r="G13" s="6">
        <v>560</v>
      </c>
      <c r="H13" s="12">
        <f>J13*1.60934</f>
        <v>248.4993389285714</v>
      </c>
      <c r="I13" s="6">
        <f t="shared" si="0"/>
        <v>139159.6298</v>
      </c>
      <c r="J13" s="12">
        <f>86470/G13</f>
        <v>154.41071428571428</v>
      </c>
      <c r="K13" s="7">
        <f t="shared" ref="K13:K14" si="8">L13*0.621371192</f>
        <v>0.25510208530126061</v>
      </c>
      <c r="L13" s="7">
        <f>M13/J13</f>
        <v>0.41054701052388115</v>
      </c>
      <c r="M13" s="13">
        <f>35500/G13</f>
        <v>63.392857142857146</v>
      </c>
      <c r="N13" s="8">
        <f t="shared" si="2"/>
        <v>35500</v>
      </c>
      <c r="O13" s="10" t="s">
        <v>65</v>
      </c>
      <c r="P13" s="9" t="s">
        <v>70</v>
      </c>
      <c r="Q13" s="10" t="s">
        <v>32</v>
      </c>
      <c r="R13" s="10" t="s">
        <v>20</v>
      </c>
    </row>
    <row r="14" spans="1:34" ht="66" x14ac:dyDescent="0.25">
      <c r="A14" s="10" t="s">
        <v>40</v>
      </c>
      <c r="B14" s="10">
        <v>2021</v>
      </c>
      <c r="C14" s="10" t="s">
        <v>22</v>
      </c>
      <c r="D14" s="10" t="s">
        <v>23</v>
      </c>
      <c r="E14" s="11" t="s">
        <v>31</v>
      </c>
      <c r="F14" s="10">
        <v>113</v>
      </c>
      <c r="G14" s="6">
        <v>175</v>
      </c>
      <c r="H14" s="12">
        <f>J14*1.60934</f>
        <v>132.54524240000001</v>
      </c>
      <c r="I14" s="6">
        <f t="shared" si="0"/>
        <v>23195.417420000002</v>
      </c>
      <c r="J14" s="13">
        <v>82.36</v>
      </c>
      <c r="K14" s="14">
        <f t="shared" si="8"/>
        <v>0.21427985556119999</v>
      </c>
      <c r="L14" s="7">
        <v>0.34484999999999999</v>
      </c>
      <c r="M14" s="12">
        <f>H14*K14</f>
        <v>28.401775396796243</v>
      </c>
      <c r="N14" s="8">
        <f t="shared" si="2"/>
        <v>4970.3106944393421</v>
      </c>
      <c r="O14" s="10" t="s">
        <v>65</v>
      </c>
      <c r="P14" s="9" t="s">
        <v>70</v>
      </c>
      <c r="Q14" s="10" t="s">
        <v>32</v>
      </c>
      <c r="R14" s="10" t="s">
        <v>20</v>
      </c>
    </row>
    <row r="15" spans="1:34" ht="118.8" x14ac:dyDescent="0.25">
      <c r="A15" s="10" t="s">
        <v>41</v>
      </c>
      <c r="B15" s="10">
        <v>2010</v>
      </c>
      <c r="C15" s="10" t="s">
        <v>42</v>
      </c>
      <c r="D15" s="10" t="s">
        <v>23</v>
      </c>
      <c r="E15" s="11" t="s">
        <v>43</v>
      </c>
      <c r="F15" s="10">
        <v>615</v>
      </c>
      <c r="G15" s="6">
        <v>840</v>
      </c>
      <c r="H15" s="6">
        <f>I15/G15</f>
        <v>901.46904761904761</v>
      </c>
      <c r="I15" s="6">
        <f>757234</f>
        <v>757234</v>
      </c>
      <c r="J15" s="6">
        <f>H15/1.60934</f>
        <v>560.14828912414259</v>
      </c>
      <c r="K15" s="7">
        <f>M15/H15</f>
        <v>0.24447792888327782</v>
      </c>
      <c r="L15" s="7">
        <f>K15/0.621371192</f>
        <v>0.39344908813100854</v>
      </c>
      <c r="M15" s="6">
        <f>N15/G15</f>
        <v>220.38928571428571</v>
      </c>
      <c r="N15" s="8">
        <f>185169-42</f>
        <v>185127</v>
      </c>
      <c r="O15" s="10" t="s">
        <v>65</v>
      </c>
      <c r="P15" s="9" t="s">
        <v>69</v>
      </c>
      <c r="Q15" s="10" t="s">
        <v>44</v>
      </c>
      <c r="R15" s="10" t="s">
        <v>20</v>
      </c>
    </row>
    <row r="16" spans="1:34" ht="52.8" x14ac:dyDescent="0.25">
      <c r="A16" s="10" t="s">
        <v>45</v>
      </c>
      <c r="B16" s="10">
        <v>2019</v>
      </c>
      <c r="C16" s="10" t="s">
        <v>18</v>
      </c>
      <c r="D16" s="10" t="s">
        <v>18</v>
      </c>
      <c r="E16" s="11" t="s">
        <v>28</v>
      </c>
      <c r="F16" s="10">
        <v>409</v>
      </c>
      <c r="G16" s="6">
        <v>409</v>
      </c>
      <c r="H16" s="12">
        <f>J16*1.60934</f>
        <v>18.190657261613691</v>
      </c>
      <c r="I16" s="6">
        <f t="shared" si="0"/>
        <v>7439.9788199999994</v>
      </c>
      <c r="J16" s="12">
        <f>4623/G16</f>
        <v>11.30317848410758</v>
      </c>
      <c r="K16" s="7">
        <f t="shared" ref="K16:K18" si="9">L16*0.621371192</f>
        <v>0.1948925434566299</v>
      </c>
      <c r="L16" s="7">
        <f>M16/J16</f>
        <v>0.3136491455764655</v>
      </c>
      <c r="M16" s="13">
        <f>1450/G16</f>
        <v>3.5452322738386308</v>
      </c>
      <c r="N16" s="8">
        <f t="shared" si="2"/>
        <v>1450</v>
      </c>
      <c r="O16" s="10" t="s">
        <v>64</v>
      </c>
      <c r="P16" s="9" t="s">
        <v>70</v>
      </c>
      <c r="Q16" s="10"/>
      <c r="R16" s="10" t="s">
        <v>16</v>
      </c>
    </row>
    <row r="17" spans="1:18" ht="66" x14ac:dyDescent="0.25">
      <c r="A17" s="10" t="s">
        <v>46</v>
      </c>
      <c r="B17" s="10">
        <v>2021</v>
      </c>
      <c r="C17" s="10" t="s">
        <v>22</v>
      </c>
      <c r="D17" s="10" t="s">
        <v>23</v>
      </c>
      <c r="E17" s="11" t="s">
        <v>31</v>
      </c>
      <c r="F17" s="10">
        <v>192</v>
      </c>
      <c r="G17" s="12">
        <v>192</v>
      </c>
      <c r="H17" s="12">
        <f>J17*1.60934</f>
        <v>130.01958443749999</v>
      </c>
      <c r="I17" s="6">
        <f t="shared" si="0"/>
        <v>24963.760211999997</v>
      </c>
      <c r="J17" s="13">
        <f>15511.8/192</f>
        <v>80.790624999999991</v>
      </c>
      <c r="K17" s="7">
        <f t="shared" si="9"/>
        <v>0.250412590376</v>
      </c>
      <c r="L17" s="7">
        <v>0.40300000000000002</v>
      </c>
      <c r="M17" s="12">
        <f>J17*L17</f>
        <v>32.558621875</v>
      </c>
      <c r="N17" s="8">
        <f t="shared" si="2"/>
        <v>6251.2554</v>
      </c>
      <c r="O17" s="10" t="s">
        <v>65</v>
      </c>
      <c r="P17" s="9" t="s">
        <v>70</v>
      </c>
      <c r="Q17" s="10"/>
      <c r="R17" s="10" t="s">
        <v>16</v>
      </c>
    </row>
    <row r="18" spans="1:18" ht="52.8" x14ac:dyDescent="0.25">
      <c r="A18" s="10" t="s">
        <v>47</v>
      </c>
      <c r="B18" s="10">
        <v>2021</v>
      </c>
      <c r="C18" s="10" t="s">
        <v>18</v>
      </c>
      <c r="D18" s="10" t="s">
        <v>18</v>
      </c>
      <c r="E18" s="11" t="s">
        <v>28</v>
      </c>
      <c r="F18" s="10">
        <v>1476</v>
      </c>
      <c r="G18" s="6">
        <v>1476</v>
      </c>
      <c r="H18" s="12">
        <f>J18*1.60934</f>
        <v>60.833051999999995</v>
      </c>
      <c r="I18" s="6">
        <f t="shared" si="0"/>
        <v>89789.584751999995</v>
      </c>
      <c r="J18" s="12">
        <v>37.799999999999997</v>
      </c>
      <c r="K18" s="7">
        <f t="shared" si="9"/>
        <v>0.17117755733786441</v>
      </c>
      <c r="L18" s="7">
        <f>M18/J18</f>
        <v>0.27548357494156955</v>
      </c>
      <c r="M18" s="12">
        <f>15370/G18</f>
        <v>10.413279132791327</v>
      </c>
      <c r="N18" s="8">
        <f t="shared" si="2"/>
        <v>15370</v>
      </c>
      <c r="O18" s="10" t="s">
        <v>65</v>
      </c>
      <c r="P18" s="9" t="s">
        <v>70</v>
      </c>
      <c r="Q18" s="10"/>
      <c r="R18" s="10" t="s">
        <v>20</v>
      </c>
    </row>
    <row r="19" spans="1:18" ht="105.6" x14ac:dyDescent="0.25">
      <c r="A19" s="10" t="s">
        <v>48</v>
      </c>
      <c r="B19" s="10">
        <v>2013</v>
      </c>
      <c r="C19" s="10" t="s">
        <v>49</v>
      </c>
      <c r="D19" s="10" t="s">
        <v>37</v>
      </c>
      <c r="E19" s="11" t="s">
        <v>27</v>
      </c>
      <c r="F19" s="10">
        <v>20824</v>
      </c>
      <c r="G19" s="6">
        <v>20824</v>
      </c>
      <c r="H19" s="6">
        <f>2313819/G19</f>
        <v>111.11309066461774</v>
      </c>
      <c r="I19" s="6">
        <f t="shared" si="0"/>
        <v>2313819</v>
      </c>
      <c r="J19" s="12">
        <f>H19/1.60934</f>
        <v>69.042645223891626</v>
      </c>
      <c r="K19" s="7">
        <f>M19/H19</f>
        <v>0.19664459493158282</v>
      </c>
      <c r="L19" s="7">
        <f>K19/0.621371192</f>
        <v>0.31646879910644909</v>
      </c>
      <c r="M19" s="6">
        <f>455000/G19</f>
        <v>21.849788705339993</v>
      </c>
      <c r="N19" s="8">
        <f t="shared" si="2"/>
        <v>455000</v>
      </c>
      <c r="O19" s="10" t="s">
        <v>65</v>
      </c>
      <c r="P19" s="9" t="s">
        <v>70</v>
      </c>
      <c r="Q19" s="10"/>
      <c r="R19" s="10" t="s">
        <v>20</v>
      </c>
    </row>
    <row r="20" spans="1:18" ht="79.2" x14ac:dyDescent="0.25">
      <c r="A20" s="10" t="s">
        <v>50</v>
      </c>
      <c r="B20" s="10">
        <v>2019</v>
      </c>
      <c r="C20" s="10" t="s">
        <v>22</v>
      </c>
      <c r="D20" s="10" t="s">
        <v>23</v>
      </c>
      <c r="E20" s="5" t="s">
        <v>15</v>
      </c>
      <c r="F20" s="10">
        <v>87</v>
      </c>
      <c r="G20" s="6">
        <v>146</v>
      </c>
      <c r="H20" s="12">
        <f>J20*1.60934</f>
        <v>50.211407999999999</v>
      </c>
      <c r="I20" s="6">
        <f t="shared" si="0"/>
        <v>7330.8655680000002</v>
      </c>
      <c r="J20" s="12">
        <v>31.2</v>
      </c>
      <c r="K20" s="7">
        <f t="shared" ref="K20:K21" si="10">L20*0.621371192</f>
        <v>0.22261981589041097</v>
      </c>
      <c r="L20" s="7">
        <f>M20/J20</f>
        <v>0.3582718651211802</v>
      </c>
      <c r="M20" s="12">
        <f>1632/G20</f>
        <v>11.178082191780822</v>
      </c>
      <c r="N20" s="8">
        <f t="shared" si="2"/>
        <v>1632</v>
      </c>
      <c r="O20" s="10" t="s">
        <v>64</v>
      </c>
      <c r="P20" s="9" t="s">
        <v>70</v>
      </c>
      <c r="Q20" s="10" t="s">
        <v>32</v>
      </c>
      <c r="R20" s="10" t="s">
        <v>20</v>
      </c>
    </row>
    <row r="21" spans="1:18" ht="66" x14ac:dyDescent="0.25">
      <c r="A21" s="10" t="s">
        <v>51</v>
      </c>
      <c r="B21" s="10">
        <v>2017</v>
      </c>
      <c r="C21" s="10" t="s">
        <v>22</v>
      </c>
      <c r="D21" s="10" t="s">
        <v>23</v>
      </c>
      <c r="E21" s="11" t="s">
        <v>31</v>
      </c>
      <c r="F21" s="10">
        <v>161</v>
      </c>
      <c r="G21" s="6">
        <v>161</v>
      </c>
      <c r="H21" s="6">
        <f>J21*1.60934</f>
        <v>1060.2651788819876</v>
      </c>
      <c r="I21" s="6">
        <f t="shared" si="0"/>
        <v>170702.69380000001</v>
      </c>
      <c r="J21" s="6">
        <f>106070/G21</f>
        <v>658.81987577639757</v>
      </c>
      <c r="K21" s="7">
        <f t="shared" si="10"/>
        <v>0.24952678347544074</v>
      </c>
      <c r="L21" s="7">
        <f>M21/J21</f>
        <v>0.40157443197888187</v>
      </c>
      <c r="M21" s="6">
        <f>42595/G21</f>
        <v>264.56521739130437</v>
      </c>
      <c r="N21" s="8">
        <f t="shared" si="2"/>
        <v>42595.000000000007</v>
      </c>
      <c r="O21" s="10" t="s">
        <v>64</v>
      </c>
      <c r="P21" s="9" t="s">
        <v>70</v>
      </c>
      <c r="Q21" s="10"/>
      <c r="R21" s="10" t="s">
        <v>20</v>
      </c>
    </row>
    <row r="22" spans="1:18" ht="52.8" x14ac:dyDescent="0.25">
      <c r="A22" s="10" t="s">
        <v>52</v>
      </c>
      <c r="B22" s="10">
        <v>2014</v>
      </c>
      <c r="C22" s="10" t="s">
        <v>14</v>
      </c>
      <c r="D22" s="10" t="s">
        <v>14</v>
      </c>
      <c r="E22" s="11" t="s">
        <v>33</v>
      </c>
      <c r="F22" s="10">
        <v>120</v>
      </c>
      <c r="G22" s="6">
        <v>120</v>
      </c>
      <c r="H22" s="6">
        <f>54500/G22</f>
        <v>454.16666666666669</v>
      </c>
      <c r="I22" s="6">
        <f t="shared" si="0"/>
        <v>54500</v>
      </c>
      <c r="J22" s="6">
        <f>H22/1.60934</f>
        <v>282.20678456178723</v>
      </c>
      <c r="K22" s="7">
        <f>M22/H22</f>
        <v>0.27889908256880735</v>
      </c>
      <c r="L22" s="7">
        <f>K22/0.621371192</f>
        <v>0.44884456530905176</v>
      </c>
      <c r="M22" s="6">
        <f>15200/G22</f>
        <v>126.66666666666667</v>
      </c>
      <c r="N22" s="8">
        <f t="shared" si="2"/>
        <v>15200</v>
      </c>
      <c r="O22" s="10" t="s">
        <v>65</v>
      </c>
      <c r="P22" s="9" t="s">
        <v>70</v>
      </c>
      <c r="Q22" s="10" t="s">
        <v>32</v>
      </c>
      <c r="R22" s="10" t="s">
        <v>16</v>
      </c>
    </row>
    <row r="23" spans="1:18" ht="39.6" x14ac:dyDescent="0.25">
      <c r="A23" s="10" t="s">
        <v>53</v>
      </c>
      <c r="B23" s="10">
        <v>2019</v>
      </c>
      <c r="C23" s="10" t="s">
        <v>18</v>
      </c>
      <c r="D23" s="10" t="s">
        <v>18</v>
      </c>
      <c r="E23" s="11" t="s">
        <v>54</v>
      </c>
      <c r="F23" s="10">
        <v>97</v>
      </c>
      <c r="G23" s="6">
        <v>97</v>
      </c>
      <c r="H23" s="12">
        <f>J23*1.60934</f>
        <v>58.516929690721653</v>
      </c>
      <c r="I23" s="6">
        <f t="shared" si="0"/>
        <v>5676.1421800000007</v>
      </c>
      <c r="J23" s="12">
        <f>3527/G23</f>
        <v>36.360824742268044</v>
      </c>
      <c r="K23" s="7">
        <f t="shared" ref="K23" si="11">L23*0.621371192</f>
        <v>0.18234170221718174</v>
      </c>
      <c r="L23" s="7">
        <f>M23/J23</f>
        <v>0.29345052452509213</v>
      </c>
      <c r="M23" s="12">
        <f>1035/G23</f>
        <v>10.670103092783505</v>
      </c>
      <c r="N23" s="8">
        <f t="shared" si="2"/>
        <v>1035</v>
      </c>
      <c r="O23" s="10" t="s">
        <v>64</v>
      </c>
      <c r="P23" s="9" t="s">
        <v>70</v>
      </c>
      <c r="Q23" s="10" t="s">
        <v>32</v>
      </c>
      <c r="R23" s="10" t="s">
        <v>16</v>
      </c>
    </row>
    <row r="24" spans="1:18" ht="52.8" x14ac:dyDescent="0.25">
      <c r="A24" s="10" t="s">
        <v>55</v>
      </c>
      <c r="B24" s="10">
        <v>2019</v>
      </c>
      <c r="C24" s="10" t="s">
        <v>56</v>
      </c>
      <c r="D24" s="10" t="s">
        <v>37</v>
      </c>
      <c r="E24" s="11" t="s">
        <v>57</v>
      </c>
      <c r="F24" s="10">
        <v>9034</v>
      </c>
      <c r="G24" s="6">
        <v>9034</v>
      </c>
      <c r="H24" s="12">
        <f>192682/G24</f>
        <v>21.328536639362408</v>
      </c>
      <c r="I24" s="6">
        <f t="shared" si="0"/>
        <v>192682</v>
      </c>
      <c r="J24" s="12">
        <f>H24/1.60934</f>
        <v>13.252971180336292</v>
      </c>
      <c r="K24" s="7">
        <f>M24/H24</f>
        <v>0.15249997405050808</v>
      </c>
      <c r="L24" s="7">
        <f t="shared" ref="L24:L25" si="12">K24/0.621371192</f>
        <v>0.24542491833208141</v>
      </c>
      <c r="M24" s="13">
        <f>29384/G24</f>
        <v>3.2526012840380782</v>
      </c>
      <c r="N24" s="8">
        <f t="shared" si="2"/>
        <v>29384</v>
      </c>
      <c r="O24" s="10" t="s">
        <v>65</v>
      </c>
      <c r="P24" s="9" t="s">
        <v>70</v>
      </c>
      <c r="Q24" s="10" t="s">
        <v>32</v>
      </c>
      <c r="R24" s="10" t="s">
        <v>20</v>
      </c>
    </row>
    <row r="25" spans="1:18" ht="66" x14ac:dyDescent="0.25">
      <c r="A25" s="10" t="s">
        <v>58</v>
      </c>
      <c r="B25" s="10">
        <v>2010</v>
      </c>
      <c r="C25" s="10" t="s">
        <v>18</v>
      </c>
      <c r="D25" s="10" t="s">
        <v>18</v>
      </c>
      <c r="E25" s="11" t="s">
        <v>59</v>
      </c>
      <c r="F25" s="10">
        <v>2061</v>
      </c>
      <c r="G25" s="6">
        <v>2061</v>
      </c>
      <c r="H25" s="6">
        <f>258978*20576/48885/G25</f>
        <v>52.889591485468003</v>
      </c>
      <c r="I25" s="6">
        <f t="shared" si="0"/>
        <v>109005.44805154955</v>
      </c>
      <c r="J25" s="6">
        <f>H25/1.60934</f>
        <v>32.864150201615573</v>
      </c>
      <c r="K25" s="7">
        <f>M25/H25</f>
        <v>0.21391778452223742</v>
      </c>
      <c r="L25" s="7">
        <f t="shared" si="12"/>
        <v>0.34426730314564924</v>
      </c>
      <c r="M25" s="12">
        <f>55400*20576/48885/G25</f>
        <v>11.314024234857508</v>
      </c>
      <c r="N25" s="8">
        <f t="shared" si="2"/>
        <v>23318.203948041322</v>
      </c>
      <c r="O25" s="10" t="s">
        <v>65</v>
      </c>
      <c r="P25" s="9" t="s">
        <v>70</v>
      </c>
      <c r="Q25" s="10" t="s">
        <v>32</v>
      </c>
      <c r="R25" s="10" t="s">
        <v>20</v>
      </c>
    </row>
    <row r="26" spans="1:18" ht="13.2" x14ac:dyDescent="0.25">
      <c r="A26" s="10"/>
      <c r="B26" s="10"/>
      <c r="C26" s="10"/>
      <c r="D26" s="10"/>
      <c r="E26" s="6" t="s">
        <v>66</v>
      </c>
      <c r="F26" s="6">
        <f>SUM(F2:F25)</f>
        <v>51028</v>
      </c>
      <c r="H26" s="6"/>
      <c r="I26" s="6">
        <f>SUM(I2:I25)</f>
        <v>13318882.32876355</v>
      </c>
      <c r="J26" s="6"/>
      <c r="K26" s="6"/>
      <c r="L26" s="6"/>
      <c r="M26" s="6"/>
      <c r="N26" s="6">
        <f>SUM(N2:N25)</f>
        <v>2971471.4337637583</v>
      </c>
      <c r="O26" s="10"/>
      <c r="P26" s="21"/>
      <c r="Q26" s="10"/>
      <c r="R26" s="10"/>
    </row>
    <row r="27" spans="1:18" ht="13.2" x14ac:dyDescent="0.25">
      <c r="E27" s="15" t="s">
        <v>60</v>
      </c>
      <c r="F27" s="16">
        <f>MEDIAN(F2:F25)</f>
        <v>323.5</v>
      </c>
      <c r="G27" s="16"/>
      <c r="H27" s="16">
        <f>MEDIAN(H2:H25)</f>
        <v>131.28241341875</v>
      </c>
      <c r="I27" s="16"/>
      <c r="J27" s="16">
        <f>MEDIAN(J2:J25)</f>
        <v>81.575312499999995</v>
      </c>
      <c r="K27" s="17">
        <f>MEDIAN(K2:K25)</f>
        <v>0.21844983572580548</v>
      </c>
      <c r="L27" s="17">
        <f>MEDIAN(L2:L25)</f>
        <v>0.35156093256059007</v>
      </c>
      <c r="M27" s="16">
        <f>MEDIAN(M2:M25)</f>
        <v>26.329317819648921</v>
      </c>
      <c r="N27" s="16">
        <f>MEDIAN(N2:N25)</f>
        <v>15285</v>
      </c>
    </row>
    <row r="28" spans="1:18" ht="13.8" x14ac:dyDescent="0.25">
      <c r="C28" s="18"/>
      <c r="E28" s="15" t="s">
        <v>61</v>
      </c>
      <c r="F28" s="16">
        <f>QUARTILE(F2:F25,1)</f>
        <v>94.5</v>
      </c>
      <c r="G28" s="16"/>
      <c r="H28" s="16">
        <f>QUARTILE(H2:H25,1)</f>
        <v>52.220045614101004</v>
      </c>
      <c r="I28" s="16"/>
      <c r="J28" s="16">
        <f>QUARTILE(J2:J25,1)</f>
        <v>32.44811265121168</v>
      </c>
      <c r="K28" s="17">
        <f>QUARTILE(K2:K25,1)</f>
        <v>0.19620658206284458</v>
      </c>
      <c r="L28" s="17">
        <f>QUARTILE(L2:L25,1)</f>
        <v>0.3157638857239532</v>
      </c>
      <c r="M28" s="16">
        <f>QUARTILE(M2:M25,1)</f>
        <v>10.605897102785461</v>
      </c>
      <c r="N28" s="19">
        <f>QUARTILE(N2:N25,1)</f>
        <v>4460.2330208295061</v>
      </c>
    </row>
    <row r="29" spans="1:18" ht="13.2" x14ac:dyDescent="0.25">
      <c r="E29" s="15" t="s">
        <v>62</v>
      </c>
      <c r="F29" s="20">
        <f t="shared" ref="F29" si="13">QUARTILE(F2:F25,3)</f>
        <v>1075.25</v>
      </c>
      <c r="G29" s="20"/>
      <c r="H29" s="20">
        <f>QUARTILE(H2:H25,3)</f>
        <v>386.08066600000001</v>
      </c>
      <c r="I29" s="20"/>
      <c r="J29" s="20">
        <f>QUARTILE(J2:J25,3)</f>
        <v>239.89999999999998</v>
      </c>
      <c r="K29" s="17">
        <f>QUARTILE(K2:K25,3)</f>
        <v>0.25103478204052465</v>
      </c>
      <c r="L29" s="17">
        <f>QUARTILE(L2:L25,3)</f>
        <v>0.40400132042253523</v>
      </c>
      <c r="M29" s="16">
        <f>QUARTILE(M2:M25,3)</f>
        <v>94.446236352365673</v>
      </c>
      <c r="N29" s="16">
        <f>QUARTILE(N2:N25,3)</f>
        <v>38273.25</v>
      </c>
    </row>
    <row r="30" spans="1:18" ht="15.75" customHeight="1" x14ac:dyDescent="0.25">
      <c r="E30" s="15" t="s">
        <v>73</v>
      </c>
      <c r="H30" s="22">
        <f>AVERAGE(H2:H25)</f>
        <v>301.96228258813358</v>
      </c>
      <c r="K30" s="24">
        <f>AVERAGE(K2:K25)</f>
        <v>0.22070105026430245</v>
      </c>
      <c r="M30" s="23">
        <f>AVERAGE(M2:M25)</f>
        <v>74.563589591989441</v>
      </c>
      <c r="N30" s="23">
        <f>AVERAGE(N2:N25)</f>
        <v>123811.30974015659</v>
      </c>
    </row>
    <row r="31" spans="1:18" ht="15.75" customHeight="1" x14ac:dyDescent="0.25">
      <c r="E31" s="15" t="s">
        <v>74</v>
      </c>
      <c r="H31" s="22">
        <f>STDEV(H2:H25)</f>
        <v>375.5848260029411</v>
      </c>
      <c r="K31" s="24">
        <f>STDEV(K2:K25)</f>
        <v>3.4182113870829901E-2</v>
      </c>
      <c r="M31" s="23">
        <f>STDEV(M2:M25)</f>
        <v>97.333889907164263</v>
      </c>
      <c r="N31" s="23">
        <f>STDEV(N2:N25)</f>
        <v>404858.33255618456</v>
      </c>
    </row>
  </sheetData>
  <hyperlinks>
    <hyperlink ref="E2" r:id="rId1" xr:uid="{00000000-0004-0000-0000-000000000000}"/>
    <hyperlink ref="E4" r:id="rId2" xr:uid="{00000000-0004-0000-0000-000002000000}"/>
    <hyperlink ref="E5" r:id="rId3" xr:uid="{00000000-0004-0000-0000-000003000000}"/>
    <hyperlink ref="E6" r:id="rId4" xr:uid="{00000000-0004-0000-0000-000004000000}"/>
    <hyperlink ref="E7" r:id="rId5" xr:uid="{00000000-0004-0000-0000-000005000000}"/>
    <hyperlink ref="E8" r:id="rId6" xr:uid="{00000000-0004-0000-0000-000006000000}"/>
    <hyperlink ref="E9" r:id="rId7" xr:uid="{00000000-0004-0000-0000-000007000000}"/>
    <hyperlink ref="E10" r:id="rId8" xr:uid="{00000000-0004-0000-0000-000009000000}"/>
    <hyperlink ref="E13" r:id="rId9" xr:uid="{00000000-0004-0000-0000-00000E000000}"/>
    <hyperlink ref="E14" r:id="rId10" xr:uid="{00000000-0004-0000-0000-00000F000000}"/>
    <hyperlink ref="E15" r:id="rId11" xr:uid="{00000000-0004-0000-0000-000010000000}"/>
    <hyperlink ref="E16" r:id="rId12" xr:uid="{00000000-0004-0000-0000-000011000000}"/>
    <hyperlink ref="E17" r:id="rId13" xr:uid="{00000000-0004-0000-0000-000012000000}"/>
    <hyperlink ref="E18" r:id="rId14" xr:uid="{00000000-0004-0000-0000-000013000000}"/>
    <hyperlink ref="E19" r:id="rId15" xr:uid="{00000000-0004-0000-0000-000014000000}"/>
    <hyperlink ref="E20" r:id="rId16" xr:uid="{00000000-0004-0000-0000-000015000000}"/>
    <hyperlink ref="E21" r:id="rId17" xr:uid="{00000000-0004-0000-0000-000016000000}"/>
    <hyperlink ref="E22" r:id="rId18" xr:uid="{00000000-0004-0000-0000-000017000000}"/>
    <hyperlink ref="E23" r:id="rId19" xr:uid="{00000000-0004-0000-0000-000019000000}"/>
    <hyperlink ref="E24" r:id="rId20" xr:uid="{00000000-0004-0000-0000-00001A000000}"/>
    <hyperlink ref="E25" r:id="rId21" xr:uid="{00000000-0004-0000-0000-00001B000000}"/>
    <hyperlink ref="E11" r:id="rId22" xr:uid="{D568746F-160A-4848-B7ED-0A41462E56F5}"/>
    <hyperlink ref="E12" r:id="rId23" xr:uid="{6226F44B-B985-4653-8873-7DF0BA0EB6DF}"/>
    <hyperlink ref="E3" r:id="rId24" xr:uid="{A591A18F-A90E-4B7B-8A88-3F4CE8505E70}"/>
  </hyperlinks>
  <pageMargins left="0.7" right="0.7" top="0.75" bottom="0.75" header="0.3" footer="0.3"/>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Used Data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Chang-Wolf</cp:lastModifiedBy>
  <dcterms:created xsi:type="dcterms:W3CDTF">2023-01-20T16:17:30Z</dcterms:created>
  <dcterms:modified xsi:type="dcterms:W3CDTF">2023-01-20T16:19:31Z</dcterms:modified>
</cp:coreProperties>
</file>