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iller/Desktop/Analysis Projects/Crowdfunding Analysis/"/>
    </mc:Choice>
  </mc:AlternateContent>
  <xr:revisionPtr revIDLastSave="0" documentId="13_ncr:1_{80B92597-4C55-644C-98C4-9AAF6E7122D7}" xr6:coauthVersionLast="47" xr6:coauthVersionMax="47" xr10:uidLastSave="{00000000-0000-0000-0000-000000000000}"/>
  <bookViews>
    <workbookView xWindow="3660" yWindow="2200" windowWidth="26760" windowHeight="1642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Box and Whisker" sheetId="10" r:id="rId4"/>
    <sheet name="Successful US Kickstarters" sheetId="7" r:id="rId5"/>
    <sheet name="Failed US Kickstarters" sheetId="8" r:id="rId6"/>
    <sheet name="Descriptive Statistics" sheetId="9" r:id="rId7"/>
    <sheet name="Category Statistics" sheetId="2" r:id="rId8"/>
    <sheet name="Subcategory Statistics" sheetId="3" r:id="rId9"/>
    <sheet name="Outcomes Based on Launch Date" sheetId="5" r:id="rId10"/>
    <sheet name="Edinburgh Research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2" r:id="rId12"/>
    <pivotCache cacheId="73" r:id="rId13"/>
    <pivotCache cacheId="7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" i="13" l="1" a="1"/>
  <c r="B19" i="13" s="1"/>
  <c r="C19" i="13" a="1"/>
  <c r="C19" i="13" s="1"/>
  <c r="D19" i="13" a="1"/>
  <c r="D19" i="13" s="1"/>
  <c r="D11" i="13"/>
  <c r="C11" i="13"/>
  <c r="B11" i="13"/>
  <c r="H3" i="13"/>
  <c r="H4" i="13"/>
  <c r="H5" i="13"/>
  <c r="H6" i="13"/>
  <c r="H7" i="13"/>
  <c r="H8" i="13"/>
  <c r="H9" i="13"/>
  <c r="H10" i="13"/>
  <c r="H12" i="13"/>
  <c r="H13" i="13"/>
  <c r="H2" i="13"/>
  <c r="G3" i="13"/>
  <c r="G4" i="13"/>
  <c r="G5" i="13"/>
  <c r="G6" i="13"/>
  <c r="G7" i="13"/>
  <c r="G8" i="13"/>
  <c r="G9" i="13"/>
  <c r="G10" i="13"/>
  <c r="G12" i="13"/>
  <c r="G13" i="13"/>
  <c r="G2" i="13"/>
  <c r="F3" i="13"/>
  <c r="F4" i="13"/>
  <c r="F5" i="13"/>
  <c r="F6" i="13"/>
  <c r="F7" i="13"/>
  <c r="F8" i="13"/>
  <c r="F9" i="13"/>
  <c r="F10" i="13"/>
  <c r="F12" i="13"/>
  <c r="F13" i="13"/>
  <c r="F2" i="13"/>
  <c r="E3" i="13"/>
  <c r="E4" i="13"/>
  <c r="E5" i="13"/>
  <c r="E6" i="13"/>
  <c r="E7" i="13"/>
  <c r="E8" i="13"/>
  <c r="E9" i="13"/>
  <c r="E10" i="13"/>
  <c r="E12" i="13"/>
  <c r="E13" i="13"/>
  <c r="E2" i="13"/>
  <c r="D13" i="13"/>
  <c r="D12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B3" i="13"/>
  <c r="C2" i="13"/>
  <c r="B13" i="13"/>
  <c r="B12" i="13"/>
  <c r="B10" i="13"/>
  <c r="B9" i="13"/>
  <c r="B8" i="13"/>
  <c r="B7" i="13"/>
  <c r="B6" i="13"/>
  <c r="B5" i="13"/>
  <c r="B4" i="13"/>
  <c r="B2" i="13"/>
  <c r="C14" i="9"/>
  <c r="B14" i="9"/>
  <c r="C7" i="9"/>
  <c r="B7" i="9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3" l="1"/>
  <c r="H11" i="13" s="1"/>
  <c r="G11" i="13" l="1"/>
  <c r="F11" i="1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<sst xmlns="http://schemas.openxmlformats.org/spreadsheetml/2006/main" count="38402" uniqueCount="8419">
  <si>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</si>
  <si>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</si>
  <si>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</si>
  <si>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</si>
  <si>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</si>
  <si>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</si>
  <si>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</si>
  <si>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</si>
  <si>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</si>
  <si>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</si>
  <si>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</si>
  <si>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</si>
  <si>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</si>
  <si>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</si>
  <si>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</si>
  <si>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</si>
  <si>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</si>
  <si>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</si>
  <si>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</si>
  <si>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</si>
  <si>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</si>
  <si>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</si>
  <si>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</si>
  <si>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</si>
  <si>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</si>
  <si>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</si>
  <si>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</si>
  <si>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</si>
  <si>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</si>
  <si>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</si>
  <si>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</si>
  <si>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</si>
  <si>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</si>
  <si>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</si>
  <si>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</si>
  <si>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</si>
  <si>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</si>
  <si>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</si>
  <si>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</si>
  <si>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</si>
  <si>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</si>
  <si>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</si>
  <si>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</si>
  <si>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</si>
  <si>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</si>
  <si>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</si>
  <si>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</si>
  <si>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</si>
  <si>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</si>
  <si>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</si>
  <si>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</si>
  <si>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</si>
  <si>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</si>
  <si>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</si>
  <si>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</si>
  <si>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</si>
  <si>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</si>
  <si>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</si>
  <si>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</si>
  <si>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</si>
  <si>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</si>
  <si>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</si>
  <si>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</si>
  <si>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</si>
  <si>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</si>
  <si>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</si>
  <si>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</si>
  <si>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</si>
  <si>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</si>
  <si>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</si>
  <si>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</si>
  <si>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</si>
  <si>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</si>
  <si>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</si>
  <si>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</si>
  <si>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</si>
  <si>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</si>
  <si>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</si>
  <si>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</si>
  <si>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</si>
  <si>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</si>
  <si>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</si>
  <si>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</si>
  <si>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</si>
  <si>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</si>
  <si>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</si>
  <si>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</si>
  <si>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</si>
  <si>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</si>
  <si>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</si>
  <si>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</si>
  <si>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</si>
  <si>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</si>
  <si>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</si>
  <si>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</si>
  <si>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</si>
  <si>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</si>
  <si>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</si>
  <si>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</si>
  <si>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</si>
  <si>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</si>
  <si>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</si>
  <si>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</si>
  <si>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</si>
  <si>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</si>
  <si>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</si>
  <si>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</si>
  <si>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</si>
  <si>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</si>
  <si>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</si>
  <si>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</si>
  <si>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</si>
  <si>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</si>
  <si>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</si>
  <si>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</si>
  <si>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</si>
  <si>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</si>
  <si>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</si>
  <si>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</si>
  <si>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</si>
  <si>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</si>
  <si>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</si>
  <si>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</si>
  <si>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</si>
  <si>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</si>
  <si>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</si>
  <si>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</si>
  <si>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</si>
  <si>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</si>
  <si>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</si>
  <si>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</si>
  <si>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</si>
  <si>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</si>
  <si>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</si>
  <si>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</si>
  <si>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</si>
  <si>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</si>
  <si>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</si>
  <si>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</si>
  <si>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</si>
  <si>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</si>
  <si>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</si>
  <si>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</si>
  <si>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</si>
  <si>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</si>
  <si>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</si>
  <si>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</si>
  <si>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</si>
  <si>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</si>
  <si>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</si>
  <si>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</si>
  <si>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</si>
  <si>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</si>
  <si>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</si>
  <si>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</si>
  <si>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</si>
  <si>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</si>
  <si>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</si>
  <si>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</si>
  <si>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</si>
  <si>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</si>
  <si>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</si>
  <si>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</si>
  <si>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</si>
  <si>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</si>
  <si>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</si>
  <si>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</si>
  <si>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</si>
  <si>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</si>
  <si>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</si>
  <si>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</si>
  <si>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</si>
  <si>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</si>
  <si>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</si>
  <si>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</si>
  <si>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</si>
  <si>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</si>
  <si>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</si>
  <si>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</si>
  <si>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</si>
  <si>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</si>
  <si>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</si>
  <si>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</si>
  <si>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</si>
  <si>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</si>
  <si>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</si>
  <si>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</si>
  <si>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</si>
  <si>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</si>
  <si>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</si>
  <si>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</si>
  <si>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</si>
  <si>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</si>
  <si>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</si>
  <si>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</si>
  <si>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</si>
  <si>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</si>
  <si>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</si>
  <si>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</si>
  <si>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</si>
  <si>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</si>
  <si>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</si>
  <si>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</si>
  <si>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</si>
  <si>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</si>
  <si>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</si>
  <si>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</si>
  <si>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</si>
  <si>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</si>
  <si>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</si>
  <si>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</si>
  <si>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</si>
  <si>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</si>
  <si>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</si>
  <si>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</si>
  <si>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</si>
  <si>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</si>
  <si>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</si>
  <si>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</si>
  <si>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</si>
  <si>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</si>
  <si>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</si>
  <si>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</si>
  <si>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</si>
  <si>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</si>
  <si>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</si>
  <si>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</si>
  <si>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</si>
  <si>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</si>
  <si>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</si>
  <si>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</si>
  <si>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</si>
  <si>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</si>
  <si>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</si>
  <si>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</si>
  <si>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</si>
  <si>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</si>
  <si>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</si>
  <si>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</si>
  <si>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</si>
  <si>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</si>
  <si>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</si>
  <si>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</si>
  <si>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</si>
  <si>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</si>
  <si>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</si>
  <si>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</si>
  <si>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</si>
  <si>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</si>
  <si>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</si>
  <si>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</si>
  <si>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</si>
  <si>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</si>
  <si>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</si>
  <si>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</si>
  <si>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</si>
  <si>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</si>
  <si>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</si>
  <si>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</si>
  <si>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</si>
  <si>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</si>
  <si>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</si>
  <si>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</si>
  <si>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</si>
  <si>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</si>
  <si>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</si>
  <si>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</si>
  <si>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</si>
  <si>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</si>
  <si>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</si>
  <si>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</si>
  <si>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</si>
  <si>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</si>
  <si>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</si>
  <si>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</si>
  <si>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</si>
  <si>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</si>
  <si>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</si>
  <si>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</si>
  <si>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</si>
  <si>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</si>
  <si>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</si>
  <si>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</si>
  <si>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</si>
  <si>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</si>
  <si>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</si>
  <si>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</si>
  <si>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</si>
  <si>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</si>
  <si>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</si>
  <si>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</si>
  <si>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</si>
  <si>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</si>
  <si>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</si>
  <si>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</si>
  <si>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</si>
  <si>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</si>
  <si>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</si>
  <si>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</si>
  <si>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</si>
  <si>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</si>
  <si>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</si>
  <si>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</si>
  <si>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</si>
  <si>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</si>
  <si>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</si>
  <si>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</si>
  <si>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</si>
  <si>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</si>
  <si>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</si>
  <si>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</si>
  <si>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</si>
  <si>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</si>
  <si>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</si>
  <si>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</si>
  <si>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</si>
  <si>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</si>
  <si>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</si>
  <si>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</si>
  <si>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</si>
  <si>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</si>
  <si>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</si>
  <si>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</si>
  <si>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</si>
  <si>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</si>
  <si>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</si>
  <si>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</si>
  <si>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</si>
  <si>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</si>
  <si>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</si>
  <si>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</si>
  <si>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</si>
  <si>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</si>
  <si>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</si>
  <si>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</si>
  <si>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</si>
  <si>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</si>
  <si>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</si>
  <si>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</si>
  <si>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</si>
  <si>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</si>
  <si>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</si>
  <si>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</si>
  <si>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</si>
  <si>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</si>
  <si>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</si>
  <si>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</si>
  <si>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</si>
  <si>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</si>
  <si>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</si>
  <si>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</si>
  <si>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</si>
  <si>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</si>
  <si>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</si>
  <si>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</si>
  <si>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</si>
  <si>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</si>
  <si>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</si>
  <si>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</si>
  <si>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</si>
  <si>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</si>
  <si>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</si>
  <si>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</si>
  <si>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</si>
  <si>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</si>
  <si>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</si>
  <si>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</si>
  <si>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</si>
  <si>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</si>
  <si>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</si>
  <si>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</si>
  <si>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</si>
  <si>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</si>
  <si>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</si>
  <si>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</si>
  <si>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</si>
  <si>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</si>
  <si>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</si>
  <si>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</si>
  <si>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</si>
  <si>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</si>
  <si>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</si>
  <si>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</si>
  <si>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</si>
  <si>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</si>
  <si>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</si>
  <si>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</si>
  <si>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</si>
  <si>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</si>
  <si>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</si>
  <si>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</si>
  <si>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</si>
  <si>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</si>
  <si>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</si>
  <si>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</si>
  <si>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</si>
  <si>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</si>
  <si>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</si>
  <si>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</si>
  <si>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</si>
  <si>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</si>
  <si>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</si>
  <si>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</si>
  <si>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</si>
  <si>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</si>
  <si>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</si>
  <si>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</si>
  <si>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</si>
  <si>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</si>
  <si>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</si>
  <si>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</si>
  <si>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</si>
  <si>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</si>
  <si>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</si>
  <si>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</si>
  <si>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</si>
  <si>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</si>
  <si>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</si>
  <si>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</si>
  <si>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</si>
  <si>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</si>
  <si>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</si>
  <si>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</si>
  <si>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</si>
  <si>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</si>
  <si>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</si>
  <si>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</si>
  <si>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</si>
  <si>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</si>
  <si>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</si>
  <si>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</si>
  <si>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</si>
  <si>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</si>
  <si>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</si>
  <si>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</si>
  <si>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</si>
  <si>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</si>
  <si>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</si>
  <si>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</si>
  <si>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</si>
  <si>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</si>
  <si>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</si>
  <si>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</si>
  <si>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</si>
  <si>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</si>
  <si>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</si>
  <si>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</si>
  <si>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</si>
  <si>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</si>
  <si>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</si>
  <si>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</si>
  <si>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</si>
  <si>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</si>
  <si>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</si>
  <si>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</si>
  <si>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</si>
  <si>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</si>
  <si>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</si>
  <si>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</si>
  <si>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</si>
  <si>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</si>
  <si>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</si>
  <si>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</si>
  <si>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</si>
  <si>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</si>
  <si>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</si>
  <si>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</si>
  <si>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</si>
  <si>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</si>
  <si>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</si>
  <si>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</si>
  <si>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</si>
  <si>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</si>
  <si>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</si>
  <si>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</si>
  <si>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</si>
  <si>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</si>
  <si>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</si>
  <si>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</si>
  <si>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</si>
  <si>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</si>
  <si>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</si>
  <si>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</si>
  <si>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</si>
  <si>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</si>
  <si>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</si>
  <si>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</si>
  <si>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</si>
  <si>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</si>
  <si>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</si>
  <si>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</si>
  <si>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</si>
  <si>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</si>
  <si>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</si>
  <si>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</si>
  <si>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</si>
  <si>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</si>
  <si>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</si>
  <si>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</si>
  <si>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</si>
  <si>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</si>
  <si>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</si>
  <si>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</si>
  <si>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</si>
  <si>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</si>
  <si>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</si>
  <si>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</si>
  <si>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</si>
  <si>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</si>
  <si>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</si>
  <si>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</si>
  <si>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</si>
  <si>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</si>
  <si>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</si>
  <si>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</si>
  <si>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</si>
  <si>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</si>
  <si>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</si>
  <si>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</si>
  <si>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</si>
  <si>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</si>
  <si>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</si>
  <si>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</si>
  <si>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</si>
  <si>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</si>
  <si>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</si>
  <si>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</si>
  <si>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</si>
  <si>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</si>
  <si>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</si>
  <si>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</si>
  <si>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</si>
  <si>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</si>
  <si>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</si>
  <si>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</si>
  <si>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</si>
  <si>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</si>
  <si>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</si>
  <si>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</si>
  <si>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</si>
  <si>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</si>
  <si>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</si>
  <si>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</si>
  <si>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</si>
  <si>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</si>
  <si>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</si>
  <si>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</si>
  <si>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</si>
  <si>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</si>
  <si>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</si>
  <si>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</si>
  <si>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</si>
  <si>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</si>
  <si>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</si>
  <si>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</si>
  <si>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</si>
  <si>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</si>
  <si>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</si>
  <si>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</si>
  <si>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</si>
  <si>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</si>
  <si>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</si>
  <si>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</si>
  <si>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</si>
  <si>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</si>
  <si>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</si>
  <si>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</si>
  <si>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</si>
  <si>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</si>
  <si>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</si>
  <si>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</si>
  <si>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</si>
  <si>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</si>
  <si>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</si>
  <si>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</si>
  <si>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</si>
  <si>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</si>
  <si>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</si>
  <si>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</si>
  <si>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</si>
  <si>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</si>
  <si>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</si>
  <si>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</si>
  <si>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</si>
  <si>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</si>
  <si>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</si>
  <si>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</si>
  <si>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</si>
  <si>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</si>
  <si>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</si>
  <si>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</si>
  <si>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</si>
  <si>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</si>
  <si>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</si>
  <si>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</si>
  <si>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</si>
  <si>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</si>
  <si>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</si>
  <si>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</si>
  <si>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</si>
  <si>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</si>
  <si>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</si>
  <si>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</si>
  <si>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</si>
  <si>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</si>
  <si>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</si>
  <si>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</si>
  <si>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</si>
  <si>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</si>
  <si>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</si>
  <si>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</si>
  <si>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</si>
  <si>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</si>
  <si>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</si>
  <si>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</si>
  <si>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</si>
  <si>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</si>
  <si>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</si>
  <si>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</si>
  <si>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</si>
  <si>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</si>
  <si>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</si>
  <si>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</si>
  <si>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</si>
  <si>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</si>
  <si>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</si>
  <si>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</si>
  <si>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</si>
  <si>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</si>
  <si>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</si>
  <si>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</si>
  <si>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</si>
  <si>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</si>
  <si>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</si>
  <si>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</si>
  <si>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</si>
  <si>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</si>
  <si>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</si>
  <si>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</si>
  <si>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</si>
  <si>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</si>
  <si>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</si>
  <si>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</si>
  <si>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</si>
  <si>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</si>
  <si>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</si>
  <si>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</si>
  <si>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</si>
  <si>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</si>
  <si>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</si>
  <si>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</si>
  <si>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</si>
  <si>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</si>
  <si>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</si>
  <si>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</si>
  <si>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</si>
  <si>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</si>
  <si>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</si>
  <si>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</si>
  <si>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</si>
  <si>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</si>
  <si>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</si>
  <si>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</si>
  <si>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</si>
  <si>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</si>
  <si>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</si>
  <si>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</si>
  <si>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</si>
  <si>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</si>
  <si>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</si>
  <si>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</si>
  <si>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</si>
  <si>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</si>
  <si>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</si>
  <si>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</si>
  <si>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</si>
  <si>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</si>
  <si>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</si>
  <si>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</si>
  <si>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</si>
  <si>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</si>
  <si>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</si>
  <si>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</si>
  <si>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</si>
  <si>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</si>
  <si>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</si>
  <si>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</si>
  <si>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</si>
  <si>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</si>
  <si>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</si>
  <si>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</si>
  <si>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</si>
  <si>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</si>
  <si>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</si>
  <si>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</si>
  <si>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</si>
  <si>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</si>
  <si>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</si>
  <si>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</si>
  <si>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</si>
  <si>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</si>
  <si>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</si>
  <si>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</si>
  <si>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</si>
  <si>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</si>
  <si>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</si>
  <si>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</si>
  <si>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</si>
  <si>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</si>
  <si>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</si>
  <si>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</si>
  <si>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</si>
  <si>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</si>
  <si>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</si>
  <si>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</si>
  <si>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</si>
  <si>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</si>
  <si>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</si>
  <si>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</si>
  <si>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</si>
  <si>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</si>
  <si>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</si>
  <si>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</si>
  <si>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</si>
  <si>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</si>
  <si>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</si>
  <si>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</si>
  <si>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</si>
  <si>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</si>
  <si>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</si>
  <si>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</si>
  <si>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</si>
  <si>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</si>
  <si>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</si>
  <si>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</si>
  <si>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</si>
  <si>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</si>
  <si>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</si>
  <si>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</si>
  <si>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</si>
  <si>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</si>
  <si>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</si>
  <si>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</si>
  <si>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</si>
  <si>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</si>
  <si>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</si>
  <si>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</si>
  <si>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</si>
  <si>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</si>
  <si>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</si>
  <si>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</si>
  <si>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</si>
  <si>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</si>
  <si>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</si>
  <si>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</si>
  <si>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</si>
  <si>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</si>
  <si>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</si>
  <si>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</si>
  <si>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</si>
  <si>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</si>
  <si>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</si>
  <si>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</si>
  <si>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</si>
  <si>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</si>
  <si>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</si>
  <si>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</si>
  <si>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</si>
  <si>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</si>
  <si>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</si>
  <si>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</si>
  <si>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</si>
  <si>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</si>
  <si>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</si>
  <si>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</si>
  <si>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</si>
  <si>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</si>
  <si>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</si>
  <si>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</si>
  <si>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</si>
  <si>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</si>
  <si>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</si>
  <si>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</si>
  <si>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</si>
  <si>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</si>
  <si>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</si>
  <si>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</si>
  <si>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</si>
  <si>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</si>
  <si>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</si>
  <si>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</si>
  <si>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</si>
  <si>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</si>
  <si>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</si>
  <si>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</si>
  <si>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</si>
  <si>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</si>
  <si>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</si>
  <si>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</si>
  <si>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</si>
  <si>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</si>
  <si>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</si>
  <si>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</si>
  <si>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</si>
  <si>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</si>
  <si>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</si>
  <si>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</si>
  <si>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</si>
  <si>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</si>
  <si>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</si>
  <si>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</si>
  <si>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</si>
  <si>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</si>
  <si>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</si>
  <si>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</si>
  <si>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</si>
  <si>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</si>
  <si>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</si>
  <si>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</si>
  <si>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</si>
  <si>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</si>
  <si>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</si>
  <si>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</si>
  <si>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</si>
  <si>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</si>
  <si>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</si>
  <si>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</si>
  <si>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</si>
  <si>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</si>
  <si>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</si>
  <si>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</si>
  <si>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</si>
  <si>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</si>
  <si>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</si>
  <si>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</si>
  <si>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</si>
  <si>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</si>
  <si>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</si>
  <si>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</si>
  <si>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</si>
  <si>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</si>
  <si>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</si>
  <si>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</si>
  <si>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</si>
  <si>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</si>
  <si>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</si>
  <si>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</si>
  <si>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</si>
  <si>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</si>
  <si>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</si>
  <si>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</si>
  <si>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</si>
  <si>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</si>
  <si>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</si>
  <si>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</si>
  <si>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</si>
  <si>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</si>
  <si>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</si>
  <si>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</si>
  <si>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</si>
  <si>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</si>
  <si>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</si>
  <si>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</si>
  <si>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</si>
  <si>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</si>
  <si>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</si>
  <si>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</si>
  <si>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</si>
  <si>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</si>
  <si>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</si>
  <si>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</si>
  <si>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</si>
  <si>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</si>
  <si>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</si>
  <si>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</si>
  <si>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</si>
  <si>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</si>
  <si>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</si>
  <si>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</si>
  <si>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</si>
  <si>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</si>
  <si>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</si>
  <si>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</si>
  <si>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</si>
  <si>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</si>
  <si>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</si>
  <si>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</si>
  <si>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</si>
  <si>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</si>
  <si>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</si>
  <si>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</si>
  <si>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</si>
  <si>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</si>
  <si>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</si>
  <si>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</si>
  <si>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</si>
  <si>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</si>
  <si>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</si>
  <si>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</si>
  <si>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</si>
  <si>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</si>
  <si>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</si>
  <si>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</si>
  <si>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</si>
  <si>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</si>
  <si>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</si>
  <si>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</si>
  <si>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</si>
  <si>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</si>
  <si>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</si>
  <si>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</si>
  <si>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</si>
  <si>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</si>
  <si>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</si>
  <si>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</si>
  <si>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</si>
  <si>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</si>
  <si>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</si>
  <si>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</si>
  <si>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</si>
  <si>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</si>
  <si>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</si>
  <si>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</si>
  <si>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</si>
  <si>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</si>
  <si>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</si>
  <si>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</si>
  <si>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</si>
  <si>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</si>
  <si>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</si>
  <si>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</si>
  <si>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</si>
  <si>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</si>
  <si>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</si>
  <si>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</si>
  <si>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</si>
  <si>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</si>
  <si>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</si>
  <si>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</si>
  <si>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</si>
  <si>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</si>
  <si>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</si>
  <si>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</si>
  <si>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</si>
  <si>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</si>
  <si>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</si>
  <si>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</si>
  <si>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</si>
  <si>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</si>
  <si>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</si>
  <si>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</si>
  <si>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</si>
  <si>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</si>
  <si>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</si>
  <si>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</si>
  <si>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</si>
  <si>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</si>
  <si>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</si>
  <si>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</si>
  <si>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</si>
  <si>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</si>
  <si>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</si>
  <si>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</si>
  <si>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</si>
  <si>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</si>
  <si>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</si>
  <si>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</si>
  <si>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</si>
  <si>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</si>
  <si>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</si>
  <si>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</si>
  <si>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</si>
  <si>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</si>
  <si>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</si>
  <si>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</si>
  <si>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</si>
  <si>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</si>
  <si>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</si>
  <si>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</si>
  <si>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</si>
  <si>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</si>
  <si>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</si>
  <si>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</si>
  <si>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</si>
  <si>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</si>
  <si>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</si>
  <si>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</si>
  <si>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</si>
  <si>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</si>
  <si>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</si>
  <si>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</si>
  <si>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</si>
  <si>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</si>
  <si>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</si>
  <si>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</si>
  <si>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</si>
  <si>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</si>
  <si>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</si>
  <si>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</si>
  <si>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</si>
  <si>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</si>
  <si>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</si>
  <si>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</si>
  <si>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</si>
  <si>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</si>
  <si>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</si>
  <si>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</si>
  <si>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</si>
  <si>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</si>
  <si>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</si>
  <si>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</si>
  <si>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</si>
  <si>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</si>
  <si>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</si>
  <si>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</si>
  <si>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</si>
  <si>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</si>
  <si>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</si>
  <si>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</si>
  <si>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</si>
  <si>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</si>
  <si>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</si>
  <si>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</si>
  <si>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</si>
  <si>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</si>
  <si>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</si>
  <si>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</si>
  <si>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</si>
  <si>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</si>
  <si>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</si>
  <si>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</si>
  <si>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</si>
  <si>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</si>
  <si>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</si>
  <si>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</si>
  <si>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</si>
  <si>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</si>
  <si>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</si>
  <si>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</si>
  <si>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</si>
  <si>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</si>
  <si>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</si>
  <si>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</si>
  <si>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</si>
  <si>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</si>
  <si>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</si>
  <si>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</si>
  <si>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</si>
  <si>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</si>
  <si>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</si>
  <si>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</si>
  <si>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</si>
  <si>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</si>
  <si>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</si>
  <si>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</si>
  <si>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</si>
  <si>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</si>
  <si>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</si>
  <si>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</si>
  <si>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</si>
  <si>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</si>
  <si>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</si>
  <si>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</si>
  <si>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</si>
  <si>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</si>
  <si>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</si>
  <si>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</si>
  <si>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</si>
  <si>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</si>
  <si>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</si>
  <si>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</si>
  <si>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</si>
  <si>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</si>
  <si>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</si>
  <si>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</si>
  <si>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</si>
  <si>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</si>
  <si>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</si>
  <si>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</si>
  <si>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</si>
  <si>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</si>
  <si>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</si>
  <si>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</si>
  <si>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</si>
  <si>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</si>
  <si>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</si>
  <si>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</si>
  <si>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</si>
  <si>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</si>
  <si>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</si>
  <si>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</si>
  <si>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</si>
  <si>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</si>
  <si>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</si>
  <si>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</si>
  <si>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</si>
  <si>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</si>
  <si>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</si>
  <si>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</si>
  <si>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</si>
  <si>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</si>
  <si>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</si>
  <si>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</si>
  <si>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</si>
  <si>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</si>
  <si>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</si>
  <si>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</si>
  <si>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</si>
  <si>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</si>
  <si>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</si>
  <si>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</si>
  <si>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</si>
  <si>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</si>
  <si>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</si>
  <si>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</si>
  <si>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</si>
  <si>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</si>
  <si>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</si>
  <si>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</si>
  <si>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</si>
  <si>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</si>
  <si>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</si>
  <si>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</si>
  <si>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</si>
  <si>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</si>
  <si>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</si>
  <si>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</si>
  <si>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</si>
  <si>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</si>
  <si>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</si>
  <si>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</si>
  <si>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</si>
  <si>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</si>
  <si>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</si>
  <si>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</si>
  <si>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</si>
  <si>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</si>
  <si>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</si>
  <si>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</si>
  <si>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</si>
  <si>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</si>
  <si>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</si>
  <si>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</si>
  <si>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</si>
  <si>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</si>
  <si>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</si>
  <si>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</si>
  <si>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</si>
  <si>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</si>
  <si>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</si>
  <si>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</si>
  <si>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</si>
  <si>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</si>
  <si>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</si>
  <si>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</si>
  <si>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</si>
  <si>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</si>
  <si>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</si>
  <si>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</si>
  <si>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</si>
  <si>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</si>
  <si>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</si>
  <si>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</si>
  <si>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</si>
  <si>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</si>
  <si>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</si>
  <si>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</si>
  <si>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</si>
  <si>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</si>
  <si>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</si>
  <si>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</si>
  <si>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</si>
  <si>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</si>
  <si>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</si>
  <si>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</si>
  <si>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</si>
  <si>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</si>
  <si>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</si>
  <si>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</si>
  <si>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</si>
  <si>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</si>
  <si>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</si>
  <si>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</si>
  <si>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</si>
  <si>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</si>
  <si>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</si>
  <si>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</si>
  <si>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</si>
  <si>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</si>
  <si>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</si>
  <si>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</si>
  <si>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</si>
  <si>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</si>
  <si>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</si>
  <si>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</si>
  <si>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</si>
  <si>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</si>
  <si>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</si>
  <si>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</si>
  <si>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</si>
  <si>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</si>
  <si>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</si>
  <si>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</si>
  <si>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</si>
  <si>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</si>
  <si>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</si>
  <si>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</si>
  <si>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</si>
  <si>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</si>
  <si>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</si>
  <si>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</si>
  <si>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</si>
  <si>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</si>
  <si>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</si>
  <si>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</si>
  <si>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</si>
  <si>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</si>
  <si>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</si>
  <si>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</si>
  <si>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</si>
  <si>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</si>
  <si>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</si>
  <si>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</si>
  <si>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</si>
  <si>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</si>
  <si>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</si>
  <si>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</si>
  <si>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</si>
  <si>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</si>
  <si>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</si>
  <si>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</si>
  <si>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</si>
  <si>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</si>
  <si>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</si>
  <si>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</si>
  <si>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</si>
  <si>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</si>
  <si>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</si>
  <si>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</si>
  <si>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</si>
  <si>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</si>
  <si>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</si>
  <si>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</si>
  <si>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</si>
  <si>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</si>
  <si>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</si>
  <si>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</si>
  <si>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</si>
  <si>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</si>
  <si>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</si>
  <si>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</si>
  <si>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</si>
  <si>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</si>
  <si>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</si>
  <si>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</si>
  <si>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</si>
  <si>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</si>
  <si>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</si>
  <si>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</si>
  <si>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</si>
  <si>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</si>
  <si>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</si>
  <si>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</si>
  <si>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</si>
  <si>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</si>
  <si>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</si>
  <si>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</si>
  <si>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</si>
  <si>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</si>
  <si>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</si>
  <si>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</si>
  <si>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</si>
  <si>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</si>
  <si>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</si>
  <si>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</si>
  <si>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</si>
  <si>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</si>
  <si>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</si>
  <si>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</si>
  <si>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</si>
  <si>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</si>
  <si>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</si>
  <si>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</si>
  <si>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</si>
  <si>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</si>
  <si>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</si>
  <si>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</si>
  <si>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</si>
  <si>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</si>
  <si>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</si>
  <si>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</si>
  <si>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</si>
  <si>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</si>
  <si>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</si>
  <si>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</si>
  <si>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</si>
  <si>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</si>
  <si>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</si>
  <si>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</si>
  <si>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</si>
  <si>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</si>
  <si>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</si>
  <si>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</si>
  <si>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</si>
  <si>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</si>
  <si>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</si>
  <si>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</si>
  <si>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</si>
  <si>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</si>
  <si>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</si>
  <si>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</si>
  <si>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</si>
  <si>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</si>
  <si>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</si>
  <si>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</si>
  <si>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</si>
  <si>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</si>
  <si>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</si>
  <si>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</si>
  <si>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</si>
  <si>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</si>
  <si>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</si>
  <si>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</si>
  <si>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</si>
  <si>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</si>
  <si>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</si>
  <si>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</si>
  <si>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</si>
  <si>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</si>
  <si>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</si>
  <si>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</si>
  <si>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</si>
  <si>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</si>
  <si>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</si>
  <si>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</si>
  <si>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</si>
  <si>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</si>
  <si>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</si>
  <si>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</si>
  <si>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</si>
  <si>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</si>
  <si>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</si>
  <si>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</si>
  <si>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</si>
  <si>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</si>
  <si>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</si>
  <si>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</si>
  <si>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</si>
  <si>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</si>
  <si>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</si>
  <si>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</si>
  <si>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</si>
  <si>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</si>
  <si>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</si>
  <si>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</si>
  <si>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</si>
  <si>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</si>
  <si>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</si>
  <si>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</si>
  <si>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</si>
  <si>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</si>
  <si>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</si>
  <si>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</si>
  <si>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</si>
  <si>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</si>
  <si>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</si>
  <si>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</si>
  <si>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</si>
  <si>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</si>
  <si>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</si>
  <si>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</si>
  <si>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</si>
  <si>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</si>
  <si>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</si>
  <si>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</si>
  <si>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</si>
  <si>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</si>
  <si>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</si>
  <si>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</si>
  <si>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</si>
  <si>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</si>
  <si>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</si>
  <si>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</si>
  <si>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</si>
  <si>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</si>
  <si>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</si>
  <si>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</si>
  <si>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</si>
  <si>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</si>
  <si>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</si>
  <si>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</si>
  <si>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</si>
  <si>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</si>
  <si>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</si>
  <si>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</si>
  <si>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</si>
  <si>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</si>
  <si>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</si>
  <si>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</si>
  <si>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</si>
  <si>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</si>
  <si>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</si>
  <si>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</si>
  <si>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</si>
  <si>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</si>
  <si>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</si>
  <si>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</si>
  <si>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</si>
  <si>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</si>
  <si>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</si>
  <si>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</si>
  <si>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</si>
  <si>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</si>
  <si>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</si>
  <si>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</si>
  <si>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</si>
  <si>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</si>
  <si>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</si>
  <si>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</si>
  <si>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</si>
  <si>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</si>
  <si>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</si>
  <si>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</si>
  <si>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</si>
  <si>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</si>
  <si>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</si>
  <si>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</si>
  <si>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</si>
  <si>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</si>
  <si>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</si>
  <si>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</si>
  <si>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</si>
  <si>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</si>
  <si>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</si>
  <si>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</si>
  <si>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</si>
  <si>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</si>
  <si>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</si>
  <si>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</si>
  <si>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</si>
  <si>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</si>
  <si>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</si>
  <si>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</si>
  <si>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</si>
  <si>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</si>
  <si>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</si>
  <si>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</si>
  <si>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</si>
  <si>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</si>
  <si>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</si>
  <si>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</si>
  <si>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</si>
  <si>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</si>
  <si>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</si>
  <si>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</si>
  <si>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</si>
  <si>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</si>
  <si>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</si>
  <si>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</si>
  <si>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</si>
  <si>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</si>
  <si>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</si>
  <si>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</si>
  <si>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</si>
  <si>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</si>
  <si>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</si>
  <si>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</si>
  <si>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</si>
  <si>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</si>
  <si>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</si>
  <si>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</si>
  <si>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</si>
  <si>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</si>
  <si>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</si>
  <si>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</si>
  <si>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</si>
  <si>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</si>
  <si>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</si>
  <si>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</si>
  <si>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</si>
  <si>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</si>
  <si>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</si>
  <si>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</si>
  <si>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</si>
  <si>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</si>
  <si>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</si>
  <si>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</si>
  <si>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</si>
  <si>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</si>
  <si>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</si>
  <si>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</si>
  <si>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</si>
  <si>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</si>
  <si>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</si>
  <si>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</si>
  <si>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</si>
  <si>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</si>
  <si>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</si>
  <si>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</si>
  <si>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</si>
  <si>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</si>
  <si>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</si>
  <si>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</si>
  <si>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</si>
  <si>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</si>
  <si>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</si>
  <si>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</si>
  <si>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</si>
  <si>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</si>
  <si>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</si>
  <si>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</si>
  <si>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</si>
  <si>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</si>
  <si>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</si>
  <si>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</si>
  <si>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</si>
  <si>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</si>
  <si>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</si>
  <si>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</si>
  <si>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</si>
  <si>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</si>
  <si>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</si>
  <si>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</si>
  <si>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</si>
  <si>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</si>
  <si>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</si>
  <si>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</si>
  <si>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</si>
  <si>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</si>
  <si>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</si>
  <si>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</si>
  <si>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</si>
  <si>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</si>
  <si>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</si>
  <si>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</si>
  <si>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</si>
  <si>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</si>
  <si>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</si>
  <si>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</si>
  <si>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</si>
  <si>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</si>
  <si>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</si>
  <si>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</si>
  <si>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</si>
  <si>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</si>
  <si>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</si>
  <si>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</si>
  <si>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</si>
  <si>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</si>
  <si>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</si>
  <si>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</si>
  <si>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</si>
  <si>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</si>
  <si>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</si>
  <si>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</si>
  <si>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</si>
  <si>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</si>
  <si>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</si>
  <si>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</si>
  <si>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</si>
  <si>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</si>
  <si>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</si>
  <si>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</si>
  <si>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</si>
  <si>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</si>
  <si>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</si>
  <si>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</si>
  <si>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</si>
  <si>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</si>
  <si>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</si>
  <si>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</si>
  <si>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</si>
  <si>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</si>
  <si>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</si>
  <si>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</si>
  <si>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</si>
  <si>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</si>
  <si>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</si>
  <si>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</si>
  <si>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</si>
  <si>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</si>
  <si>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</si>
  <si>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</si>
  <si>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</si>
  <si>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</si>
  <si>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</si>
  <si>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</si>
  <si>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</si>
  <si>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</si>
  <si>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</si>
  <si>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</si>
  <si>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</si>
  <si>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</si>
  <si>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</si>
  <si>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</si>
  <si>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</si>
  <si>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</si>
  <si>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</si>
  <si>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</si>
  <si>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</si>
  <si>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</si>
  <si>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</si>
  <si>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</si>
  <si>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</si>
  <si>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</si>
  <si>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</si>
  <si>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</si>
  <si>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</si>
  <si>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</si>
  <si>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</si>
  <si>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</si>
  <si>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</si>
  <si>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</si>
  <si>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</si>
  <si>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</si>
  <si>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</si>
  <si>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</si>
  <si>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</si>
  <si>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</si>
  <si>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</si>
  <si>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</si>
  <si>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</si>
  <si>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</si>
  <si>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</si>
  <si>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</si>
  <si>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</si>
  <si>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</si>
  <si>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</si>
  <si>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</si>
  <si>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</si>
  <si>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</si>
  <si>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</si>
  <si>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</si>
  <si>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</si>
  <si>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</si>
  <si>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</si>
  <si>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</si>
  <si>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</si>
  <si>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</si>
  <si>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</si>
  <si>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</si>
  <si>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</si>
  <si>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</si>
  <si>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</si>
  <si>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</si>
  <si>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</si>
  <si>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</si>
  <si>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</si>
  <si>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</si>
  <si>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</si>
  <si>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</si>
  <si>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</si>
  <si>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</si>
  <si>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</si>
  <si>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</si>
  <si>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</si>
  <si>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</si>
  <si>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</si>
  <si>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</si>
  <si>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</si>
  <si>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</si>
  <si>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</si>
  <si>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</si>
  <si>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</si>
  <si>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</si>
  <si>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</si>
  <si>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</si>
  <si>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</si>
  <si>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</si>
  <si>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</si>
  <si>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</si>
  <si>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</si>
  <si>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</si>
  <si>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</si>
  <si>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</si>
  <si>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</si>
  <si>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</si>
  <si>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</si>
  <si>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</si>
  <si>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</si>
  <si>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</si>
  <si>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</si>
  <si>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</si>
  <si>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</si>
  <si>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</si>
  <si>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</si>
  <si>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</si>
  <si>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</si>
  <si>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</si>
  <si>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</si>
  <si>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</si>
  <si>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</si>
  <si>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</si>
  <si>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</si>
  <si>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</si>
  <si>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</si>
  <si>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</si>
  <si>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</si>
  <si>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</si>
  <si>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</si>
  <si>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</si>
  <si>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</si>
  <si>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</si>
  <si>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</si>
  <si>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</si>
  <si>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</si>
  <si>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</si>
  <si>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</si>
  <si>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</si>
  <si>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</si>
  <si>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</si>
  <si>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</si>
  <si>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</si>
  <si>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</si>
  <si>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</si>
  <si>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</si>
  <si>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</si>
  <si>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</si>
  <si>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</si>
  <si>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</si>
  <si>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</si>
  <si>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</si>
  <si>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</si>
  <si>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</si>
  <si>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</si>
  <si>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</si>
  <si>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</si>
  <si>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</si>
  <si>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</si>
  <si>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</si>
  <si>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</si>
  <si>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</si>
  <si>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</si>
  <si>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</si>
  <si>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</si>
  <si>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</si>
  <si>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</si>
  <si>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</si>
  <si>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</si>
  <si>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</si>
  <si>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</si>
  <si>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</si>
  <si>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</si>
  <si>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</si>
  <si>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</si>
  <si>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</si>
  <si>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</si>
  <si>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</si>
  <si>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</si>
  <si>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</si>
  <si>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</si>
  <si>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</si>
  <si>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</si>
  <si>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</si>
  <si>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</si>
  <si>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</si>
  <si>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</si>
  <si>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</si>
  <si>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</si>
  <si>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</si>
  <si>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</si>
  <si>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</si>
  <si>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</si>
  <si>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</si>
  <si>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</si>
  <si>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</si>
  <si>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</si>
  <si>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</si>
  <si>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</si>
  <si>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</si>
  <si>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</si>
  <si>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</si>
  <si>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</si>
  <si>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</si>
  <si>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</si>
  <si>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</si>
  <si>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</si>
  <si>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</si>
  <si>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</si>
  <si>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</si>
  <si>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</si>
  <si>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</si>
  <si>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</si>
  <si>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</si>
  <si>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</si>
  <si>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</si>
  <si>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</si>
  <si>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</si>
  <si>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</si>
  <si>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</si>
  <si>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</si>
  <si>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</si>
  <si>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</si>
  <si>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</si>
  <si>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</si>
  <si>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</si>
  <si>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</si>
  <si>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</si>
  <si>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</si>
  <si>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</si>
  <si>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</si>
  <si>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</si>
  <si>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</si>
  <si>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</si>
  <si>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</si>
  <si>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</si>
  <si>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</si>
  <si>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</si>
  <si>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</si>
  <si>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</si>
  <si>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</si>
  <si>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</si>
  <si>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</si>
  <si>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</si>
  <si>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</si>
  <si>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</si>
  <si>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</si>
  <si>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</si>
  <si>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</si>
  <si>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</si>
  <si>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</si>
  <si>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</si>
  <si>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</si>
  <si>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</si>
  <si>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</si>
  <si>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</si>
  <si>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</si>
  <si>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</si>
  <si>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</si>
  <si>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</si>
  <si>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</si>
  <si>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</si>
  <si>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</si>
  <si>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</si>
  <si>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</si>
  <si>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</si>
  <si>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</si>
  <si>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</si>
  <si>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</si>
  <si>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</si>
  <si>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</si>
  <si>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</si>
  <si>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</si>
  <si>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</si>
  <si>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</si>
  <si>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</si>
  <si>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</si>
  <si>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</si>
  <si>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</si>
  <si>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</si>
  <si>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</si>
  <si>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</si>
  <si>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</si>
  <si>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</si>
  <si>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</si>
  <si>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</si>
  <si>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</si>
  <si>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</si>
  <si>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</si>
  <si>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</si>
  <si>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</si>
  <si>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</si>
  <si>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</si>
  <si>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</si>
  <si>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</si>
  <si>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</si>
  <si>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</si>
  <si>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</si>
  <si>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</si>
  <si>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</si>
  <si>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</si>
  <si>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</si>
  <si>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</si>
  <si>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</si>
  <si>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</si>
  <si>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</si>
  <si>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</si>
  <si>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</si>
  <si>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</si>
  <si>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</si>
  <si>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</si>
  <si>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</si>
  <si>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</si>
  <si>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</si>
  <si>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</si>
  <si>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</si>
  <si>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</si>
  <si>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</si>
  <si>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</si>
  <si>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</si>
  <si>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</si>
  <si>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</si>
  <si>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</si>
  <si>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</si>
  <si>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</si>
  <si>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</si>
  <si>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</si>
  <si>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</si>
  <si>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</si>
  <si>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</si>
  <si>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</si>
  <si>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</si>
  <si>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</si>
  <si>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</si>
  <si>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</si>
  <si>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</si>
  <si>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</si>
  <si>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</si>
  <si>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</si>
  <si>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</si>
  <si>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</si>
  <si>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</si>
  <si>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</si>
  <si>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</si>
  <si>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</si>
  <si>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</si>
  <si>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</si>
  <si>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</si>
  <si>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</si>
  <si>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</si>
  <si>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</si>
  <si>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</si>
  <si>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</si>
  <si>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</si>
  <si>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</si>
  <si>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</si>
  <si>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</si>
  <si>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</si>
  <si>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</si>
  <si>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</si>
  <si>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</si>
  <si>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</si>
  <si>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</si>
  <si>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</si>
  <si>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</si>
  <si>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</si>
  <si>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</si>
  <si>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</si>
  <si>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</si>
  <si>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</si>
  <si>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</si>
  <si>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</si>
  <si>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</si>
  <si>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</si>
  <si>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</si>
  <si>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</si>
  <si>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</si>
  <si>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</si>
  <si>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</si>
  <si>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</si>
  <si>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</si>
  <si>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</si>
  <si>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</si>
  <si>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</si>
  <si>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</si>
  <si>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</si>
  <si>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</si>
  <si>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</si>
  <si>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</si>
  <si>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</si>
  <si>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</si>
  <si>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</si>
  <si>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</si>
  <si>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</si>
  <si>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</si>
  <si>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</si>
  <si>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</si>
  <si>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</si>
  <si>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</si>
  <si>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</si>
  <si>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</si>
  <si>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</si>
  <si>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</si>
  <si>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</si>
  <si>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</si>
  <si>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</si>
  <si>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</si>
  <si>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</si>
  <si>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</si>
  <si>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</si>
  <si>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</si>
  <si>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</si>
  <si>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</si>
  <si>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</si>
  <si>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</si>
  <si>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</si>
  <si>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</si>
  <si>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</si>
  <si>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</si>
  <si>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</si>
  <si>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</si>
  <si>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</si>
  <si>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</si>
  <si>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</si>
  <si>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</si>
  <si>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</si>
  <si>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</si>
  <si>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</si>
  <si>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</si>
  <si>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</si>
  <si>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</si>
  <si>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</si>
  <si>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</si>
  <si>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</si>
  <si>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</si>
  <si>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</si>
  <si>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</si>
  <si>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</si>
  <si>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</si>
  <si>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</si>
  <si>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</si>
  <si>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</si>
  <si>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</si>
  <si>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</si>
  <si>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</si>
  <si>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</si>
  <si>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</si>
  <si>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</si>
  <si>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</si>
  <si>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</si>
  <si>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</si>
  <si>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</si>
  <si>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</si>
  <si>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</si>
  <si>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</si>
  <si>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</si>
  <si>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</si>
  <si>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</si>
  <si>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</si>
  <si>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</si>
  <si>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</si>
  <si>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</si>
  <si>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</si>
  <si>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</si>
  <si>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</si>
  <si>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</si>
  <si>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</si>
  <si>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</si>
  <si>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</si>
  <si>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</si>
  <si>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</si>
  <si>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</si>
  <si>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</si>
  <si>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</si>
  <si>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</si>
  <si>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</si>
  <si>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</si>
  <si>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</si>
  <si>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</si>
  <si>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</si>
  <si>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</si>
  <si>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</si>
  <si>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</si>
  <si>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</si>
  <si>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</si>
  <si>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</si>
  <si>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</si>
  <si>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</si>
  <si>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</si>
  <si>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</si>
  <si>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</si>
  <si>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</si>
  <si>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</si>
  <si>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</si>
  <si>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</si>
  <si>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</si>
  <si>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</si>
  <si>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</si>
  <si>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</si>
  <si>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</si>
  <si>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</si>
  <si>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</si>
  <si>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</si>
  <si>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</si>
  <si>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</si>
  <si>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</si>
  <si>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</si>
  <si>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</si>
  <si>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</si>
  <si>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</si>
  <si>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</si>
  <si>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</si>
  <si>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</si>
  <si>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</si>
  <si>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</si>
  <si>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</si>
  <si>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</si>
  <si>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</si>
  <si>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</si>
  <si>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</si>
  <si>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</si>
  <si>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</si>
  <si>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</si>
  <si>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</si>
  <si>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</si>
  <si>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</si>
  <si>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</si>
  <si>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</si>
  <si>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</si>
  <si>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</si>
  <si>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</si>
  <si>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</si>
  <si>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</si>
  <si>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</si>
  <si>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</si>
  <si>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</si>
  <si>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</si>
  <si>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</si>
  <si>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</si>
  <si>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</si>
  <si>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</si>
  <si>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</si>
  <si>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</si>
  <si>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</si>
  <si>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</si>
  <si>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</si>
  <si>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</si>
  <si>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</si>
  <si>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</si>
  <si>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</si>
  <si>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</si>
  <si>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</si>
  <si>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</si>
  <si>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</si>
  <si>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</si>
  <si>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</si>
  <si>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</si>
  <si>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</si>
  <si>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</si>
  <si>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</si>
  <si>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</si>
  <si>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</si>
  <si>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</si>
  <si>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</si>
  <si>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</si>
  <si>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</si>
  <si>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</si>
  <si>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</si>
  <si>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</si>
  <si>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</si>
  <si>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</si>
  <si>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</si>
  <si>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</si>
  <si>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</si>
  <si>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</si>
  <si>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</si>
  <si>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</si>
  <si>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</si>
  <si>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</si>
  <si>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</si>
  <si>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</si>
  <si>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</si>
  <si>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</si>
  <si>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</si>
  <si>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</si>
  <si>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</si>
  <si>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</si>
  <si>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</si>
  <si>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</si>
  <si>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</si>
  <si>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</si>
  <si>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</si>
  <si>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</si>
  <si>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</si>
  <si>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</si>
  <si>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</si>
  <si>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</si>
  <si>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</si>
  <si>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</si>
  <si>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</si>
  <si>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</si>
  <si>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</si>
  <si>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</si>
  <si>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</si>
  <si>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</si>
  <si>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</si>
  <si>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</si>
  <si>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</si>
  <si>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</si>
  <si>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</si>
  <si>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</si>
  <si>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</si>
  <si>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</si>
  <si>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</si>
  <si>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</si>
  <si>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</si>
  <si>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</si>
  <si>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</si>
  <si>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</si>
  <si>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</si>
  <si>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</si>
  <si>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</si>
  <si>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</si>
  <si>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</si>
  <si>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</si>
  <si>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</si>
  <si>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</si>
  <si>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</si>
  <si>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</si>
  <si>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</si>
  <si>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</si>
  <si>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</si>
  <si>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</si>
  <si>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</si>
  <si>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</si>
  <si>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</si>
  <si>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</si>
  <si>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</si>
  <si>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</si>
  <si>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</si>
  <si>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</si>
  <si>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</si>
  <si>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</si>
  <si>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</si>
  <si>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</si>
  <si>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</si>
  <si>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</si>
  <si>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</si>
  <si>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</si>
  <si>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</si>
  <si>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</si>
  <si>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</si>
  <si>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</si>
  <si>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</si>
  <si>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</si>
  <si>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</si>
  <si>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</si>
  <si>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</si>
  <si>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</si>
  <si>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</si>
  <si>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</si>
  <si>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</si>
  <si>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</si>
  <si>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</si>
  <si>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</si>
  <si>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</si>
  <si>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</si>
  <si>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</si>
  <si>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</si>
  <si>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</si>
  <si>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</si>
  <si>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</si>
  <si>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</si>
  <si>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</si>
  <si>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</si>
  <si>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</si>
  <si>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</si>
  <si>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</si>
  <si>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</si>
  <si>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</si>
  <si>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</si>
  <si>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</si>
  <si>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</si>
  <si>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</si>
  <si>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</si>
  <si>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</si>
  <si>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</si>
  <si>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</si>
  <si>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</si>
  <si>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</si>
  <si>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</si>
  <si>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</si>
  <si>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</si>
  <si>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</si>
  <si>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</si>
  <si>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</si>
  <si>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</si>
  <si>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</si>
  <si>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</si>
  <si>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</si>
  <si>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</si>
  <si>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</si>
  <si>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</si>
  <si>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</si>
  <si>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</si>
  <si>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</si>
  <si>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</si>
  <si>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</si>
  <si>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</si>
  <si>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</si>
  <si>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</si>
  <si>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</si>
  <si>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</si>
  <si>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</si>
  <si>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</si>
  <si>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</si>
  <si>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</si>
  <si>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</si>
  <si>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</si>
  <si>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</si>
  <si>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</si>
  <si>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</si>
  <si>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</si>
  <si>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</si>
  <si>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</si>
  <si>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</si>
  <si>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</si>
  <si>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</si>
  <si>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</si>
  <si>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</si>
  <si>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</si>
  <si>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</si>
  <si>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</si>
  <si>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</si>
  <si>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</si>
  <si>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</si>
  <si>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</si>
  <si>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</si>
  <si>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</si>
  <si>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</si>
  <si>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</si>
  <si>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</si>
  <si>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</si>
  <si>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</si>
  <si>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</si>
  <si>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</si>
  <si>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</si>
  <si>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</si>
  <si>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</si>
  <si>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</si>
  <si>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</si>
  <si>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</si>
  <si>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</si>
  <si>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</si>
  <si>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</si>
  <si>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</si>
  <si>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</si>
  <si>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</si>
  <si>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</si>
  <si>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</si>
  <si>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</si>
  <si>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</si>
  <si>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</si>
  <si>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</si>
  <si>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</si>
  <si>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</si>
  <si>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</si>
  <si>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</si>
  <si>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</si>
  <si>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</si>
  <si>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</si>
  <si>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</si>
  <si>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</si>
  <si>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</si>
  <si>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</si>
  <si>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</si>
  <si>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</si>
  <si>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</si>
  <si>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</si>
  <si>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</si>
  <si>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</si>
  <si>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</si>
  <si>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</si>
  <si>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</si>
  <si>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</si>
  <si>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</si>
  <si>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</si>
  <si>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</si>
  <si>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</si>
  <si>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</si>
  <si>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</si>
  <si>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</si>
  <si>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</si>
  <si>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</si>
  <si>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</si>
  <si>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</si>
  <si>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</si>
  <si>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</si>
  <si>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</si>
  <si>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</si>
  <si>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</si>
  <si>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</si>
  <si>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</si>
  <si>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</si>
  <si>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</si>
  <si>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</si>
  <si>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</si>
  <si>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</si>
  <si>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</si>
  <si>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</si>
  <si>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</si>
  <si>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</si>
  <si>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</si>
  <si>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</si>
  <si>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</si>
  <si>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</si>
  <si>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</si>
  <si>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</si>
  <si>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</si>
  <si>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</si>
  <si>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</si>
  <si>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</si>
  <si>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</si>
  <si>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</si>
  <si>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</si>
  <si>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</si>
  <si>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</si>
  <si>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</si>
  <si>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</si>
  <si>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</si>
  <si>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</si>
  <si>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</si>
  <si>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</si>
  <si>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</si>
  <si>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</si>
  <si>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</si>
  <si>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</si>
  <si>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</si>
  <si>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</si>
  <si>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</si>
  <si>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</si>
  <si>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</si>
  <si>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</si>
  <si>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</si>
  <si>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</si>
  <si>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</si>
  <si>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</si>
  <si>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</si>
  <si>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</si>
  <si>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</si>
  <si>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</si>
  <si>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</si>
  <si>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</si>
  <si>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</si>
  <si>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</si>
  <si>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</si>
  <si>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</si>
  <si>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</si>
  <si>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</si>
  <si>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</si>
  <si>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</si>
  <si>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</si>
  <si>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</si>
  <si>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</si>
  <si>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</si>
  <si>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</si>
  <si>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</si>
  <si>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</si>
  <si>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</si>
  <si>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</si>
  <si>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</si>
  <si>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</si>
  <si>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</si>
  <si>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</si>
  <si>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</si>
  <si>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</si>
  <si>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</si>
  <si>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</si>
  <si>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</si>
  <si>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</si>
  <si>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</si>
  <si>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</si>
  <si>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</si>
  <si>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</si>
  <si>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</si>
  <si>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</si>
  <si>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</si>
  <si>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</si>
  <si>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</si>
  <si>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</si>
  <si>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</si>
  <si>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</si>
  <si>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</si>
  <si>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</si>
  <si>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</si>
  <si>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</si>
  <si>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</si>
  <si>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</si>
  <si>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</si>
  <si>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</si>
  <si>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</si>
  <si>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</si>
  <si>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</si>
  <si>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</si>
  <si>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</si>
  <si>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</si>
  <si>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</si>
  <si>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</si>
  <si>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</si>
  <si>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</si>
  <si>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</si>
  <si>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</si>
  <si>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</si>
  <si>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</si>
  <si>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</si>
  <si>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</si>
  <si>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</si>
  <si>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</si>
  <si>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</si>
  <si>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</si>
  <si>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</si>
  <si>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</si>
  <si>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</si>
  <si>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</si>
  <si>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</si>
  <si>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</si>
  <si>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</si>
  <si>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</si>
  <si>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</si>
  <si>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</si>
  <si>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</si>
  <si>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</si>
  <si>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</si>
  <si>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</si>
  <si>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</si>
  <si>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</si>
  <si>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</si>
  <si>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</si>
  <si>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</si>
  <si>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</si>
  <si>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</si>
  <si>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</si>
  <si>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</si>
  <si>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</si>
  <si>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</si>
  <si>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</si>
  <si>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</si>
  <si>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</si>
  <si>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</si>
  <si>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</si>
  <si>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</si>
  <si>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</si>
  <si>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</si>
  <si>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</si>
  <si>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</si>
  <si>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</si>
  <si>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</si>
  <si>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</si>
  <si>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</si>
  <si>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</si>
  <si>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</si>
  <si>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</si>
  <si>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</si>
  <si>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</si>
  <si>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</si>
  <si>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</si>
  <si>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</si>
  <si>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</si>
  <si>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</si>
  <si>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</si>
  <si>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</si>
  <si>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</si>
  <si>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</si>
  <si>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</si>
  <si>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</si>
  <si>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</si>
  <si>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</si>
  <si>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</si>
  <si>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</si>
  <si>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</si>
  <si>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</si>
  <si>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</si>
  <si>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</si>
  <si>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</si>
  <si>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</si>
  <si>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</si>
  <si>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</si>
  <si>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</si>
  <si>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</si>
  <si>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</si>
  <si>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</si>
  <si>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</si>
  <si>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</si>
  <si>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</si>
  <si>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</si>
  <si>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</si>
  <si>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</si>
  <si>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</si>
  <si>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</si>
  <si>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</si>
  <si>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</si>
  <si>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</si>
  <si>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</si>
  <si>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</si>
  <si>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</si>
  <si>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</si>
  <si>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</si>
  <si>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</si>
  <si>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</si>
  <si>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</si>
  <si>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</si>
  <si>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</si>
  <si>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</si>
  <si>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</si>
  <si>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</si>
  <si>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</si>
  <si>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</si>
  <si>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</si>
  <si>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</si>
  <si>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</si>
  <si>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</si>
  <si>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</si>
  <si>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</si>
  <si>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</si>
  <si>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</si>
  <si>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</si>
  <si>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</si>
  <si>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</si>
  <si>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</si>
  <si>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</si>
  <si>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</si>
  <si>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</si>
  <si>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</si>
  <si>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</si>
  <si>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</si>
  <si>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</si>
  <si>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</si>
  <si>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</si>
  <si>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</si>
  <si>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</si>
  <si>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</si>
  <si>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</si>
  <si>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</si>
  <si>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</si>
  <si>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</si>
  <si>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</si>
  <si>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</si>
  <si>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</si>
  <si>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</si>
  <si>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</si>
  <si>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</si>
  <si>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</si>
  <si>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</si>
  <si>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</si>
  <si>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</si>
  <si>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</si>
  <si>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</si>
  <si>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</si>
  <si>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</si>
  <si>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</si>
  <si>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</si>
  <si>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</si>
  <si>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</si>
  <si>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</si>
  <si>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</si>
  <si>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</si>
  <si>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</si>
  <si>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</si>
  <si>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</si>
  <si>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</si>
  <si>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</si>
  <si>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</si>
  <si>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</si>
  <si>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</si>
  <si>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</si>
  <si>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</si>
  <si>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</si>
  <si>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</si>
  <si>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</si>
  <si>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</si>
  <si>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</si>
  <si>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</si>
  <si>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</si>
  <si>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</si>
  <si>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</si>
  <si>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</si>
  <si>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</si>
  <si>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</si>
  <si>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</si>
  <si>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</si>
  <si>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</si>
  <si>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</si>
  <si>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</si>
  <si>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</si>
  <si>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</si>
  <si>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</si>
  <si>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</si>
  <si>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</si>
  <si>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</si>
  <si>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</si>
  <si>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</si>
  <si>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</si>
  <si>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</si>
  <si>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</si>
  <si>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</si>
  <si>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</si>
  <si>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</si>
  <si>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</si>
  <si>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</si>
  <si>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</si>
  <si>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</si>
  <si>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</si>
  <si>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</si>
  <si>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</si>
  <si>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</si>
  <si>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</si>
  <si>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</si>
  <si>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</si>
  <si>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</si>
  <si>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</si>
  <si>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</si>
  <si>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</si>
  <si>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</si>
  <si>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</si>
  <si>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</si>
  <si>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</si>
  <si>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</si>
  <si>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</si>
  <si>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</si>
  <si>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</si>
  <si>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</si>
  <si>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</si>
  <si>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</si>
  <si>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</si>
  <si>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</si>
  <si>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</si>
  <si>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</si>
  <si>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</si>
  <si>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</si>
  <si>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</si>
  <si>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</si>
  <si>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</si>
  <si>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</si>
  <si>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</si>
  <si>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</si>
  <si>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</si>
  <si>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</si>
  <si>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</si>
  <si>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</si>
  <si>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</si>
  <si>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</si>
  <si>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</si>
  <si>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</si>
  <si>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</si>
  <si>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</si>
  <si>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</si>
  <si>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</si>
  <si>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</si>
  <si>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</si>
  <si>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</si>
  <si>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</si>
  <si>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</si>
  <si>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</si>
  <si>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</si>
  <si>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</si>
  <si>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</si>
  <si>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</si>
  <si>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</si>
  <si>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</si>
  <si>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</si>
  <si>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</si>
  <si>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</si>
  <si>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</si>
  <si>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</si>
  <si>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</si>
  <si>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</si>
  <si>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</si>
  <si>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</si>
  <si>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</si>
  <si>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</si>
  <si>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</si>
  <si>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</si>
  <si>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</si>
  <si>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</si>
  <si>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</si>
  <si>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</si>
  <si>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</si>
  <si>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</si>
  <si>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</si>
  <si>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</si>
  <si>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</si>
  <si>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</si>
  <si>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</si>
  <si>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</si>
  <si>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</si>
  <si>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</si>
  <si>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</si>
  <si>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</si>
  <si>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</si>
  <si>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</si>
  <si>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</si>
  <si>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</si>
  <si>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</si>
  <si>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</si>
  <si>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</si>
  <si>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</si>
  <si>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</si>
  <si>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</si>
  <si>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</si>
  <si>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</si>
  <si>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</si>
  <si>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</si>
  <si>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</si>
  <si>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</si>
  <si>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</si>
  <si>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</si>
  <si>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</si>
  <si>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</si>
  <si>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</si>
  <si>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</si>
  <si>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</si>
  <si>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</si>
  <si>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</si>
  <si>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</si>
  <si>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</si>
  <si>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</si>
  <si>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</si>
  <si>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</si>
  <si>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</si>
  <si>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</si>
  <si>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</si>
  <si>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</si>
  <si>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</si>
  <si>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</si>
  <si>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</si>
  <si>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</si>
  <si>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</si>
  <si>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</si>
  <si>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</si>
  <si>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</si>
  <si>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</si>
  <si>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</si>
  <si>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</si>
  <si>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</si>
  <si>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</si>
  <si>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</si>
  <si>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</si>
  <si>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</si>
  <si>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</si>
  <si>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</si>
  <si>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</si>
  <si>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</si>
  <si>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</si>
  <si>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</si>
  <si>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</si>
  <si>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</si>
  <si>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</si>
  <si>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</si>
  <si>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</si>
  <si>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</si>
  <si>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</si>
  <si>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</si>
  <si>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</si>
  <si>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</si>
  <si>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</si>
  <si>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</si>
  <si>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</si>
  <si>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</si>
  <si>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</si>
  <si>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</si>
  <si>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</si>
  <si>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</si>
  <si>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</si>
  <si>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</si>
  <si>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</si>
  <si>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</si>
  <si>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</si>
  <si>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</si>
  <si>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</si>
  <si>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</si>
  <si>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</si>
  <si>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</si>
  <si>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</si>
  <si>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</si>
  <si>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</si>
  <si>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</si>
  <si>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</si>
  <si>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</si>
  <si>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</si>
  <si>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</si>
  <si>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</si>
  <si>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</si>
  <si>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</si>
  <si>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</si>
  <si>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</si>
  <si>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</si>
  <si>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</si>
  <si>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</si>
  <si>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</si>
  <si>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</si>
  <si>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</si>
  <si>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</si>
  <si>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</si>
  <si>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</si>
  <si>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</si>
  <si>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</si>
  <si>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</si>
  <si>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</si>
  <si>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</si>
  <si>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</si>
  <si>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</si>
  <si>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</si>
  <si>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</si>
  <si>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</si>
  <si>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</si>
  <si>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</si>
  <si>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</si>
  <si>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</si>
  <si>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</si>
  <si>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</si>
  <si>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</si>
  <si>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</si>
  <si>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</si>
  <si>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</si>
  <si>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</si>
  <si>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</si>
  <si>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</si>
  <si>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</si>
  <si>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</si>
  <si>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</si>
  <si>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</si>
  <si>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</si>
  <si>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</si>
  <si>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</si>
  <si>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</si>
  <si>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</si>
  <si>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</si>
  <si>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</si>
  <si>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</si>
  <si>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</si>
  <si>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</si>
  <si>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</si>
  <si>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</si>
  <si>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</si>
  <si>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</si>
  <si>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</si>
  <si>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</si>
  <si>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</si>
  <si>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</si>
  <si>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</si>
  <si>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</si>
  <si>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</si>
  <si>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</si>
  <si>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</si>
  <si>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</si>
  <si>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</si>
  <si>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</si>
  <si>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</si>
  <si>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</si>
  <si>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</si>
  <si>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</si>
  <si>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</si>
  <si>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</si>
  <si>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</si>
  <si>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</si>
  <si>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</si>
  <si>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</si>
  <si>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</si>
  <si>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</si>
  <si>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</si>
  <si>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</si>
  <si>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</si>
  <si>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</si>
  <si>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</si>
  <si>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</si>
  <si>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</si>
  <si>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</si>
  <si>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</si>
  <si>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</si>
  <si>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</si>
  <si>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</si>
  <si>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</si>
  <si>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</si>
  <si>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</si>
  <si>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</si>
  <si>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</si>
  <si>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</si>
  <si>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</si>
  <si>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</si>
  <si>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</si>
  <si>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</si>
  <si>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</si>
  <si>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</si>
  <si>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</si>
  <si>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</si>
  <si>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</si>
  <si>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</si>
  <si>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</si>
  <si>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</si>
  <si>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</si>
  <si>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</si>
  <si>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</si>
  <si>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</si>
  <si>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</si>
  <si>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</si>
  <si>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</si>
  <si>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</si>
  <si>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</si>
  <si>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</si>
  <si>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</si>
  <si>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</si>
  <si>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</si>
  <si>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</si>
  <si>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</si>
  <si>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</si>
  <si>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</si>
  <si>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</si>
  <si>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</si>
  <si>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</si>
  <si>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</si>
  <si>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</si>
  <si>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</si>
  <si>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</si>
  <si>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</si>
  <si>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</si>
  <si>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</si>
  <si>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</si>
  <si>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</si>
  <si>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</si>
  <si>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</si>
  <si>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</si>
  <si>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</si>
  <si>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</si>
  <si>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</si>
  <si>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</si>
  <si>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</si>
  <si>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</si>
  <si>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</si>
  <si>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</si>
  <si>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</si>
  <si>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</si>
  <si>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</si>
  <si>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</si>
  <si>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</si>
  <si>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</si>
  <si>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</si>
  <si>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</si>
  <si>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</si>
  <si>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</si>
  <si>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</si>
  <si>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</si>
  <si>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</si>
  <si>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</si>
  <si>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</si>
  <si>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</si>
  <si>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</si>
  <si>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</si>
  <si>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</si>
  <si>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</si>
  <si>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</si>
  <si>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</si>
  <si>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</si>
  <si>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</si>
  <si>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</si>
  <si>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</si>
  <si>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</si>
  <si>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</si>
  <si>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</si>
  <si>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</si>
  <si>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</si>
  <si>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</si>
  <si>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</si>
  <si>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</si>
  <si>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</si>
  <si>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</si>
  <si>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</si>
  <si>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</si>
  <si>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</si>
  <si>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</si>
  <si>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</si>
  <si>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</si>
  <si>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</si>
  <si>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</si>
  <si>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</si>
  <si>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</si>
  <si>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</si>
  <si>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</si>
  <si>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</si>
  <si>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</si>
  <si>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</si>
  <si>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</si>
  <si>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</si>
  <si>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</si>
  <si>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</si>
  <si>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</si>
  <si>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</si>
  <si>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</si>
  <si>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</si>
  <si>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</si>
  <si>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</si>
  <si>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</si>
  <si>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</si>
  <si>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</si>
  <si>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</si>
  <si>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</si>
  <si>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</si>
  <si>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</si>
  <si>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</si>
  <si>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</si>
  <si>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</si>
  <si>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</si>
  <si>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</si>
  <si>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</si>
  <si>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</si>
  <si>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</si>
  <si>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</si>
  <si>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</si>
  <si>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</si>
  <si>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</si>
  <si>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</si>
  <si>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</si>
  <si>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</si>
  <si>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</si>
  <si>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</si>
  <si>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</si>
  <si>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</si>
  <si>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</si>
  <si>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</si>
  <si>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</si>
  <si>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</si>
  <si>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</si>
  <si>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</si>
  <si>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</si>
  <si>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</si>
  <si>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</si>
  <si>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</si>
  <si>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</si>
  <si>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</si>
  <si>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</si>
  <si>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</si>
  <si>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</si>
  <si>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</si>
  <si>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</si>
  <si>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</si>
  <si>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</si>
  <si>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</si>
  <si>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</si>
  <si>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</si>
  <si>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</si>
  <si>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</si>
  <si>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</si>
  <si>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</si>
  <si>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</si>
  <si>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</si>
  <si>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</si>
  <si>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</si>
  <si>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</si>
  <si>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</si>
  <si>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</si>
  <si>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</si>
  <si>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</si>
  <si>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</si>
  <si>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</si>
  <si>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</si>
  <si>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</si>
  <si>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</si>
  <si>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</si>
  <si>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</si>
  <si>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</si>
  <si>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</si>
  <si>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</si>
  <si>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</si>
  <si>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</si>
  <si>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</si>
  <si>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</si>
  <si>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</si>
  <si>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</si>
  <si>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</si>
  <si>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</si>
  <si>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</si>
  <si>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</si>
  <si>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</si>
  <si>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</si>
  <si>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</si>
  <si>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</si>
  <si>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</si>
  <si>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</si>
  <si>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</si>
  <si>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</si>
  <si>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</si>
  <si>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</si>
  <si>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</si>
  <si>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</si>
  <si>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</si>
  <si>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</si>
  <si>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</si>
  <si>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</si>
  <si>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</si>
  <si>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</si>
  <si>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</si>
  <si>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</si>
  <si>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</si>
  <si>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</si>
  <si>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</si>
  <si>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</si>
  <si>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</si>
  <si>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</si>
  <si>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</si>
  <si>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</si>
  <si>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</si>
  <si>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</si>
  <si>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</si>
  <si>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</si>
  <si>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</si>
  <si>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</si>
  <si>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</si>
  <si>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</si>
  <si>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</si>
  <si>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</si>
  <si>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</si>
  <si>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</si>
  <si>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</si>
  <si>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</si>
  <si>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</si>
  <si>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</si>
  <si>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</si>
  <si>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</si>
  <si>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</si>
  <si>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</si>
  <si>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</si>
  <si>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</si>
  <si>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</si>
  <si>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</si>
  <si>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</si>
  <si>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</si>
  <si>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</si>
  <si>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</si>
  <si>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</si>
  <si>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</si>
  <si>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</si>
  <si>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</si>
  <si>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</si>
  <si>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</si>
  <si>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</si>
  <si>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</si>
  <si>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</si>
  <si>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</si>
  <si>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</si>
  <si>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</si>
  <si>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</si>
  <si>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</si>
  <si>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</si>
  <si>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</si>
  <si>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</si>
  <si>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</si>
  <si>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</si>
  <si>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</si>
  <si>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</si>
  <si>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</si>
  <si>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</si>
  <si>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</si>
  <si>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</si>
  <si>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</si>
  <si>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</si>
  <si>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</si>
  <si>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</si>
  <si>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</si>
  <si>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</si>
  <si>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</si>
  <si>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</si>
  <si>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</si>
  <si>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</si>
  <si>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</si>
  <si>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</si>
  <si>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</si>
  <si>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</si>
  <si>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</si>
  <si>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</si>
  <si>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</si>
  <si>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</si>
  <si>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</si>
  <si>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</si>
  <si>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</si>
  <si>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</si>
  <si>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</si>
  <si>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</si>
  <si>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</si>
  <si>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</si>
  <si>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</si>
  <si>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</si>
  <si>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</si>
  <si>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</si>
  <si>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</si>
  <si>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</si>
  <si>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</si>
  <si>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</si>
  <si>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</si>
  <si>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</si>
  <si>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</si>
  <si>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</si>
  <si>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</si>
  <si>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</si>
  <si>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</si>
  <si>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</si>
  <si>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</si>
  <si>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</si>
  <si>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</si>
  <si>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</si>
  <si>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</si>
  <si>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</si>
  <si>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</si>
  <si>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</si>
  <si>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</si>
  <si>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</si>
  <si>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</si>
  <si>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</si>
  <si>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</si>
  <si>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</si>
  <si>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</si>
  <si>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</si>
  <si>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</si>
  <si>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</si>
  <si>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</si>
  <si>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</si>
  <si>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</si>
  <si>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</si>
  <si>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</si>
  <si>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</si>
  <si>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</si>
  <si>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</si>
  <si>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</si>
  <si>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</si>
  <si>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</si>
  <si>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</si>
  <si>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</si>
  <si>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</si>
  <si>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</si>
  <si>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</si>
  <si>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</si>
  <si>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</si>
  <si>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</si>
  <si>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</si>
  <si>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</si>
  <si>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</si>
  <si>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</si>
  <si>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</si>
  <si>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</si>
  <si>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</si>
  <si>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</si>
  <si>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</si>
  <si>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</si>
  <si>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</si>
  <si>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</si>
  <si>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</si>
  <si>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</si>
  <si>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</si>
  <si>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</si>
  <si>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</si>
  <si>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</si>
  <si>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</si>
  <si>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</si>
  <si>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</si>
  <si>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</si>
  <si>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</si>
  <si>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</si>
  <si>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</si>
  <si>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</si>
  <si>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</si>
  <si>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</si>
  <si>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</si>
  <si>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</si>
  <si>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</si>
  <si>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</si>
  <si>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</si>
  <si>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</si>
  <si>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</si>
  <si>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</si>
  <si>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</si>
  <si>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</si>
  <si>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</si>
  <si>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</si>
  <si>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</si>
  <si>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</si>
  <si>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</si>
  <si>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</si>
  <si>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</si>
  <si>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</si>
  <si>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</si>
  <si>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</si>
  <si>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</si>
  <si>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</si>
  <si>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</si>
  <si>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</si>
  <si>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</si>
  <si>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</si>
  <si>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</si>
  <si>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</si>
  <si>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</si>
  <si>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</si>
  <si>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</si>
  <si>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</si>
  <si>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</si>
  <si>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</si>
  <si>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</si>
  <si>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</si>
  <si>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</si>
  <si>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</si>
  <si>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</si>
  <si>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</si>
  <si>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</si>
  <si>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</si>
  <si>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</si>
  <si>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</si>
  <si>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</si>
  <si>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</si>
  <si>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</si>
  <si>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</si>
  <si>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</si>
  <si>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</si>
  <si>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</si>
  <si>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</si>
  <si>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</si>
  <si>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</si>
  <si>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</si>
  <si>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</si>
  <si>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</si>
  <si>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</si>
  <si>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</si>
  <si>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</si>
  <si>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</si>
  <si>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</si>
  <si>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</si>
  <si>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</si>
  <si>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</si>
  <si>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</si>
  <si>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</si>
  <si>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</si>
  <si>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</si>
  <si>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</si>
  <si>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</si>
  <si>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</si>
  <si>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</si>
  <si>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</si>
  <si>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</si>
  <si>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</si>
  <si>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</si>
  <si>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</si>
  <si>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</si>
  <si>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</si>
  <si>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</si>
  <si>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</si>
  <si>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</si>
  <si>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</si>
  <si>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</si>
  <si>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</si>
  <si>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</si>
  <si>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</si>
  <si>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</si>
  <si>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</si>
  <si>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</si>
  <si>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</si>
  <si>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</si>
  <si>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</si>
  <si>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</si>
  <si>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</si>
  <si>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</si>
  <si>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</si>
  <si>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</si>
  <si>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</si>
  <si>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</si>
  <si>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</si>
  <si>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</si>
  <si>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</si>
  <si>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</si>
  <si>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</si>
  <si>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</si>
  <si>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</si>
  <si>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</si>
  <si>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</si>
  <si>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</si>
  <si>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</si>
  <si>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</si>
  <si>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</si>
  <si>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</si>
  <si>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</si>
  <si>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</si>
  <si>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</si>
  <si>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</si>
  <si>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</si>
  <si>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</si>
  <si>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</si>
  <si>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</si>
  <si>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</si>
  <si>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</si>
  <si>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</si>
  <si>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</si>
  <si>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</si>
  <si>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</si>
  <si>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</si>
  <si>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</si>
  <si>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</si>
  <si>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</si>
  <si>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</si>
  <si>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</si>
  <si>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</si>
  <si>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</si>
  <si>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</si>
  <si>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</si>
  <si>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</si>
  <si>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</si>
  <si>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</si>
  <si>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</si>
  <si>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</si>
  <si>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</si>
  <si>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</si>
  <si>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</si>
  <si>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</si>
  <si>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</si>
  <si>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</si>
  <si>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</si>
  <si>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</si>
  <si>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</si>
  <si>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</si>
  <si>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</si>
  <si>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</si>
  <si>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</si>
  <si>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</si>
  <si>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</si>
  <si>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</si>
  <si>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</si>
  <si>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</si>
  <si>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</si>
  <si>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</si>
  <si>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</si>
  <si>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</si>
  <si>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</si>
  <si>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</si>
  <si>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</si>
  <si>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</si>
  <si>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</si>
  <si>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</si>
  <si>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</si>
  <si>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</si>
  <si>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</si>
  <si>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</si>
  <si>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</si>
  <si>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</si>
  <si>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</si>
  <si>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</si>
  <si>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</si>
  <si>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</si>
  <si>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</si>
  <si>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</si>
  <si>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</si>
  <si>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</si>
  <si>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</si>
  <si>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</si>
  <si>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</si>
  <si>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</si>
  <si>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</si>
  <si>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</si>
  <si>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</si>
  <si>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</si>
  <si>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</si>
  <si>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</si>
  <si>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</si>
  <si>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</si>
  <si>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</si>
  <si>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</si>
  <si>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</si>
  <si>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</si>
  <si>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</si>
  <si>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</si>
  <si>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</si>
  <si>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</si>
  <si>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</si>
  <si>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</si>
  <si>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</si>
  <si>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</si>
  <si>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</si>
  <si>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</si>
  <si>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</si>
  <si>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</si>
  <si>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</si>
  <si>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</si>
  <si>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</si>
  <si>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</si>
  <si>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</si>
  <si>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</si>
  <si>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</si>
  <si>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</si>
  <si>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</si>
  <si>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</si>
  <si>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</si>
  <si>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</si>
  <si>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</si>
  <si>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</si>
  <si>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</si>
  <si>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</si>
  <si>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</si>
  <si>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</si>
  <si>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</si>
  <si>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</si>
  <si>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</si>
  <si>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</si>
  <si>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</si>
  <si>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</si>
  <si>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</si>
  <si>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</si>
  <si>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</si>
  <si>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</si>
  <si>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</si>
  <si>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</si>
  <si>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</si>
  <si>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</si>
  <si>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</si>
  <si>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</si>
  <si>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</si>
  <si>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</si>
  <si>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</si>
  <si>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</si>
  <si>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</si>
  <si>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</si>
  <si>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</si>
  <si>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</si>
  <si>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</si>
  <si>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</si>
  <si>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</si>
  <si>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</si>
  <si>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</si>
  <si>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</si>
  <si>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</si>
  <si>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</si>
  <si>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</si>
  <si>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</si>
  <si>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</si>
  <si>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</si>
  <si>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</si>
  <si>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</si>
  <si>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</si>
  <si>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</si>
  <si>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</si>
  <si>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</si>
  <si>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</si>
  <si>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</si>
  <si>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</si>
  <si>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</si>
  <si>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</si>
  <si>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</si>
  <si>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</si>
  <si>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</si>
  <si>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</si>
  <si>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</si>
  <si>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</si>
  <si>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</si>
  <si>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</si>
  <si>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</si>
  <si>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</si>
  <si>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</si>
  <si>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</si>
  <si>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</si>
  <si>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</si>
  <si>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</si>
  <si>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</si>
  <si>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</si>
  <si>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</si>
  <si>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</si>
  <si>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</si>
  <si>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</si>
  <si>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</si>
  <si>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</si>
  <si>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</si>
  <si>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</si>
  <si>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</si>
  <si>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</si>
  <si>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</si>
  <si>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</si>
  <si>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</si>
  <si>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</si>
  <si>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</si>
  <si>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</si>
  <si>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</si>
  <si>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</si>
  <si>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</si>
  <si>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</si>
  <si>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</si>
  <si>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</si>
  <si>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</si>
  <si>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</si>
  <si>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</si>
  <si>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</si>
  <si>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</si>
  <si>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</si>
  <si>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</si>
  <si>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</si>
  <si>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</si>
  <si>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</si>
  <si>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</si>
  <si>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</si>
  <si>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</si>
  <si>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</si>
  <si>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</si>
  <si>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</si>
  <si>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</si>
  <si>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</si>
  <si>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</si>
  <si>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</si>
  <si>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</si>
  <si>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</si>
  <si>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</si>
  <si>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</si>
  <si>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</si>
  <si>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</si>
  <si>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</si>
  <si>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</si>
  <si>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</si>
  <si>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</si>
  <si>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</si>
  <si>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</si>
  <si>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</si>
  <si>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</si>
  <si>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</si>
  <si>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</si>
  <si>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</si>
  <si>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</si>
  <si>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</si>
  <si>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</si>
  <si>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</si>
  <si>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</si>
  <si>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</si>
  <si>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</si>
  <si>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</si>
  <si>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</si>
  <si>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</si>
  <si>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</si>
  <si>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</si>
  <si>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</si>
  <si>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</si>
  <si>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</si>
  <si>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</si>
  <si>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</si>
  <si>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</si>
  <si>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</si>
  <si>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</si>
  <si>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</si>
  <si>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</si>
  <si>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</si>
  <si>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</si>
  <si>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</si>
  <si>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</si>
  <si>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</si>
  <si>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</si>
  <si>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</si>
  <si>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</si>
  <si>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</si>
  <si>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</si>
  <si>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</si>
  <si>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</si>
  <si>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</si>
  <si>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</si>
  <si>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</si>
  <si>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</si>
  <si>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</si>
  <si>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</si>
  <si>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</si>
  <si>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</si>
  <si>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</si>
  <si>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</si>
  <si>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</si>
  <si>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</si>
  <si>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</si>
  <si>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</si>
  <si>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</si>
  <si>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</si>
  <si>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</si>
  <si>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</si>
  <si>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</si>
  <si>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</si>
  <si>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</si>
  <si>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</si>
  <si>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</si>
  <si>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</si>
  <si>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</si>
  <si>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</si>
  <si>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</si>
  <si>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</si>
  <si>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</si>
  <si>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</si>
  <si>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</si>
  <si>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</si>
  <si>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</si>
  <si>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</si>
  <si>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</si>
  <si>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</si>
  <si>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</si>
  <si>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</si>
  <si>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</si>
  <si>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</si>
  <si>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</si>
  <si>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</si>
  <si>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</si>
  <si>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</si>
  <si>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</si>
  <si>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</si>
  <si>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</si>
  <si>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</si>
  <si>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</si>
  <si>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</si>
  <si>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</si>
  <si>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</si>
  <si>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</si>
  <si>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</si>
  <si>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</si>
  <si>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</si>
  <si>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</si>
  <si>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</si>
  <si>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</si>
  <si>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</si>
  <si>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</si>
  <si>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</si>
  <si>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</si>
  <si>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</si>
  <si>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</si>
  <si>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</si>
  <si>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</si>
  <si>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</si>
  <si>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</si>
  <si>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</si>
  <si>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</si>
  <si>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</si>
  <si>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</si>
  <si>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</si>
  <si>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</si>
  <si>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</si>
  <si>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</si>
  <si>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</si>
  <si>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</si>
  <si>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</si>
  <si>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</si>
  <si>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</si>
  <si>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</si>
  <si>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</si>
  <si>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</si>
  <si>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</si>
  <si>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</si>
  <si>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</si>
  <si>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</si>
  <si>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</si>
  <si>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</si>
  <si>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</si>
  <si>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</si>
  <si>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</si>
  <si>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</si>
  <si>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</si>
  <si>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</si>
  <si>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</si>
  <si>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</si>
  <si>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</si>
  <si>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</si>
  <si>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</si>
  <si>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</si>
  <si>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</si>
  <si>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</si>
  <si>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</si>
  <si>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</si>
  <si>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</si>
  <si>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</si>
  <si>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</si>
  <si>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</si>
  <si>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</si>
  <si>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</si>
  <si>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</si>
  <si>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</si>
  <si>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</si>
  <si>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</si>
  <si>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</si>
  <si>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</si>
  <si>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</si>
  <si>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</si>
  <si>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</si>
  <si>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</si>
  <si>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</si>
  <si>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</si>
  <si>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</si>
  <si>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</si>
  <si>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</si>
  <si>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</si>
  <si>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</si>
  <si>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</si>
  <si>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</si>
  <si>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</si>
  <si>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</si>
  <si>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</si>
  <si>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</si>
  <si>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</si>
  <si>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</si>
  <si>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</si>
  <si>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</si>
  <si>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</si>
  <si>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</si>
  <si>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</si>
  <si>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</si>
  <si>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</si>
  <si>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</si>
  <si>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</si>
  <si>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</si>
  <si>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</si>
  <si>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</si>
  <si>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</si>
  <si>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</si>
  <si>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</si>
  <si>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</si>
  <si>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</si>
  <si>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</si>
  <si>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</si>
  <si>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</si>
  <si>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</si>
  <si>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</si>
  <si>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</si>
  <si>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</si>
  <si>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</si>
  <si>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</si>
  <si>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</si>
  <si>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</si>
  <si>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</si>
  <si>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</si>
  <si>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</si>
  <si>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</si>
  <si>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</si>
  <si>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</si>
  <si>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</si>
  <si>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</si>
  <si>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</si>
  <si>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</si>
  <si>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</si>
  <si>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</si>
  <si>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</si>
  <si>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</si>
  <si>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</si>
  <si>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</si>
  <si>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</si>
  <si>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</si>
  <si>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</si>
  <si>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</si>
  <si>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</si>
  <si>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</si>
  <si>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</si>
  <si>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</si>
  <si>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</si>
  <si>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</si>
  <si>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</si>
  <si>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</si>
  <si>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</si>
  <si>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</si>
  <si>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</si>
  <si>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</si>
  <si>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</si>
  <si>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</si>
  <si>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</si>
  <si>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</si>
  <si>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</si>
  <si>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</si>
  <si>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</si>
  <si>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</si>
  <si>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</si>
  <si>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</si>
  <si>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</si>
  <si>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</si>
  <si>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</si>
  <si>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</si>
  <si>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</si>
  <si>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</si>
  <si>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</si>
  <si>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</si>
  <si>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</si>
  <si>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</si>
  <si>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</si>
  <si>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</si>
  <si>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</si>
  <si>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</si>
  <si>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</si>
  <si>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</si>
  <si>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</si>
  <si>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</si>
  <si>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</si>
  <si>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</si>
  <si>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</si>
  <si>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</si>
  <si>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</si>
  <si>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</si>
  <si>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</si>
  <si>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</si>
  <si>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</si>
  <si>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</si>
  <si>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</si>
  <si>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</si>
  <si>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</si>
  <si>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</si>
  <si>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</si>
  <si>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</si>
  <si>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</si>
  <si>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</si>
  <si>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</si>
  <si>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</si>
  <si>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</si>
  <si>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</si>
  <si>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</si>
  <si>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</si>
  <si>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</si>
  <si>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</si>
  <si>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</si>
  <si>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</si>
  <si>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</si>
  <si>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</si>
  <si>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</si>
  <si>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</si>
  <si>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</si>
  <si>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</si>
  <si>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</si>
  <si>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</si>
  <si>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</si>
  <si>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</si>
  <si>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</si>
  <si>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</si>
  <si>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</si>
  <si>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</si>
  <si>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</si>
  <si>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</si>
  <si>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</si>
  <si>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</si>
  <si>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</si>
  <si>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</si>
  <si>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</si>
  <si>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</si>
  <si>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</si>
  <si>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</si>
  <si>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</si>
  <si>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</si>
  <si>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</si>
  <si>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</si>
  <si>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</si>
  <si>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</si>
  <si>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</si>
  <si>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</si>
  <si>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</si>
  <si>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</si>
  <si>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</si>
  <si>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</si>
  <si>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</si>
  <si>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</si>
  <si>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</si>
  <si>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</si>
  <si>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</si>
  <si>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</si>
  <si>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</si>
  <si>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</si>
  <si>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</si>
  <si>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</si>
  <si>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</si>
  <si>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</si>
  <si>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</si>
  <si>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</si>
  <si>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</si>
  <si>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</si>
  <si>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</si>
  <si>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</si>
  <si>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</si>
  <si>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</si>
  <si>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</si>
  <si>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</si>
  <si>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</si>
  <si>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</si>
  <si>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</si>
  <si>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</si>
  <si>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</si>
  <si>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</si>
  <si>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</si>
  <si>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</si>
  <si>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</si>
  <si>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</si>
  <si>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</si>
  <si>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</si>
  <si>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</si>
  <si>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</si>
  <si>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</si>
  <si>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</si>
  <si>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</si>
  <si>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</si>
  <si>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</si>
  <si>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</si>
  <si>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</si>
  <si>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</si>
  <si>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</si>
  <si>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</si>
  <si>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</si>
  <si>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</si>
  <si>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</si>
  <si>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</si>
  <si>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</si>
  <si>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</si>
  <si>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</si>
  <si>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</si>
  <si>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</si>
  <si>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</si>
  <si>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</si>
  <si>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</si>
  <si>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</si>
  <si>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</si>
  <si>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</si>
  <si>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</si>
  <si>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</si>
  <si>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</si>
  <si>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</si>
  <si>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</si>
  <si>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</si>
  <si>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</si>
  <si>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</si>
  <si>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</si>
  <si>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</si>
  <si>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</si>
  <si>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</si>
  <si>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</si>
  <si>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</si>
  <si>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</si>
  <si>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</si>
  <si>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</si>
  <si>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</si>
  <si>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</si>
  <si>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</si>
  <si>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</si>
  <si>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</si>
  <si>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</si>
  <si>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</si>
  <si>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</si>
  <si>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</si>
  <si>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</si>
  <si>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</si>
  <si>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</si>
  <si>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</si>
  <si>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</si>
  <si>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</si>
  <si>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</si>
  <si>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</si>
  <si>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</si>
  <si>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</si>
  <si>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</si>
  <si>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</si>
  <si>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</si>
  <si>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</si>
  <si>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</si>
  <si>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</si>
  <si>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</si>
  <si>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</si>
  <si>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</si>
  <si>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</si>
  <si>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</si>
  <si>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</si>
  <si>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</si>
  <si>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</si>
  <si>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</si>
  <si>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</si>
  <si>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</si>
  <si>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</si>
  <si>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</si>
  <si>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</si>
  <si>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</si>
  <si>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</si>
  <si>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</si>
  <si>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</si>
  <si>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</si>
  <si>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</si>
  <si>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</si>
  <si>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</si>
  <si>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</si>
  <si>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</si>
  <si>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</si>
  <si>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</si>
  <si>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</si>
  <si>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</si>
  <si>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</si>
  <si>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</si>
  <si>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</si>
  <si>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</si>
  <si>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</si>
  <si>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</si>
  <si>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</si>
  <si>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</si>
  <si>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</si>
  <si>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</si>
  <si>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</si>
  <si>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</si>
  <si>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</si>
  <si>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</si>
  <si>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</si>
  <si>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</si>
  <si>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</si>
  <si>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</si>
  <si>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</si>
  <si>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</si>
  <si>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</si>
  <si>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</si>
  <si>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</si>
  <si>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</si>
  <si>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</si>
  <si>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</si>
  <si>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</si>
  <si>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</si>
  <si>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</si>
  <si>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</si>
  <si>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</si>
  <si>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</si>
  <si>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</si>
  <si>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</si>
  <si>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</si>
  <si>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</si>
  <si>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</si>
  <si>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</si>
  <si>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</si>
  <si>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</si>
  <si>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</si>
  <si>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</si>
  <si>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</si>
  <si>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</si>
  <si>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</si>
  <si>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</si>
  <si>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</si>
  <si>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</si>
  <si>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</si>
  <si>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</si>
  <si>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</si>
  <si>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</si>
  <si>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</si>
  <si>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</si>
  <si>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</si>
  <si>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</si>
  <si>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</si>
  <si>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</si>
  <si>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</si>
  <si>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</si>
  <si>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</si>
  <si>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</si>
  <si>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</si>
  <si>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</si>
  <si>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</si>
  <si>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</si>
  <si>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</si>
  <si>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</si>
  <si>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</si>
  <si>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</si>
  <si>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</si>
  <si>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</si>
  <si>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</si>
  <si>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</si>
  <si>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</si>
  <si>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</si>
  <si>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</si>
  <si>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</si>
  <si>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</si>
  <si>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</si>
  <si>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</si>
  <si>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</si>
  <si>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</si>
  <si>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</si>
  <si>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</si>
  <si>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</si>
  <si>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</si>
  <si>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</si>
  <si>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</si>
  <si>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</si>
  <si>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</si>
  <si>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</si>
  <si>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</si>
  <si>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</si>
  <si>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</si>
  <si>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</si>
  <si>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</si>
  <si>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</si>
  <si>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</si>
  <si>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</si>
  <si>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</si>
  <si>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</si>
  <si>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</si>
  <si>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</si>
  <si>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</si>
  <si>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</si>
  <si>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</si>
  <si>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</si>
  <si>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</si>
  <si>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</si>
  <si>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</si>
  <si>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</si>
  <si>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</si>
  <si>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</si>
  <si>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</si>
  <si>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</si>
  <si>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</si>
  <si>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</si>
  <si>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</si>
  <si>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</si>
  <si>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</si>
  <si>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</si>
  <si>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</si>
  <si>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</si>
  <si>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</si>
  <si>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</si>
  <si>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</si>
  <si>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</si>
  <si>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</si>
  <si>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</si>
  <si>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</si>
  <si>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</si>
  <si>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</si>
  <si>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</si>
  <si>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</si>
  <si>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</si>
  <si>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</si>
  <si>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</si>
  <si>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</si>
  <si>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</si>
  <si>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</si>
  <si>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</si>
  <si>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</si>
  <si>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</si>
  <si>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</si>
  <si>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</si>
  <si>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</si>
  <si>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</si>
  <si>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</si>
  <si>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</si>
  <si>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</si>
  <si>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</si>
  <si>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</si>
  <si>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</si>
  <si>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</si>
  <si>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</si>
  <si>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</si>
  <si>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</si>
  <si>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</si>
  <si>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</si>
  <si>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</si>
  <si>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</si>
  <si>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</si>
  <si>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</si>
  <si>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</si>
  <si>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</si>
  <si>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</si>
  <si>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</si>
  <si>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</si>
  <si>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</si>
  <si>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</si>
  <si>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</si>
  <si>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</si>
  <si>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</si>
  <si>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</si>
  <si>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</si>
  <si>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</si>
  <si>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</si>
  <si>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</si>
  <si>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</si>
  <si>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</si>
  <si>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</si>
  <si>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</si>
  <si>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</si>
  <si>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</si>
  <si>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</si>
  <si>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</si>
  <si>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</si>
  <si>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</si>
  <si>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</si>
  <si>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</si>
  <si>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</si>
  <si>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</si>
  <si>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</si>
  <si>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</si>
  <si>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</si>
  <si>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</si>
  <si>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</si>
  <si>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</si>
  <si>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</si>
  <si>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</si>
  <si>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</si>
  <si>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</si>
  <si>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</si>
  <si>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</si>
  <si>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</si>
  <si>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</si>
  <si>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</si>
  <si>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</si>
  <si>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</si>
  <si>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</si>
  <si>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</si>
  <si>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</si>
  <si>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</si>
  <si>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</si>
  <si>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</si>
  <si>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</si>
  <si>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</si>
  <si>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</si>
  <si>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</si>
  <si>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</si>
  <si>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</si>
  <si>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</si>
  <si>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</si>
  <si>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</si>
  <si>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</si>
  <si>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</si>
  <si>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</si>
  <si>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</si>
  <si>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</si>
  <si>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</si>
  <si>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</si>
  <si>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</si>
  <si>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</si>
  <si>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</si>
  <si>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</si>
  <si>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</si>
  <si>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</si>
  <si>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</si>
  <si>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</si>
  <si>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</si>
  <si>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</si>
  <si>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</si>
  <si>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</si>
  <si>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</si>
  <si>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</si>
  <si>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</si>
  <si>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</si>
  <si>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</si>
  <si>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</si>
  <si>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</si>
  <si>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</si>
  <si>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</si>
  <si>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</si>
  <si>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</si>
  <si>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</si>
  <si>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</si>
  <si>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</si>
  <si>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</si>
  <si>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</si>
  <si>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</si>
  <si>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</si>
  <si>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</si>
  <si>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</si>
  <si>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</si>
  <si>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</si>
  <si>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</si>
  <si>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</si>
  <si>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</si>
  <si>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</si>
  <si>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</si>
  <si>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</si>
  <si>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</si>
  <si>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</si>
  <si>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</si>
  <si>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</si>
  <si>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</si>
  <si>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</si>
  <si>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</si>
  <si>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</si>
  <si>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</si>
  <si>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</si>
  <si>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</si>
  <si>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</si>
  <si>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</si>
  <si>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</si>
  <si>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</si>
  <si>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</si>
  <si>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</si>
  <si>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</si>
  <si>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</si>
  <si>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</si>
  <si>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</si>
  <si>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</si>
  <si>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</si>
  <si>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</si>
  <si>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</si>
  <si>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</si>
  <si>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</si>
  <si>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</si>
  <si>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</si>
  <si>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</si>
  <si>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</si>
  <si>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</si>
  <si>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</si>
  <si>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</si>
  <si>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</si>
  <si>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</si>
  <si>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</si>
  <si>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</si>
  <si>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</si>
  <si>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</si>
  <si>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</si>
  <si>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</si>
  <si>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</si>
  <si>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</si>
  <si>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</si>
  <si>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</si>
  <si>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</si>
  <si>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</si>
  <si>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</si>
  <si>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</si>
  <si>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</si>
  <si>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</si>
  <si>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</si>
  <si>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</si>
  <si>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</si>
  <si>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</si>
  <si>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</si>
  <si>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</si>
  <si>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</si>
  <si>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</si>
  <si>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</si>
  <si>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</si>
  <si>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</si>
  <si>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</si>
  <si>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</si>
  <si>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</si>
  <si>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</si>
  <si>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</si>
  <si>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</si>
  <si>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</si>
  <si>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</si>
  <si>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</si>
  <si>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</si>
  <si>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</si>
  <si>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</si>
  <si>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</si>
  <si>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</si>
  <si>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</si>
  <si>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</si>
  <si>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</si>
  <si>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</si>
  <si>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</si>
  <si>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</si>
  <si>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</si>
  <si>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</si>
  <si>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</si>
  <si>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</si>
  <si>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</si>
  <si>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</si>
  <si>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</si>
  <si>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</si>
  <si>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</si>
  <si>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</si>
  <si>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</si>
  <si>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</si>
  <si>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</si>
  <si>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</si>
  <si>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</si>
  <si>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</si>
  <si>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</si>
  <si>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</si>
  <si>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</si>
  <si>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</si>
  <si>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</si>
  <si>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</si>
  <si>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</si>
  <si>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</si>
  <si>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</si>
  <si>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</si>
  <si>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</si>
  <si>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</si>
  <si>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</si>
  <si>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</si>
  <si>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</si>
  <si>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</si>
  <si>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</si>
  <si>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</si>
  <si>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</si>
  <si>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</si>
  <si>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</si>
  <si>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</si>
  <si>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</si>
  <si>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</si>
  <si>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</si>
  <si>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</si>
  <si>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</si>
  <si>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</si>
  <si>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</si>
  <si>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</si>
  <si>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</si>
  <si>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</si>
  <si>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</si>
  <si>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</si>
  <si>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</si>
  <si>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</si>
  <si>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</si>
  <si>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</si>
  <si>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</si>
  <si>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</si>
  <si>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</si>
  <si>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</si>
  <si>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</si>
  <si>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</si>
  <si>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</si>
  <si>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</si>
  <si>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</si>
  <si>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</si>
  <si>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</si>
  <si>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</si>
  <si>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</si>
  <si>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</si>
  <si>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</si>
  <si>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</si>
  <si>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</si>
  <si>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</si>
  <si>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</si>
  <si>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</si>
  <si>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</si>
  <si>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</si>
  <si>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</si>
  <si>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</si>
  <si>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</si>
  <si>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</si>
  <si>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</si>
  <si>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</si>
  <si>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</si>
  <si>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</si>
  <si>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</si>
  <si>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</si>
  <si>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</si>
  <si>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</si>
  <si>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</si>
  <si>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</si>
  <si>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</si>
  <si>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</si>
  <si>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</si>
  <si>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</si>
  <si>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</si>
  <si>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</si>
  <si>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</si>
  <si>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</si>
  <si>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</si>
  <si>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</si>
  <si>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</si>
  <si>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</si>
  <si>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</si>
  <si>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</si>
  <si>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</si>
  <si>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</si>
  <si>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</si>
  <si>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</si>
  <si>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</si>
  <si>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</si>
  <si>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</si>
  <si>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</si>
  <si>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</si>
  <si>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</si>
  <si>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</si>
  <si>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</si>
  <si>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</si>
  <si>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</si>
  <si>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</si>
  <si>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</si>
  <si>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</si>
  <si>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</si>
  <si>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</si>
  <si>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</si>
  <si>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</si>
  <si>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</si>
  <si>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</si>
  <si>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</si>
  <si>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</si>
  <si>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</si>
  <si>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</si>
  <si>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</si>
  <si>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</si>
  <si>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</si>
  <si>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</si>
  <si>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</si>
  <si>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</si>
  <si>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</si>
  <si>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</si>
  <si>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</si>
  <si>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</si>
  <si>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</si>
  <si>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</si>
  <si>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</si>
  <si>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</si>
  <si>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</si>
  <si>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</si>
  <si>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</si>
  <si>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</si>
  <si>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</si>
  <si>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</si>
  <si>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</si>
  <si>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</si>
  <si>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</si>
  <si>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</si>
  <si>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</si>
  <si>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</si>
  <si>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</si>
  <si>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</si>
  <si>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</si>
  <si>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</si>
  <si>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</si>
  <si>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</si>
  <si>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</si>
  <si>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</si>
  <si>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</si>
  <si>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</si>
  <si>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</si>
  <si>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</si>
  <si>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</si>
  <si>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</si>
  <si>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</si>
  <si>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</si>
  <si>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</si>
  <si>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</si>
  <si>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</si>
  <si>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</si>
  <si>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</si>
  <si>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</si>
  <si>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</si>
  <si>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</si>
  <si>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</si>
  <si>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</si>
  <si>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</si>
  <si>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</si>
  <si>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</si>
  <si>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</si>
  <si>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</si>
  <si>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</si>
  <si>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</si>
  <si>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</si>
  <si>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</si>
  <si>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</si>
  <si>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</si>
  <si>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</si>
  <si>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</si>
  <si>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</si>
  <si>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</si>
  <si>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</si>
  <si>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</si>
  <si>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</si>
  <si>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</si>
  <si>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</si>
  <si>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</si>
  <si>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</si>
  <si>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</si>
  <si>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</si>
  <si>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</si>
  <si>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</si>
  <si>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</si>
  <si>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</si>
  <si>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</si>
  <si>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</si>
  <si>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</si>
  <si>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</si>
  <si>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</si>
  <si>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</si>
  <si>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</si>
  <si>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</si>
  <si>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</si>
  <si>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</si>
  <si>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</si>
  <si>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</si>
  <si>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</si>
  <si>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</si>
  <si>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</si>
  <si>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</si>
  <si>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</si>
  <si>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</si>
  <si>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</si>
  <si>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</si>
  <si>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</si>
  <si>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</si>
  <si>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</si>
  <si>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</si>
  <si>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</si>
  <si>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</si>
  <si>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</si>
  <si>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</si>
  <si>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</si>
  <si>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</si>
  <si>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</si>
  <si>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</si>
  <si>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</si>
  <si>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</si>
  <si>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</si>
  <si>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</si>
  <si>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</si>
  <si>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</si>
  <si>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</si>
  <si>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</si>
  <si>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</si>
  <si>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</si>
  <si>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</si>
  <si>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</si>
  <si>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</si>
  <si>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</si>
  <si>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</si>
  <si>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</si>
  <si>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</si>
  <si>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</si>
  <si>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</si>
  <si>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</si>
  <si>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</si>
  <si>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</si>
  <si>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</si>
  <si>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</si>
  <si>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</si>
  <si>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</si>
  <si>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</si>
  <si>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</si>
  <si>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</si>
  <si>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</si>
  <si>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</si>
  <si>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</si>
  <si>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</si>
  <si>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</si>
  <si>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</si>
  <si>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</si>
  <si>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</si>
  <si>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</si>
  <si>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</si>
  <si>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</si>
  <si>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</si>
  <si>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</si>
  <si>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</si>
  <si>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</si>
  <si>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</si>
  <si>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</si>
  <si>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</si>
  <si>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</si>
  <si>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</si>
  <si>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</si>
  <si>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</si>
  <si>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</si>
  <si>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</si>
  <si>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</si>
  <si>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</si>
  <si>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</si>
  <si>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</si>
  <si>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</si>
  <si>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</si>
  <si>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</si>
  <si>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</si>
  <si>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</si>
  <si>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</si>
  <si>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</si>
  <si>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</si>
  <si>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</si>
  <si>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</si>
  <si>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</si>
  <si>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</si>
  <si>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</si>
  <si>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</si>
  <si>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</si>
  <si>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</si>
  <si>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</si>
  <si>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</si>
  <si>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</si>
  <si>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</si>
  <si>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</si>
  <si>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</si>
  <si>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</si>
  <si>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</si>
  <si>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</si>
  <si>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</si>
  <si>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</si>
  <si>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</si>
  <si>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</si>
  <si>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</si>
  <si>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</si>
  <si>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</si>
  <si>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</si>
  <si>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</si>
  <si>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</si>
  <si>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</si>
  <si>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</si>
  <si>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</si>
  <si>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</si>
  <si>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</si>
  <si>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</si>
  <si>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</si>
  <si>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</si>
  <si>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</si>
  <si>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</si>
  <si>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</si>
  <si>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</si>
  <si>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</si>
  <si>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</si>
  <si>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</si>
  <si>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</si>
  <si>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</si>
  <si>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</si>
  <si>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</si>
  <si>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</si>
  <si>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</si>
  <si>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</si>
  <si>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</si>
  <si>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</si>
  <si>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</si>
  <si>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</si>
  <si>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</si>
  <si>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</si>
  <si>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</si>
  <si>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</si>
  <si>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</si>
  <si>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</si>
  <si>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</si>
  <si>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</si>
  <si>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</si>
  <si>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</si>
  <si>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</si>
  <si>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</si>
  <si>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</si>
  <si>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</si>
  <si>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</si>
  <si>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</si>
  <si>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</si>
  <si>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</si>
  <si>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</si>
  <si>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</si>
  <si>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</si>
  <si>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</si>
  <si>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</si>
  <si>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</si>
  <si>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</si>
  <si>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</si>
  <si>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</si>
  <si>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</si>
  <si>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</si>
  <si>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</si>
  <si>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</si>
  <si>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</si>
  <si>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</si>
  <si>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</si>
  <si>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</si>
  <si>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</si>
  <si>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</si>
  <si>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</si>
  <si>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</si>
  <si>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</si>
  <si>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</si>
  <si>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</si>
  <si>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</si>
  <si>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</si>
  <si>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</si>
  <si>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</si>
  <si>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</si>
  <si>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</si>
  <si>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</si>
  <si>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</si>
  <si>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</si>
  <si>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</si>
  <si>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</si>
  <si>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</si>
  <si>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</si>
  <si>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</si>
  <si>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</si>
  <si>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</si>
  <si>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</si>
  <si>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</si>
  <si>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</si>
  <si>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</si>
  <si>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</si>
  <si>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</si>
  <si>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</si>
  <si>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</si>
  <si>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</si>
  <si>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</si>
  <si>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</si>
  <si>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</si>
  <si>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</si>
  <si>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</si>
  <si>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</si>
  <si>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</si>
  <si>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</si>
  <si>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</si>
  <si>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</si>
  <si>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</si>
  <si>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</si>
  <si>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</si>
  <si>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</si>
  <si>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</si>
  <si>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</si>
  <si>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</si>
  <si>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</si>
  <si>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</si>
  <si>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</si>
  <si>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</si>
  <si>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</si>
  <si>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</si>
  <si>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</si>
  <si>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</si>
  <si>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</si>
  <si>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</si>
  <si>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</si>
  <si>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</si>
  <si>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</si>
  <si>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</si>
  <si>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</si>
  <si>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</si>
  <si>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</si>
  <si>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</si>
  <si>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</si>
  <si>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</si>
  <si>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</si>
  <si>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</si>
  <si>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</si>
  <si>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</si>
  <si>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</si>
  <si>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</si>
  <si>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</si>
  <si>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</si>
  <si>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</si>
  <si>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</si>
  <si>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</si>
  <si>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</si>
  <si>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</si>
  <si>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</si>
  <si>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</si>
  <si>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</si>
  <si>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</si>
  <si>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</si>
  <si>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</si>
  <si>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</si>
  <si>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</si>
  <si>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</si>
  <si>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</si>
  <si>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</si>
  <si>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</si>
  <si>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</si>
  <si>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</si>
  <si>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</si>
  <si>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</si>
  <si>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</si>
  <si>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</si>
  <si>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</si>
  <si>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</si>
  <si>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</si>
  <si>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</si>
  <si>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</si>
  <si>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</si>
  <si>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</si>
  <si>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</si>
  <si>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</si>
  <si>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</si>
  <si>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</si>
  <si>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</si>
  <si>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</si>
  <si>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</si>
  <si>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</si>
  <si>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</si>
  <si>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</si>
  <si>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</si>
  <si>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</si>
  <si>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</si>
  <si>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</si>
  <si>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</si>
  <si>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</si>
  <si>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</si>
  <si>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</si>
  <si>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</si>
  <si>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</si>
  <si>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</si>
  <si>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</si>
  <si>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</si>
  <si>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</si>
  <si>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</si>
  <si>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</si>
  <si>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</si>
  <si>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</si>
  <si>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</si>
  <si>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</si>
  <si>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</si>
  <si>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</si>
  <si>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</si>
  <si>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</si>
  <si>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</si>
  <si>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</si>
  <si>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</si>
  <si>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</si>
  <si>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</si>
  <si>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</si>
  <si>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</si>
  <si>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</si>
  <si>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</si>
  <si>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</si>
  <si>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</si>
  <si>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</si>
  <si>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</si>
  <si>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</si>
  <si>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</si>
  <si>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</si>
  <si>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</si>
  <si>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</si>
  <si>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</si>
  <si>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</si>
  <si>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</si>
  <si>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</si>
  <si>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</si>
  <si>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</si>
  <si>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</si>
  <si>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</si>
  <si>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</si>
  <si>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</si>
  <si>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</si>
  <si>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</si>
  <si>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</si>
  <si>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</si>
  <si>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</si>
  <si>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</si>
  <si>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</si>
  <si>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</si>
  <si>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</si>
  <si>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</si>
  <si>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</si>
  <si>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</si>
  <si>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</si>
  <si>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</si>
  <si>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</si>
  <si>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</si>
  <si>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</si>
  <si>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</si>
  <si>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</si>
  <si>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</si>
  <si>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</si>
  <si>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</si>
  <si>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</si>
  <si>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</si>
  <si>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</si>
  <si>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</si>
  <si>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</si>
  <si>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</si>
  <si>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</si>
  <si>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</si>
  <si>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</si>
  <si>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</si>
  <si>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</si>
  <si>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</si>
  <si>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</si>
  <si>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</si>
  <si>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</si>
  <si>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</si>
  <si>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</si>
  <si>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</si>
  <si>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</si>
  <si>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</si>
  <si>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</si>
  <si>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</si>
  <si>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</si>
  <si>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</si>
  <si>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</si>
  <si>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</si>
  <si>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</si>
  <si>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</si>
  <si>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</si>
  <si>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</si>
  <si>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</si>
  <si>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</si>
  <si>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</si>
  <si>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</si>
  <si>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</si>
  <si>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</si>
  <si>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</si>
  <si>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</si>
  <si>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</si>
  <si>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</si>
  <si>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</si>
  <si>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</si>
  <si>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</si>
  <si>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</si>
  <si>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</si>
  <si>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</si>
  <si>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</si>
  <si>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</si>
  <si>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</si>
  <si>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</si>
  <si>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</si>
  <si>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</si>
  <si>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</si>
  <si>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</si>
  <si>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</si>
  <si>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</si>
  <si>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</si>
  <si>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</si>
  <si>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</si>
  <si>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</si>
  <si>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</si>
  <si>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</si>
  <si>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</si>
  <si>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</si>
  <si>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</si>
  <si>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</si>
  <si>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</si>
  <si>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</si>
  <si>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</si>
  <si>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</si>
  <si>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</si>
  <si>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</si>
  <si>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</si>
  <si>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</si>
  <si>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</si>
  <si>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</si>
  <si>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</si>
  <si>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</si>
  <si>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</si>
  <si>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</si>
  <si>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</si>
  <si>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</si>
  <si>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</si>
  <si>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</si>
  <si>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</si>
  <si>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</si>
  <si>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</si>
  <si>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</si>
  <si>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</si>
  <si>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</si>
  <si>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</si>
  <si>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</si>
  <si>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</si>
  <si>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</si>
  <si>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</si>
  <si>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</si>
  <si>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</si>
  <si>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</si>
  <si>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</si>
  <si>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</si>
  <si>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</si>
  <si>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</si>
  <si>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</si>
  <si>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</si>
  <si>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</si>
  <si>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</si>
  <si>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</si>
  <si>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</si>
  <si>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</si>
  <si>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</si>
  <si>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</si>
  <si>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</si>
  <si>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</si>
  <si>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</si>
  <si>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</si>
  <si>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</si>
  <si>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</si>
  <si>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</si>
  <si>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</si>
  <si>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</si>
  <si>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</si>
  <si>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</si>
  <si>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</si>
  <si>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</si>
  <si>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</si>
  <si>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</si>
  <si>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</si>
  <si>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</si>
  <si>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</si>
  <si>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</si>
  <si>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</si>
  <si>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</si>
  <si>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</si>
  <si>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</si>
  <si>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</si>
  <si>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</si>
  <si>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</si>
  <si>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</si>
  <si>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</si>
  <si>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</si>
  <si>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</si>
  <si>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</si>
  <si>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</si>
  <si>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</si>
  <si>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</si>
  <si>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</si>
  <si>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</si>
  <si>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</si>
  <si>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</si>
  <si>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</si>
  <si>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</si>
  <si>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</si>
  <si>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</si>
  <si>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</si>
  <si>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</si>
  <si>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</si>
  <si>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</si>
  <si>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</si>
  <si>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</si>
  <si>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</si>
  <si>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</si>
  <si>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</si>
  <si>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</si>
  <si>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</si>
  <si>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</si>
  <si>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</si>
  <si>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</si>
  <si>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</si>
  <si>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</si>
  <si>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</si>
  <si>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</si>
  <si>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</si>
  <si>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</si>
  <si>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</si>
  <si>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</si>
  <si>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</si>
  <si>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</si>
  <si>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</si>
  <si>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</si>
  <si>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</si>
  <si>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</si>
  <si>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</si>
  <si>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</si>
  <si>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</si>
  <si>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</si>
  <si>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</si>
  <si>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</si>
  <si>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</si>
  <si>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</si>
  <si>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</si>
  <si>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</si>
  <si>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</si>
  <si>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</si>
  <si>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</si>
  <si>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</si>
  <si>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</si>
  <si>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</si>
  <si>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</si>
  <si>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</si>
  <si>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</si>
  <si>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</si>
  <si>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</si>
  <si>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</si>
  <si>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</si>
  <si>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</si>
  <si>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</si>
  <si>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</si>
  <si>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</si>
  <si>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</si>
  <si>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</si>
  <si>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</si>
  <si>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</si>
  <si>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</si>
  <si>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</si>
  <si>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</si>
  <si>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</si>
  <si>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</si>
  <si>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</si>
  <si>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</si>
  <si>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</si>
  <si>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</si>
  <si>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</si>
  <si>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</si>
  <si>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</si>
  <si>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</si>
  <si>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</si>
  <si>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</si>
  <si>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</si>
  <si>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</si>
  <si>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</si>
  <si>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</si>
  <si>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</si>
  <si>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</si>
  <si>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</si>
  <si>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</si>
  <si>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</si>
  <si>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</si>
  <si>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</si>
  <si>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</si>
  <si>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</si>
  <si>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</si>
  <si>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</si>
  <si>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</si>
  <si>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</si>
  <si>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</si>
  <si>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</si>
  <si>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</si>
  <si>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</si>
  <si>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</si>
  <si>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</si>
  <si>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</si>
  <si>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</si>
  <si>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</si>
  <si>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</si>
  <si>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</si>
  <si>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</si>
  <si>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</si>
  <si>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</si>
  <si>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</si>
  <si>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</si>
  <si>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</si>
  <si>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</si>
  <si>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</si>
  <si>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</si>
  <si>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</si>
  <si>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</si>
  <si>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</si>
  <si>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</si>
  <si>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</si>
  <si>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</si>
  <si>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</si>
  <si>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</si>
  <si>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</si>
  <si>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</si>
  <si>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</si>
  <si>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</si>
  <si>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</si>
  <si>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</si>
  <si>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</si>
  <si>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</si>
  <si>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</si>
  <si>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</si>
  <si>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</si>
  <si>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</si>
  <si>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</si>
  <si>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</si>
  <si>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</si>
  <si>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</si>
  <si>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</si>
  <si>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</si>
  <si>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</si>
  <si>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</si>
  <si>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</si>
  <si>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</si>
  <si>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</si>
  <si>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</si>
  <si>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</si>
  <si>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</si>
  <si>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</si>
  <si>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</si>
  <si>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</si>
  <si>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</si>
  <si>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</si>
  <si>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</si>
  <si>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</si>
  <si>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</si>
  <si>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</si>
  <si>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</si>
  <si>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</si>
  <si>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</si>
  <si>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</si>
  <si>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</si>
  <si>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</si>
  <si>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</si>
  <si>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</si>
  <si>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</si>
  <si>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</si>
  <si>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</si>
  <si>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</si>
  <si>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</si>
  <si>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</si>
  <si>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</si>
  <si>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</si>
  <si>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</si>
  <si>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</si>
  <si>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</si>
  <si>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</si>
  <si>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</si>
  <si>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</si>
  <si>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</si>
  <si>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</si>
  <si>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</si>
  <si>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</si>
  <si>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</si>
  <si>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</si>
  <si>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</si>
  <si>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</si>
  <si>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</si>
  <si>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</si>
  <si>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</si>
  <si>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</si>
  <si>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</si>
  <si>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</si>
  <si>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</si>
  <si>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</si>
  <si>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</si>
  <si>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</si>
  <si>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</si>
  <si>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</si>
  <si>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</si>
  <si>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</si>
  <si>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</si>
  <si>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</si>
  <si>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</si>
  <si>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</si>
  <si>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</si>
  <si>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</si>
  <si>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</si>
  <si>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</si>
  <si>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</si>
  <si>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</si>
  <si>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</si>
  <si>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</si>
  <si>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</si>
  <si>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</si>
  <si>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</si>
  <si>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</si>
  <si>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</si>
  <si>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</si>
  <si>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</si>
  <si>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</si>
  <si>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</si>
  <si>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</si>
  <si>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</si>
  <si>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</si>
  <si>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</si>
  <si>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</si>
  <si>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</si>
  <si>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</si>
  <si>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</si>
  <si>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</si>
  <si>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</si>
  <si>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</si>
  <si>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</si>
  <si>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</si>
  <si>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</si>
  <si>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</si>
  <si>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</si>
  <si>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</si>
  <si>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</si>
  <si>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</si>
  <si>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</si>
  <si>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</si>
  <si>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</si>
  <si>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</si>
  <si>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</si>
  <si>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</si>
  <si>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</si>
  <si>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</si>
  <si>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</si>
  <si>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</si>
  <si>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</si>
  <si>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</si>
  <si>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</si>
  <si>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</si>
  <si>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</si>
  <si>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</si>
  <si>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</si>
  <si>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</si>
  <si>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</si>
  <si>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</si>
  <si>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</si>
  <si>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</si>
  <si>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</si>
  <si>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</si>
  <si>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</si>
  <si>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</si>
  <si>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</si>
  <si>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</si>
  <si>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</si>
  <si>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</si>
  <si>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</si>
  <si>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</si>
  <si>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</si>
  <si>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</si>
  <si>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</si>
  <si>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</si>
  <si>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</si>
  <si>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</si>
  <si>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</si>
  <si>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</si>
  <si>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</si>
  <si>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</si>
  <si>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</si>
  <si>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</si>
  <si>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</si>
  <si>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</si>
  <si>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</si>
  <si>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</si>
  <si>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</si>
  <si>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</si>
  <si>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</si>
  <si>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</si>
  <si>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</si>
  <si>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</si>
  <si>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</si>
  <si>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</si>
  <si>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</si>
  <si>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</si>
  <si>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</si>
  <si>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</si>
  <si>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</si>
  <si>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</si>
  <si>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</si>
  <si>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</si>
  <si>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</si>
  <si>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</si>
  <si>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</si>
  <si>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</si>
  <si>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</si>
  <si>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</si>
  <si>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</si>
  <si>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</si>
  <si>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</si>
  <si>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</si>
  <si>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</si>
  <si>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</si>
  <si>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</si>
  <si>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</si>
  <si>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</si>
  <si>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</si>
  <si>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</si>
  <si>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</si>
  <si>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</si>
  <si>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</si>
  <si>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</si>
  <si>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</si>
  <si>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</si>
  <si>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</si>
  <si>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</si>
  <si>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</si>
  <si>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</si>
  <si>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</si>
  <si>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</si>
  <si>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</si>
  <si>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</si>
  <si>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</si>
  <si>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</si>
  <si>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</si>
  <si>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</si>
  <si>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</si>
  <si>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</si>
  <si>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</si>
  <si>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</si>
  <si>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</si>
  <si>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</si>
  <si>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</si>
  <si>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</si>
  <si>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</si>
  <si>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</si>
  <si>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</si>
  <si>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</si>
  <si>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</si>
  <si>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</si>
  <si>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</si>
  <si>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</si>
  <si>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</si>
  <si>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</si>
  <si>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</si>
  <si>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</si>
  <si>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</si>
  <si>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</si>
  <si>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</si>
  <si>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</si>
  <si>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</si>
  <si>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</si>
  <si>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</si>
  <si>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</si>
  <si>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</si>
  <si>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</si>
  <si>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</si>
  <si>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</si>
  <si>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</si>
  <si>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</si>
  <si>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</si>
  <si>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</si>
  <si>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</si>
  <si>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</si>
  <si>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</si>
  <si>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</si>
  <si>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</si>
  <si>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</si>
  <si>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</si>
  <si>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</si>
  <si>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</si>
  <si>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</si>
  <si>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</si>
  <si>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</si>
  <si>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</si>
  <si>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</si>
  <si>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</si>
  <si>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</si>
  <si>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</si>
  <si>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</si>
  <si>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</si>
  <si>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</si>
  <si>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</si>
  <si>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</si>
  <si>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</si>
  <si>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</si>
  <si>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</si>
  <si>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</si>
  <si>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</si>
  <si>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</si>
  <si>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</si>
  <si>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</si>
  <si>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</si>
  <si>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</si>
  <si>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</si>
  <si>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</si>
  <si>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</si>
  <si>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</si>
  <si>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</si>
  <si>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</si>
  <si>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</si>
  <si>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</si>
  <si>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</si>
  <si>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</si>
  <si>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</si>
  <si>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</si>
  <si>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</si>
  <si>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</si>
  <si>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</si>
  <si>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</si>
  <si>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</si>
  <si>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</si>
  <si>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</si>
  <si>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</si>
  <si>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</si>
  <si>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</si>
  <si>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</si>
  <si>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</si>
  <si>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</si>
  <si>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</si>
  <si>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</si>
  <si>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</si>
  <si>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</si>
  <si>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</si>
  <si>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</si>
  <si>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</si>
  <si>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</si>
  <si>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</si>
  <si>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</si>
  <si>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</si>
  <si>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</si>
  <si>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</si>
  <si>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</si>
  <si>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</si>
  <si>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</si>
  <si>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</si>
  <si>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</si>
  <si>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</si>
  <si>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</si>
  <si>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</si>
  <si>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</si>
  <si>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</si>
  <si>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</si>
  <si>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</si>
  <si>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</si>
  <si>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</si>
  <si>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</si>
  <si>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</si>
  <si>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</si>
  <si>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</si>
  <si>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</si>
  <si>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</si>
  <si>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</si>
  <si>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</si>
  <si>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</si>
  <si>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</si>
  <si>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</si>
  <si>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</si>
  <si>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</si>
  <si>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</si>
  <si>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</si>
  <si>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</si>
  <si>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</si>
  <si>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</si>
  <si>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</si>
  <si>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</si>
  <si>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</si>
  <si>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</si>
  <si>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</si>
  <si>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</si>
  <si>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</si>
  <si>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</si>
  <si>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</si>
  <si>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</si>
  <si>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</si>
  <si>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</si>
  <si>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</si>
  <si>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</si>
  <si>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</si>
  <si>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</si>
  <si>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</si>
  <si>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</si>
  <si>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</si>
  <si>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</si>
  <si>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</si>
  <si>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</si>
  <si>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</si>
  <si>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</si>
  <si>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</si>
  <si>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</si>
  <si>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</si>
  <si>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</si>
  <si>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</si>
  <si>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</si>
  <si>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</si>
  <si>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</si>
  <si>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</si>
  <si>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</si>
  <si>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</si>
  <si>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</si>
  <si>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</si>
  <si>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</si>
  <si>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</si>
  <si>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</si>
  <si>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</si>
  <si>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</si>
  <si>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</si>
  <si>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</si>
  <si>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</si>
  <si>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</si>
  <si>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</si>
  <si>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</si>
  <si>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</si>
  <si>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</si>
  <si>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</si>
  <si>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</si>
  <si>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</si>
  <si>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</si>
  <si>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</si>
  <si>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</si>
  <si>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</si>
  <si>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</si>
  <si>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</si>
  <si>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</si>
  <si>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</si>
  <si>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</si>
  <si>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</si>
  <si>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</si>
  <si>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</si>
  <si>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</si>
  <si>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</si>
  <si>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</si>
  <si>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</si>
  <si>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</si>
  <si>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</si>
  <si>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</si>
  <si>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</si>
  <si>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</si>
  <si>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</si>
  <si>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</si>
  <si>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</si>
  <si>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</si>
  <si>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</si>
  <si>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</si>
  <si>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</si>
  <si>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</si>
  <si>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</si>
  <si>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</si>
  <si>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</si>
  <si>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</si>
  <si>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</si>
  <si>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</si>
  <si>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</si>
  <si>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</si>
  <si>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</si>
  <si>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</si>
  <si>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</si>
  <si>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</si>
  <si>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</si>
  <si>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</si>
  <si>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</si>
  <si>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</si>
  <si>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</si>
  <si>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</si>
  <si>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</si>
  <si>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</si>
  <si>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</si>
  <si>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</si>
  <si>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</si>
  <si>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</si>
  <si>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</si>
  <si>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</si>
  <si>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</si>
  <si>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</si>
  <si>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</si>
  <si>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</si>
  <si>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</si>
  <si>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</si>
  <si>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</si>
  <si>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</si>
  <si>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</si>
  <si>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</si>
  <si>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</si>
  <si>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</si>
  <si>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</si>
  <si>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</si>
  <si>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</si>
  <si>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</si>
  <si>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</si>
  <si>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</si>
  <si>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</si>
  <si>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</si>
  <si>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</si>
  <si>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</si>
  <si>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</si>
  <si>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</si>
  <si>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</si>
  <si>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</si>
  <si>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</si>
  <si>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</si>
  <si>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</si>
  <si>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</si>
  <si>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</si>
  <si>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</si>
  <si>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</si>
  <si>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</si>
  <si>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</si>
  <si>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</si>
  <si>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</si>
  <si>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</si>
  <si>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</si>
  <si>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</si>
  <si>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</si>
  <si>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</si>
  <si>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</si>
  <si>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</si>
  <si>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</si>
  <si>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</si>
  <si>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</si>
  <si>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</si>
  <si>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</si>
  <si>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</si>
  <si>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</si>
  <si>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</si>
  <si>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</si>
  <si>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</si>
  <si>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</si>
  <si>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</si>
  <si>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</si>
  <si>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</si>
  <si>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</si>
  <si>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</si>
  <si>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</si>
  <si>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</si>
  <si>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</si>
  <si>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</si>
  <si>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</si>
  <si>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</si>
  <si>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</si>
  <si>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</si>
  <si>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</si>
  <si>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</si>
  <si>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</si>
  <si>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</si>
  <si>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</si>
  <si>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</si>
  <si>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</si>
  <si>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</si>
  <si>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</si>
  <si>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</si>
  <si>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</si>
  <si>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</si>
  <si>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</si>
  <si>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</si>
  <si>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</si>
  <si>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</si>
  <si>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</si>
  <si>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</si>
  <si>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</si>
  <si>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</si>
  <si>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</si>
  <si>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</si>
  <si>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</si>
  <si>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</si>
  <si>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</si>
  <si>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</si>
  <si>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</si>
  <si>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</si>
  <si>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</si>
  <si>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</si>
  <si>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</si>
  <si>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</si>
  <si>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</si>
  <si>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</si>
  <si>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</si>
  <si>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</si>
  <si>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</si>
  <si>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</si>
  <si>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</si>
  <si>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</si>
  <si>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</si>
  <si>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</si>
  <si>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</si>
  <si>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</si>
  <si>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</si>
  <si>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</si>
  <si>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</si>
  <si>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</si>
  <si>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</si>
  <si>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</si>
  <si>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</si>
  <si>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</si>
  <si>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</si>
  <si>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</si>
  <si>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</si>
  <si>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</si>
  <si>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</si>
  <si>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</si>
  <si>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</si>
  <si>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</si>
  <si>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</si>
  <si>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</si>
  <si>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</si>
  <si>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</si>
  <si>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</si>
  <si>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</si>
  <si>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</si>
  <si>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</si>
  <si>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</si>
  <si>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</si>
  <si>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</si>
  <si>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</si>
  <si>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</si>
  <si>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</si>
  <si>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</si>
  <si>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</si>
  <si>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</si>
  <si>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</si>
  <si>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</si>
  <si>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</si>
  <si>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</si>
  <si>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</si>
  <si>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</si>
  <si>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</si>
  <si>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</si>
  <si>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</si>
  <si>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</si>
  <si>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</si>
  <si>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</si>
  <si>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</si>
  <si>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</si>
  <si>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</si>
  <si>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</si>
  <si>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</si>
  <si>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</si>
  <si>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</si>
  <si>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</si>
  <si>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</si>
  <si>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</si>
  <si>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</si>
  <si>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</si>
  <si>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</si>
  <si>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</si>
  <si>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</si>
  <si>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</si>
  <si>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</si>
  <si>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</si>
  <si>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</si>
  <si>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</si>
  <si>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</si>
  <si>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</si>
  <si>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</si>
  <si>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</si>
  <si>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</si>
  <si>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</si>
  <si>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</si>
  <si>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</si>
  <si>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</si>
  <si>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</si>
  <si>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</si>
  <si>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</si>
  <si>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</si>
  <si>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</si>
  <si>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</si>
  <si>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</si>
  <si>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</si>
  <si>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</si>
  <si>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</si>
  <si>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</si>
  <si>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</si>
  <si>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</si>
  <si>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</si>
  <si>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</si>
  <si>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</si>
  <si>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</si>
  <si>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</si>
  <si>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</si>
  <si>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</si>
  <si>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</si>
  <si>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</si>
  <si>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</si>
  <si>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</si>
  <si>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</si>
  <si>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</si>
  <si>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</si>
  <si>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</si>
  <si>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</si>
  <si>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</si>
  <si>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</si>
  <si>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</si>
  <si>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</si>
  <si>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</si>
  <si>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</si>
  <si>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</si>
  <si>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</si>
  <si>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</si>
  <si>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</si>
  <si>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</si>
  <si>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</si>
  <si>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</si>
  <si>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</si>
  <si>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</si>
  <si>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</si>
  <si>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</si>
  <si>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</si>
  <si>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</si>
  <si>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</si>
  <si>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</si>
  <si>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</si>
  <si>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</si>
  <si>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</si>
  <si>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</si>
  <si>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</si>
  <si>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</si>
  <si>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</si>
  <si>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</si>
  <si>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</si>
  <si>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</si>
  <si>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</si>
  <si>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</si>
  <si>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</si>
  <si>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</si>
  <si>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</si>
  <si>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</si>
  <si>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</si>
  <si>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</si>
  <si>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</si>
  <si>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</si>
  <si>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</si>
  <si>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</si>
  <si>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</si>
  <si>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</si>
  <si>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</si>
  <si>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</si>
  <si>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</si>
  <si>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</si>
  <si>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</si>
  <si>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</si>
  <si>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</si>
  <si>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</si>
  <si>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</si>
  <si>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</si>
  <si>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</si>
  <si>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</si>
  <si>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</si>
  <si>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</si>
  <si>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</si>
  <si>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</si>
  <si>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</si>
  <si>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</si>
  <si>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</si>
  <si>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</si>
  <si>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</si>
  <si>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</si>
  <si>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</si>
  <si>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</si>
  <si>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</si>
  <si>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</si>
  <si>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</si>
  <si>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</si>
  <si>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</si>
  <si>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</si>
  <si>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</si>
  <si>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</si>
  <si>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</si>
  <si>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</si>
  <si>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</si>
  <si>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</si>
  <si>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</si>
  <si>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</si>
  <si>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</si>
  <si>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</si>
  <si>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</si>
  <si>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</si>
  <si>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</si>
  <si>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</si>
  <si>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</si>
  <si>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</si>
  <si>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</si>
  <si>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</si>
  <si>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</si>
  <si>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</si>
  <si>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</si>
  <si>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</si>
  <si>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</si>
  <si>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</si>
  <si>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</si>
  <si>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</si>
  <si>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</si>
  <si>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</si>
  <si>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</si>
  <si>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</si>
  <si>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</si>
  <si>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</si>
  <si>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</si>
  <si>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</si>
  <si>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</si>
  <si>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</si>
  <si>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</si>
  <si>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</si>
  <si>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</si>
  <si>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</si>
  <si>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</si>
  <si>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</si>
  <si>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</si>
  <si>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</si>
  <si>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</si>
  <si>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</si>
  <si>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</si>
  <si>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</si>
  <si>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</si>
  <si>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</si>
  <si>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</si>
  <si>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</si>
  <si>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</si>
  <si>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</si>
  <si>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</si>
  <si>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</si>
  <si>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</si>
  <si>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</si>
  <si>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</si>
  <si>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</si>
  <si>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</si>
  <si>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</si>
  <si>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</si>
  <si>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</si>
  <si>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</si>
  <si>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</si>
  <si>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</si>
  <si>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</si>
  <si>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</si>
  <si>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</si>
  <si>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</si>
  <si>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</si>
  <si>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</si>
  <si>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</si>
  <si>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</si>
  <si>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</si>
  <si>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</si>
  <si>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</si>
  <si>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</si>
  <si>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</si>
  <si>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</si>
  <si>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</si>
  <si>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</si>
  <si>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</si>
  <si>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</si>
  <si>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</si>
  <si>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</si>
  <si>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</si>
  <si>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</si>
  <si>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</si>
  <si>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</si>
  <si>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</si>
  <si>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</si>
  <si>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</si>
  <si>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</si>
  <si>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</si>
  <si>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</si>
  <si>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</si>
  <si>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</si>
  <si>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</si>
  <si>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</si>
  <si>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</si>
  <si>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</si>
  <si>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</si>
  <si>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</si>
  <si>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</si>
  <si>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</si>
  <si>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</si>
  <si>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</si>
  <si>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</si>
  <si>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</si>
  <si>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</si>
  <si>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</si>
  <si>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</si>
  <si>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</si>
  <si>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</si>
  <si>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</si>
  <si>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</si>
  <si>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</si>
  <si>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</si>
  <si>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</si>
  <si>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</si>
  <si>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</si>
  <si>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</si>
  <si>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</si>
  <si>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</si>
  <si>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</si>
  <si>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</si>
  <si>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</si>
  <si>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</si>
  <si>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</si>
  <si>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</si>
  <si>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</si>
  <si>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</si>
  <si>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</si>
  <si>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</si>
  <si>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</si>
  <si>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</si>
  <si>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</si>
  <si>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</si>
  <si>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</si>
  <si>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</si>
  <si>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</si>
  <si>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</si>
  <si>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</si>
  <si>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</si>
  <si>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</si>
  <si>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</si>
  <si>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</si>
  <si>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</si>
  <si>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</si>
  <si>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</si>
  <si>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</si>
  <si>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</si>
  <si>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</si>
  <si>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</si>
  <si>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</si>
  <si>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</si>
  <si>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</si>
  <si>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</si>
  <si>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</si>
  <si>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</si>
  <si>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</si>
  <si>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</si>
  <si>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</si>
  <si>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</si>
  <si>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</si>
  <si>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</si>
  <si>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</si>
  <si>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</si>
  <si>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</si>
  <si>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</si>
  <si>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</si>
  <si>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</si>
  <si>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</si>
  <si>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</si>
  <si>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</si>
  <si>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</si>
  <si>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</si>
  <si>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</si>
  <si>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</si>
  <si>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</si>
  <si>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</si>
  <si>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</si>
  <si>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</si>
  <si>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</si>
  <si>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</si>
  <si>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</si>
  <si>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</si>
  <si>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</si>
  <si>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</si>
  <si>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</si>
  <si>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</si>
  <si>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</si>
  <si>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</si>
  <si>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</si>
  <si>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</si>
  <si>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</si>
  <si>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</si>
  <si>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</si>
  <si>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</si>
  <si>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</si>
  <si>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</si>
  <si>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</si>
  <si>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</si>
  <si>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</si>
  <si>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</si>
  <si>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</si>
  <si>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</si>
  <si>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</si>
  <si>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</si>
  <si>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</si>
  <si>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</si>
  <si>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</si>
  <si>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</si>
  <si>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</si>
  <si>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</si>
  <si>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</si>
  <si>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</si>
  <si>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</si>
  <si>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</si>
  <si>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</si>
  <si>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</si>
  <si>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</si>
  <si>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</si>
  <si>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</si>
  <si>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</si>
  <si>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</si>
  <si>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</si>
  <si>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</si>
  <si>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</si>
  <si>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</si>
  <si>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</si>
  <si>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</si>
  <si>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</si>
  <si>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</si>
  <si>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</si>
  <si>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</si>
  <si>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</si>
  <si>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</si>
  <si>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</si>
  <si>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</si>
  <si>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</si>
  <si>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</si>
  <si>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</si>
  <si>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</si>
  <si>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</si>
  <si>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</si>
  <si>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</si>
  <si>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</si>
  <si>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</si>
  <si>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</si>
  <si>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</si>
  <si>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</si>
  <si>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</si>
  <si>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</si>
  <si>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</si>
  <si>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</si>
  <si>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</si>
  <si>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</si>
  <si>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</si>
  <si>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</si>
  <si>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</si>
  <si>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</si>
  <si>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</si>
  <si>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</si>
  <si>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</si>
  <si>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</si>
  <si>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</si>
  <si>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</si>
  <si>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</si>
  <si>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</si>
  <si>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</si>
  <si>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</si>
  <si>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</si>
  <si>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</si>
  <si>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</si>
  <si>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</si>
  <si>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</si>
  <si>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</si>
  <si>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</si>
  <si>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</si>
  <si>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</si>
  <si>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</si>
  <si>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</si>
  <si>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</si>
  <si>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</si>
  <si>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</si>
  <si>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</si>
  <si>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</si>
  <si>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</si>
  <si>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</si>
  <si>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</si>
  <si>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</si>
  <si>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</si>
  <si>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</si>
  <si>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</si>
  <si>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</si>
  <si>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</si>
  <si>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</si>
  <si>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</si>
  <si>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</si>
  <si>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</si>
  <si>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</si>
  <si>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</si>
  <si>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</si>
  <si>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</si>
  <si>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</si>
  <si>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</si>
  <si>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</si>
  <si>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</si>
  <si>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</si>
  <si>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</si>
  <si>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</si>
  <si>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</si>
  <si>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</si>
  <si>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</si>
  <si>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</si>
  <si>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</si>
  <si>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</si>
  <si>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</si>
  <si>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</si>
  <si>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</si>
  <si>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</si>
  <si>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</si>
  <si>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</si>
  <si>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</si>
  <si>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</si>
  <si>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</si>
  <si>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</si>
  <si>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</si>
  <si>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</si>
  <si>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</si>
  <si>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</si>
  <si>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</si>
  <si>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</si>
  <si>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</si>
  <si>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</si>
  <si>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</si>
  <si>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</si>
  <si>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</si>
  <si>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</si>
  <si>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</si>
  <si>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</si>
  <si>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</si>
  <si>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</si>
  <si>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</si>
  <si>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</si>
  <si>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</si>
  <si>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</si>
  <si>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</si>
  <si>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</si>
  <si>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</si>
  <si>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</si>
  <si>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</si>
  <si>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</si>
  <si>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</si>
  <si>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</si>
  <si>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</si>
  <si>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</si>
  <si>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</si>
  <si>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</si>
  <si>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</si>
  <si>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</si>
  <si>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</si>
  <si>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</si>
  <si>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</si>
  <si>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</si>
  <si>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</si>
  <si>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</si>
  <si>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</si>
  <si>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</si>
  <si>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</si>
  <si>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</si>
  <si>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</si>
  <si>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</si>
  <si>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</si>
  <si>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</si>
  <si>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</si>
  <si>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</si>
  <si>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</si>
  <si>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</si>
  <si>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</si>
  <si>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</si>
  <si>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</si>
  <si>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</si>
  <si>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</si>
  <si>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</si>
  <si>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</si>
  <si>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</si>
  <si>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</si>
  <si>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</si>
  <si>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</si>
  <si>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</si>
  <si>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</si>
  <si>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</si>
  <si>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</si>
  <si>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</si>
  <si>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</si>
  <si>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</si>
  <si>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</si>
  <si>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</si>
  <si>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</si>
  <si>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</si>
  <si>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</si>
  <si>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</si>
  <si>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</si>
  <si>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</si>
  <si>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</si>
  <si>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</si>
  <si>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</si>
  <si>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</si>
  <si>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</si>
  <si>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</si>
  <si>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</si>
  <si>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</si>
  <si>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</si>
  <si>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</si>
  <si>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</si>
  <si>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</si>
  <si>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</si>
  <si>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</si>
  <si>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</si>
  <si>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</si>
  <si>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</si>
  <si>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</si>
  <si>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</si>
  <si>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</si>
  <si>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</si>
  <si>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</si>
  <si>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</si>
  <si>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</si>
  <si>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</si>
  <si>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</si>
  <si>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</si>
  <si>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</si>
  <si>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</si>
  <si>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</si>
  <si>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</si>
  <si>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</si>
  <si>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</si>
  <si>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</si>
  <si>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</si>
  <si>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</si>
  <si>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</si>
  <si>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</si>
  <si>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</si>
  <si>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</si>
  <si>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</si>
  <si>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</si>
  <si>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</si>
  <si>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</si>
  <si>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</si>
  <si>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</si>
  <si>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</si>
  <si>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</si>
  <si>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</si>
  <si>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</si>
  <si>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</si>
  <si>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</si>
  <si>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</si>
  <si>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</si>
  <si>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</si>
  <si>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</si>
  <si>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</si>
  <si>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</si>
  <si>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</si>
  <si>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</si>
  <si>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</si>
  <si>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</si>
  <si>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</si>
  <si>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</si>
  <si>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</si>
  <si>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</si>
  <si>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</si>
  <si>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</si>
  <si>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</si>
  <si>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</si>
  <si>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</si>
  <si>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</si>
  <si>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</si>
  <si>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</si>
  <si>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</si>
  <si>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</si>
  <si>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</si>
  <si>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</si>
  <si>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</si>
  <si>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</si>
  <si>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</si>
  <si>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</si>
  <si>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</si>
  <si>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</si>
  <si>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</si>
  <si>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</si>
  <si>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</si>
  <si>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</si>
  <si>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</si>
  <si>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</si>
  <si>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</si>
  <si>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</si>
  <si>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</si>
  <si>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</si>
  <si>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</si>
  <si>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</si>
  <si>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</si>
  <si>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</si>
  <si>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</si>
  <si>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</si>
  <si>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</si>
  <si>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</si>
  <si>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</si>
  <si>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</si>
  <si>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</si>
  <si>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</si>
  <si>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</si>
  <si>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</si>
  <si>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</si>
  <si>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</si>
  <si>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</si>
  <si>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</si>
  <si>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</si>
  <si>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</si>
  <si>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</si>
  <si>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</si>
  <si>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</si>
  <si>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</si>
  <si>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</si>
  <si>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</si>
  <si>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</si>
  <si>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</si>
  <si>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</si>
  <si>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</si>
  <si>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</si>
  <si>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</si>
  <si>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</si>
  <si>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</si>
  <si>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</si>
  <si>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</si>
  <si>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</si>
  <si>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</si>
  <si>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</si>
  <si>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</si>
  <si>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</si>
  <si>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</si>
  <si>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</si>
  <si>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</si>
  <si>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</si>
  <si>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</si>
  <si>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</si>
  <si>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</si>
  <si>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</si>
  <si>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</si>
  <si>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</si>
  <si>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</si>
  <si>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</si>
  <si>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</si>
  <si>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</si>
  <si>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</si>
  <si>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</si>
  <si>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</si>
  <si>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</si>
  <si>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</si>
  <si>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</si>
  <si>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</si>
  <si>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</si>
  <si>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</si>
  <si>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</si>
  <si>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</si>
  <si>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</si>
  <si>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</si>
  <si>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</si>
  <si>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</si>
  <si>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</si>
  <si>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</si>
  <si>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</si>
  <si>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</si>
  <si>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</si>
  <si>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</si>
  <si>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</si>
  <si>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</si>
  <si>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</si>
  <si>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</si>
  <si>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</si>
  <si>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</si>
  <si>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</si>
  <si>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</si>
  <si>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</si>
  <si>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</si>
  <si>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</si>
  <si>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</si>
  <si>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</si>
  <si>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</si>
  <si>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</si>
  <si>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</si>
  <si>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</si>
  <si>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</si>
  <si>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</si>
  <si>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</si>
  <si>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</si>
  <si>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</si>
  <si>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</si>
  <si>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</si>
  <si>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</si>
  <si>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</si>
  <si>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</si>
  <si>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</si>
  <si>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</si>
  <si>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</si>
  <si>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</si>
  <si>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</si>
  <si>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</si>
  <si>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</si>
  <si>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</si>
  <si>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</si>
  <si>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</si>
  <si>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</si>
  <si>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</si>
  <si>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</si>
  <si>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</si>
  <si>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</si>
  <si>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</si>
  <si>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</si>
  <si>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</si>
  <si>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</si>
  <si>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</si>
  <si>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</si>
  <si>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</si>
  <si>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</si>
  <si>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</si>
  <si>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</si>
  <si>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</si>
  <si>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</si>
  <si>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</si>
  <si>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</si>
  <si>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</si>
  <si>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</si>
  <si>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</si>
  <si>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</si>
  <si>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</si>
  <si>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</si>
  <si>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</si>
  <si>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</si>
  <si>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</si>
  <si>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</si>
  <si>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</si>
  <si>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</si>
  <si>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</si>
  <si>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</si>
  <si>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</si>
  <si>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</si>
  <si>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</si>
  <si>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</si>
  <si>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</si>
  <si>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</si>
  <si>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</si>
  <si>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</si>
  <si>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</si>
  <si>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</si>
  <si>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</si>
  <si>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</si>
  <si>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</si>
  <si>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</si>
  <si>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</si>
  <si>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</si>
  <si>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</si>
  <si>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</si>
  <si>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</si>
  <si>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</si>
  <si>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</si>
  <si>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</si>
  <si>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</si>
  <si>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</si>
  <si>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</si>
  <si>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</si>
  <si>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</si>
  <si>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</si>
  <si>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</si>
  <si>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</si>
  <si>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</si>
  <si>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</si>
  <si>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</si>
  <si>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</si>
  <si>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</si>
  <si>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</si>
  <si>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</si>
  <si>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</si>
  <si>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</si>
  <si>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</si>
  <si>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</si>
  <si>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</si>
  <si>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</si>
  <si>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</si>
  <si>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</si>
  <si>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</si>
  <si>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</si>
  <si>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</si>
  <si>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</si>
  <si>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</si>
  <si>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</si>
  <si>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</si>
  <si>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</si>
  <si>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</si>
  <si>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</si>
  <si>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</si>
  <si>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</si>
  <si>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</si>
  <si>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</si>
  <si>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</si>
  <si>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</si>
  <si>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</si>
  <si>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</si>
  <si>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</si>
  <si>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</si>
  <si>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</si>
  <si>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</si>
  <si>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</si>
  <si>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</si>
  <si>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</si>
  <si>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</si>
  <si>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</si>
  <si>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</si>
  <si>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</si>
  <si>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</si>
  <si>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</si>
  <si>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</si>
  <si>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</si>
  <si>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</si>
  <si>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</si>
  <si>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</si>
  <si>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</si>
  <si>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</si>
  <si>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</si>
  <si>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</si>
  <si>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</si>
  <si>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</si>
  <si>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</si>
  <si>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</si>
  <si>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</si>
  <si>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</si>
  <si>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</si>
  <si>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</si>
  <si>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</si>
  <si>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</si>
  <si>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</si>
  <si>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</si>
  <si>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</si>
  <si>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</si>
  <si>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</si>
  <si>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</si>
  <si>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</si>
  <si>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</si>
  <si>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</si>
  <si>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</si>
  <si>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</si>
  <si>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</si>
  <si>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</si>
  <si>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</si>
  <si>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</si>
  <si>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</si>
  <si>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</si>
  <si>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</si>
  <si>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</si>
  <si>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</si>
  <si>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</si>
  <si>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</si>
  <si>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</si>
  <si>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</si>
  <si>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</si>
  <si>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</si>
  <si>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</si>
  <si>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</si>
  <si>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</si>
  <si>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</si>
  <si>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</si>
  <si>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</si>
  <si>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</si>
  <si>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</si>
  <si>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</si>
  <si>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</si>
  <si>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</si>
  <si>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</si>
  <si>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</si>
  <si>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</si>
  <si>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</si>
  <si>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</si>
  <si>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</si>
  <si>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</si>
  <si>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</si>
  <si>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</si>
  <si>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</si>
  <si>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</si>
  <si>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</si>
  <si>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</si>
  <si>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</si>
  <si>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</si>
  <si>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</si>
  <si>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</si>
  <si>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</si>
  <si>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</si>
  <si>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</si>
  <si>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</si>
  <si>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</si>
  <si>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</si>
  <si>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</si>
  <si>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</si>
  <si>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</si>
  <si>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</si>
  <si>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</si>
  <si>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</si>
  <si>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</si>
  <si>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</si>
  <si>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</si>
  <si>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</si>
  <si>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</si>
  <si>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</si>
  <si>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</si>
  <si>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</si>
  <si>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</si>
  <si>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</si>
  <si>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</si>
  <si>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</si>
  <si>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</si>
  <si>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</si>
  <si>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</si>
  <si>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</si>
  <si>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</si>
  <si>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</si>
  <si>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</si>
  <si>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</si>
  <si>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</si>
  <si>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</si>
  <si>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</si>
  <si>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</si>
  <si>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</si>
  <si>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</si>
  <si>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</si>
  <si>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</si>
  <si>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</si>
  <si>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</si>
  <si>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</si>
  <si>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</si>
  <si>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</si>
  <si>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</si>
  <si>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</si>
  <si>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</si>
  <si>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</si>
  <si>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</si>
  <si>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</si>
  <si>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</si>
  <si>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</si>
  <si>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</si>
  <si>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</si>
  <si>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</si>
  <si>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</si>
  <si>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</si>
  <si>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</si>
  <si>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</si>
  <si>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</si>
  <si>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</si>
  <si>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</si>
  <si>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</si>
  <si>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</si>
  <si>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</si>
  <si>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</si>
  <si>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</si>
  <si>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</si>
  <si>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</si>
  <si>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</si>
  <si>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</si>
  <si>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</si>
  <si>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</si>
  <si>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</si>
  <si>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</si>
  <si>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</si>
  <si>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</si>
  <si>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</si>
  <si>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</si>
  <si>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</si>
  <si>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</si>
  <si>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</si>
  <si>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</si>
  <si>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</si>
  <si>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</si>
  <si>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</si>
  <si>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</si>
  <si>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</si>
  <si>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</si>
  <si>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</si>
  <si>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</si>
  <si>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</si>
  <si>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</si>
  <si>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</si>
  <si>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</si>
  <si>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</si>
  <si>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</si>
  <si>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</si>
  <si>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</si>
  <si>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</si>
  <si>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</si>
  <si>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</si>
  <si>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</si>
  <si>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</si>
  <si>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</si>
  <si>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</si>
  <si>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</si>
  <si>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</si>
  <si>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</si>
  <si>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</si>
  <si>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</si>
  <si>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</si>
  <si>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</si>
  <si>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</si>
  <si>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</si>
  <si>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</si>
  <si>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</si>
  <si>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</si>
  <si>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</si>
  <si>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</si>
  <si>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</si>
  <si>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</si>
  <si>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</si>
  <si>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</si>
  <si>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</si>
  <si>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</si>
  <si>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</si>
  <si>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</si>
  <si>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</si>
  <si>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</si>
  <si>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</si>
  <si>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</si>
  <si>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</si>
  <si>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</si>
  <si>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</si>
  <si>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</si>
  <si>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</si>
  <si>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</si>
  <si>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</si>
  <si>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</si>
  <si>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</si>
  <si>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</si>
  <si>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</si>
  <si>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</si>
  <si>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</si>
  <si>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</si>
  <si>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</si>
  <si>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</si>
  <si>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</si>
  <si>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</si>
  <si>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</si>
  <si>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</si>
  <si>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</si>
  <si>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</si>
  <si>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</si>
  <si>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</si>
  <si>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</si>
  <si>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</si>
  <si>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</si>
  <si>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</si>
  <si>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</si>
  <si>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</si>
  <si>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</si>
  <si>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</si>
  <si>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</si>
  <si>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</si>
  <si>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</si>
  <si>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</si>
  <si>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</si>
  <si>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</si>
  <si>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</si>
  <si>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</si>
  <si>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</si>
  <si>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</si>
  <si>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</si>
  <si>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</si>
  <si>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</si>
  <si>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</si>
  <si>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</si>
  <si>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</si>
  <si>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</si>
  <si>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</si>
  <si>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</si>
  <si>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</si>
  <si>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</si>
  <si>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</si>
  <si>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</si>
  <si>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</si>
  <si>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</si>
  <si>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</si>
  <si>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</si>
  <si>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</si>
  <si>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</si>
  <si>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</si>
  <si>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</si>
  <si>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</si>
  <si>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</si>
  <si>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</si>
  <si>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</si>
  <si>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</si>
  <si>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</si>
  <si>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</si>
  <si>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</si>
  <si>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</si>
  <si>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</si>
  <si>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</si>
  <si>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</si>
  <si>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</si>
  <si>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</si>
  <si>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</si>
  <si>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</si>
  <si>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</si>
  <si>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</si>
  <si>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</si>
  <si>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</si>
  <si>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</si>
  <si>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</si>
  <si>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</si>
  <si>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</si>
  <si>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</si>
  <si>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</si>
  <si>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</si>
  <si>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</si>
  <si>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</si>
  <si>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</si>
  <si>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</si>
  <si>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</si>
  <si>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</si>
  <si>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</si>
  <si>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</si>
  <si>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</si>
  <si>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</si>
  <si>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</si>
  <si>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</si>
  <si>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</si>
  <si>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</si>
  <si>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</si>
  <si>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</si>
  <si>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</si>
  <si>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</si>
  <si>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</si>
  <si>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</si>
  <si>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</si>
  <si>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</si>
  <si>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</si>
  <si>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</si>
  <si>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</si>
  <si>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</si>
  <si>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</si>
  <si>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</si>
  <si>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</si>
  <si>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</si>
  <si>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</si>
  <si>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</si>
  <si>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</si>
  <si>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</si>
  <si>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</si>
  <si>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</si>
  <si>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</si>
  <si>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</si>
  <si>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</si>
  <si>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</si>
  <si>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</si>
  <si>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</si>
  <si>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</si>
  <si>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</si>
  <si>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</si>
  <si>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</si>
  <si>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</si>
  <si>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</si>
  <si>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</si>
  <si>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</si>
  <si>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</si>
  <si>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</si>
  <si>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</si>
  <si>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</si>
  <si>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</si>
  <si>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</si>
  <si>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</si>
  <si>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</si>
  <si>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</si>
  <si>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</si>
  <si>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</si>
  <si>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</si>
  <si>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</si>
  <si>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</si>
  <si>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</si>
  <si>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</si>
  <si>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</si>
  <si>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</si>
  <si>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</si>
  <si>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</si>
  <si>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</si>
  <si>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</si>
  <si>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</si>
  <si>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</si>
  <si>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</si>
  <si>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</si>
  <si>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</si>
  <si>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</si>
  <si>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</si>
  <si>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</si>
  <si>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</si>
  <si>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</si>
  <si>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</si>
  <si>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</si>
  <si>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</si>
  <si>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</si>
  <si>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</si>
  <si>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</si>
  <si>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</si>
  <si>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</si>
  <si>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</si>
  <si>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</si>
  <si>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</si>
  <si>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</si>
  <si>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</si>
  <si>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</si>
  <si>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</si>
  <si>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</si>
  <si>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</si>
  <si>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</si>
  <si>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</si>
  <si>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</si>
  <si>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</si>
  <si>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</si>
  <si>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</si>
  <si>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</si>
  <si>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</si>
  <si>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</si>
  <si>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</si>
  <si>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</si>
  <si>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</si>
  <si>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</si>
  <si>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</si>
  <si>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</si>
  <si>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</si>
  <si>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</si>
  <si>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</si>
  <si>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</si>
  <si>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</si>
  <si>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</si>
  <si>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</si>
  <si>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</si>
  <si>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</si>
  <si>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</si>
  <si>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</si>
  <si>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</si>
  <si>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</si>
  <si>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</si>
  <si>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</si>
  <si>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</si>
  <si>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</si>
  <si>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</si>
  <si>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</si>
  <si>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</si>
  <si>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</si>
  <si>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</si>
  <si>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</si>
  <si>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</si>
  <si>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</si>
  <si>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</si>
  <si>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</si>
  <si>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</si>
  <si>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</si>
  <si>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</si>
  <si>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</si>
  <si>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</si>
  <si>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</si>
  <si>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</si>
  <si>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</si>
  <si>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</si>
  <si>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</si>
  <si>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</si>
  <si>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</si>
  <si>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</si>
  <si>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</si>
  <si>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</si>
  <si>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</si>
  <si>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</si>
  <si>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</si>
  <si>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</si>
  <si>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</si>
  <si>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</si>
  <si>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</si>
  <si>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</si>
  <si>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</si>
  <si>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</si>
  <si>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</si>
  <si>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</si>
  <si>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</si>
  <si>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</si>
  <si>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</si>
  <si>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</si>
  <si>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</si>
  <si>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</si>
  <si>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</si>
  <si>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</si>
  <si>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</si>
  <si>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</si>
  <si>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</si>
  <si>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</si>
  <si>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</si>
  <si>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</si>
  <si>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</si>
  <si>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</si>
  <si>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</si>
  <si>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</si>
  <si>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</si>
  <si>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</si>
  <si>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</si>
  <si>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</si>
  <si>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</si>
  <si>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</si>
  <si>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</si>
  <si>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</si>
  <si>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</si>
  <si>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</si>
  <si>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</si>
  <si>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</si>
  <si>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</si>
  <si>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</si>
  <si>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</si>
  <si>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</si>
  <si>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</si>
  <si>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</si>
  <si>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</si>
  <si>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</si>
  <si>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</si>
  <si>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</si>
  <si>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</si>
  <si>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</si>
  <si>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</si>
  <si>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</si>
  <si>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</si>
  <si>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</si>
  <si>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</si>
  <si>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</si>
  <si>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</si>
  <si>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</si>
  <si>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</si>
  <si>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</si>
  <si>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</si>
  <si>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</si>
  <si>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</si>
  <si>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</si>
  <si>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</si>
  <si>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</si>
  <si>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</si>
  <si>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</si>
  <si>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</si>
  <si>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</si>
  <si>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</si>
  <si>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</si>
  <si>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</si>
  <si>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</si>
  <si>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</si>
  <si>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</si>
  <si>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</si>
  <si>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</si>
  <si>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</si>
  <si>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</si>
  <si>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</si>
  <si>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</si>
  <si>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</si>
  <si>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</si>
  <si>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</si>
  <si>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</si>
  <si>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</si>
  <si>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</si>
  <si>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</si>
  <si>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</si>
  <si>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</si>
  <si>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</si>
  <si>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</si>
  <si>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</si>
  <si>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</si>
  <si>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</si>
  <si>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</si>
  <si>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</si>
  <si>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</si>
  <si>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</si>
  <si>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</si>
  <si>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</si>
  <si>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</si>
  <si>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</si>
  <si>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</si>
  <si>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</si>
  <si>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</si>
  <si>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</si>
  <si>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</si>
  <si>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</si>
  <si>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</si>
  <si>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</si>
  <si>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</si>
  <si>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</si>
  <si>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</si>
  <si>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</si>
  <si>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</si>
  <si>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</si>
  <si>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</si>
  <si>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</si>
  <si>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</si>
  <si>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</si>
  <si>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</si>
  <si>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</si>
  <si>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</si>
  <si>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</si>
  <si>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</si>
  <si>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</si>
  <si>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</si>
  <si>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</si>
  <si>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</si>
  <si>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</si>
  <si>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</si>
  <si>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</si>
  <si>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</si>
  <si>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</si>
  <si>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</si>
  <si>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</si>
  <si>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</si>
  <si>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</si>
  <si>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</si>
  <si>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</si>
  <si>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</si>
  <si>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</si>
  <si>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</si>
  <si>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</si>
  <si>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</si>
  <si>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</si>
  <si>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</si>
  <si>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</si>
  <si>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</si>
  <si>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</si>
  <si>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</si>
  <si>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</si>
  <si>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</si>
  <si>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</si>
  <si>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</si>
  <si>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</si>
  <si>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</si>
  <si>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</si>
  <si>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</si>
  <si>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</si>
  <si>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</si>
  <si>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</si>
  <si>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</si>
  <si>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</si>
  <si>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</si>
  <si>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</si>
  <si>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</si>
  <si>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</si>
  <si>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</si>
  <si>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</si>
  <si>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</si>
  <si>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</si>
  <si>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</si>
  <si>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</si>
  <si>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</si>
  <si>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</si>
  <si>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</si>
  <si>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</si>
  <si>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</si>
  <si>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</si>
  <si>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</si>
  <si>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</si>
  <si>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</si>
  <si>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</si>
  <si>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</si>
  <si>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</si>
  <si>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</si>
  <si>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</si>
  <si>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</si>
  <si>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</si>
  <si>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</si>
  <si>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</si>
  <si>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</si>
  <si>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</si>
  <si>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</si>
  <si>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</si>
  <si>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</si>
  <si>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</si>
  <si>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</si>
  <si>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</si>
  <si>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</si>
  <si>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</si>
  <si>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</si>
  <si>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</si>
  <si>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</si>
  <si>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</si>
  <si>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</si>
  <si>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</si>
  <si>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</si>
  <si>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</si>
  <si>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</si>
  <si>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</si>
  <si>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</si>
  <si>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</si>
  <si>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</si>
  <si>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</si>
  <si>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</si>
  <si>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</si>
  <si>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</si>
  <si>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</si>
  <si>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</si>
  <si>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</si>
  <si>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</si>
  <si>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</si>
  <si>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</si>
  <si>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</si>
  <si>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</si>
  <si>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</si>
  <si>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</si>
  <si>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</si>
  <si>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</si>
  <si>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</si>
  <si>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</si>
  <si>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</si>
  <si>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</si>
  <si>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</si>
  <si>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</si>
  <si>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</si>
  <si>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</si>
  <si>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</si>
  <si>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</si>
  <si>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</si>
  <si>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</si>
  <si>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</si>
  <si>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</si>
  <si>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</si>
  <si>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</si>
  <si>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</si>
  <si>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</si>
  <si>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</si>
  <si>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</si>
  <si>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</si>
  <si>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</si>
  <si>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</si>
  <si>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</si>
  <si>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</si>
  <si>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</si>
  <si>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</si>
  <si>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</si>
  <si>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</si>
  <si>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</si>
  <si>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</si>
  <si>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</si>
  <si>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</si>
  <si>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</si>
  <si>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</si>
  <si>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</si>
  <si>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</si>
  <si>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</si>
  <si>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</si>
  <si>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</si>
  <si>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</si>
  <si>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</si>
  <si>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</si>
  <si>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</si>
  <si>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</si>
  <si>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</si>
  <si>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</si>
  <si>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</si>
  <si>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</si>
  <si>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</si>
  <si>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</si>
  <si>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</si>
  <si>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</si>
  <si>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</si>
  <si>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</si>
  <si>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</si>
  <si>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</si>
  <si>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</si>
  <si>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</si>
  <si>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</si>
  <si>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</si>
  <si>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</si>
  <si>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</si>
  <si>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</si>
  <si>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</si>
  <si>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</si>
  <si>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</si>
  <si>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</si>
  <si>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</si>
  <si>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</si>
  <si>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</si>
  <si>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</si>
  <si>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</si>
  <si>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</si>
  <si>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</si>
  <si>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</si>
  <si>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</si>
  <si>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</si>
  <si>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</si>
  <si>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</si>
  <si>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</si>
  <si>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</si>
  <si>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</si>
  <si>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</si>
  <si>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</si>
  <si>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</si>
  <si>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</si>
  <si>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</si>
  <si>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</si>
  <si>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</si>
  <si>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</si>
  <si>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</si>
  <si>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</si>
  <si>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</si>
  <si>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</si>
  <si>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</si>
  <si>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</si>
  <si>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</si>
  <si>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</si>
  <si>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</si>
  <si>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</si>
  <si>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</si>
  <si>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</si>
  <si>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</si>
  <si>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</si>
  <si>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</si>
  <si>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</si>
  <si>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</si>
  <si>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</si>
  <si>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</si>
  <si>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</si>
  <si>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</si>
  <si>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</si>
  <si>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</si>
  <si>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</si>
  <si>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</si>
  <si>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</si>
  <si>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</si>
  <si>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</si>
  <si>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</si>
  <si>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</si>
  <si>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</si>
  <si>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</si>
  <si>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</si>
  <si>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</si>
  <si>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</si>
  <si>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</si>
  <si>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</si>
  <si>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</si>
  <si>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</si>
  <si>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</si>
  <si>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</si>
  <si>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</si>
  <si>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</si>
  <si>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</si>
  <si>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</si>
  <si>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</si>
  <si>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</si>
  <si>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</si>
  <si>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</si>
  <si>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</si>
  <si>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</si>
  <si>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</si>
  <si>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</si>
  <si>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</si>
  <si>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</si>
  <si>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</si>
  <si>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</si>
  <si>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</si>
  <si>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</si>
  <si>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</si>
  <si>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</si>
  <si>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</si>
  <si>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</si>
  <si>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</si>
  <si>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</si>
  <si>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</si>
  <si>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</si>
  <si>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</si>
  <si>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</si>
  <si>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</si>
  <si>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</si>
  <si>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</si>
  <si>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</si>
  <si>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</si>
  <si>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</si>
  <si>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</si>
  <si>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</si>
  <si>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</si>
  <si>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</si>
  <si>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</si>
  <si>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</si>
  <si>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</si>
  <si>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</si>
  <si>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</si>
  <si>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</si>
  <si>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</si>
  <si>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</si>
  <si>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</si>
  <si>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</si>
  <si>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</si>
  <si>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</si>
  <si>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</si>
  <si>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</si>
  <si>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</si>
  <si>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</si>
  <si>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</si>
  <si>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</si>
  <si>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</si>
  <si>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</si>
  <si>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</si>
  <si>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</si>
  <si>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</si>
  <si>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</si>
  <si>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</si>
  <si>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</si>
  <si>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</si>
  <si>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</si>
  <si>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</si>
  <si>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</si>
  <si>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</si>
  <si>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</si>
  <si>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</si>
  <si>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</si>
  <si>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</si>
  <si>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</si>
  <si>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</si>
  <si>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</si>
  <si>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</si>
  <si>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</si>
  <si>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</si>
  <si>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</si>
  <si>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</si>
  <si>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</si>
  <si>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</si>
  <si>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</si>
  <si>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</si>
  <si>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</si>
  <si>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</si>
  <si>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</si>
  <si>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</si>
  <si>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</si>
  <si>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</si>
  <si>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</si>
  <si>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</si>
  <si>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</si>
  <si>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</si>
  <si>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</si>
  <si>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</si>
  <si>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</si>
  <si>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</si>
  <si>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</si>
  <si>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</si>
  <si>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</si>
  <si>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</si>
  <si>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</si>
  <si>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</si>
  <si>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</si>
  <si>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</si>
  <si>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</si>
  <si>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</si>
  <si>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</si>
  <si>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</si>
  <si>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</si>
  <si>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</si>
  <si>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</si>
  <si>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</si>
  <si>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</si>
  <si>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</si>
  <si>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</si>
  <si>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</si>
  <si>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</si>
  <si>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</si>
  <si>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</si>
  <si>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</si>
  <si>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</si>
  <si>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</si>
  <si>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</si>
  <si>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</si>
  <si>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</si>
  <si>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</si>
  <si>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</si>
  <si>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</si>
  <si>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</si>
  <si>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</si>
  <si>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</si>
  <si>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</si>
  <si>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</si>
  <si>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</si>
  <si>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</si>
  <si>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</si>
  <si>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</si>
  <si>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</si>
  <si>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</si>
  <si>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</si>
  <si>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</si>
  <si>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</si>
  <si>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</si>
  <si>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</si>
  <si>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</si>
  <si>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</si>
  <si>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</si>
  <si>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</si>
  <si>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</si>
  <si>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</si>
  <si>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</si>
  <si>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</si>
  <si>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</si>
  <si>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</si>
  <si>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</si>
  <si>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</si>
  <si>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</si>
  <si>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</si>
  <si>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</si>
  <si>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</si>
  <si>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</si>
  <si>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</si>
  <si>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</si>
  <si>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</si>
  <si>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</si>
  <si>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</si>
  <si>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</si>
  <si>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</si>
  <si>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</si>
  <si>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</si>
  <si>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</si>
  <si>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</si>
  <si>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</si>
  <si>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</si>
  <si>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</si>
  <si>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</si>
  <si>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</si>
  <si>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</si>
  <si>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</si>
  <si>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</si>
  <si>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</si>
  <si>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</si>
  <si>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</si>
  <si>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</si>
  <si>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</si>
  <si>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</si>
  <si>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</si>
  <si>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</si>
  <si>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</si>
  <si>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</si>
  <si>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</si>
  <si>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</si>
  <si>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</si>
  <si>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</si>
  <si>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</si>
  <si>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</si>
  <si>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</si>
  <si>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</si>
  <si>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</si>
  <si>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</si>
  <si>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</si>
  <si>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</si>
  <si>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</si>
  <si>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</si>
  <si>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</si>
  <si>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</si>
  <si>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</si>
  <si>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</si>
  <si>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</si>
  <si>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</si>
  <si>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</si>
  <si>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</si>
  <si>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</si>
  <si>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</si>
  <si>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</si>
  <si>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</si>
  <si>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</si>
  <si>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</si>
  <si>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</si>
  <si>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</si>
  <si>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</si>
  <si>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</si>
  <si>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</si>
  <si>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</si>
  <si>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</si>
  <si>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</si>
  <si>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</si>
  <si>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</si>
  <si>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</si>
  <si>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</si>
  <si>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</si>
  <si>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</si>
  <si>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</si>
  <si>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</si>
  <si>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</si>
  <si>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</si>
  <si>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</si>
  <si>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</si>
  <si>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</si>
  <si>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</si>
  <si>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</si>
  <si>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</si>
  <si>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</si>
  <si>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</si>
  <si>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</si>
  <si>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</si>
  <si>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</si>
  <si>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</si>
  <si>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</si>
  <si>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</si>
  <si>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</si>
  <si>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</si>
  <si>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</si>
  <si>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</si>
  <si>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</si>
  <si>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</si>
  <si>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</si>
  <si>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</si>
  <si>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</si>
  <si>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</si>
  <si>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</si>
  <si>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</si>
  <si>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</si>
  <si>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</si>
  <si>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</si>
  <si>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</si>
  <si>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</si>
  <si>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</si>
  <si>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</si>
  <si>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</si>
  <si>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</si>
  <si>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</si>
  <si>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</si>
  <si>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</si>
  <si>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</si>
  <si>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</si>
  <si>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</si>
  <si>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</si>
  <si>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</si>
  <si>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</si>
  <si>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</si>
  <si>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</si>
  <si>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</si>
  <si>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</si>
  <si>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</si>
  <si>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</si>
  <si>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</si>
  <si>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</si>
  <si>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</si>
  <si>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</si>
  <si>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</si>
  <si>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</si>
  <si>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</si>
  <si>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</si>
  <si>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</si>
  <si>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</si>
  <si>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</si>
  <si>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</si>
  <si>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</si>
  <si>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</si>
  <si>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</si>
  <si>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</si>
  <si>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</si>
  <si>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</si>
  <si>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</si>
  <si>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</si>
  <si>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</si>
  <si>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</si>
  <si>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</si>
  <si>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</si>
  <si>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</si>
  <si>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</si>
  <si>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</si>
  <si>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</si>
  <si>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</si>
  <si>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</si>
  <si>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</si>
  <si>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</si>
  <si>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</si>
  <si>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</si>
  <si>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</si>
  <si>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</si>
  <si>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</si>
  <si>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</si>
  <si>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</si>
  <si>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</si>
  <si>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</si>
  <si>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</si>
  <si>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</si>
  <si>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</si>
  <si>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</si>
  <si>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</si>
  <si>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</si>
  <si>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</si>
  <si>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</si>
  <si>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</si>
  <si>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</si>
  <si>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</si>
  <si>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</si>
  <si>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</si>
  <si>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</si>
  <si>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</si>
  <si>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</si>
  <si>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</si>
  <si>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</si>
  <si>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</si>
  <si>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</si>
  <si>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</si>
  <si>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</si>
  <si>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</si>
  <si>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</si>
  <si>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</si>
  <si>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</si>
  <si>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</si>
  <si>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</si>
  <si>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</si>
  <si>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</si>
  <si>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</si>
  <si>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</si>
  <si>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</si>
  <si>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</si>
  <si>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</si>
  <si>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</si>
  <si>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</si>
  <si>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</si>
  <si>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</si>
  <si>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</si>
  <si>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</si>
  <si>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</si>
  <si>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</si>
  <si>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</si>
  <si>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</si>
  <si>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</si>
  <si>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</si>
  <si>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</si>
  <si>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</si>
  <si>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</si>
  <si>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</si>
  <si>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</si>
  <si>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</si>
  <si>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</si>
  <si>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</si>
  <si>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</si>
  <si>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</si>
  <si>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</si>
  <si>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</si>
  <si>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</si>
  <si>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</si>
  <si>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</si>
  <si>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</si>
  <si>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</si>
  <si>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</si>
  <si>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</si>
  <si>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</si>
  <si>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</si>
  <si>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</si>
  <si>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</si>
  <si>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</si>
  <si>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</si>
  <si>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</si>
  <si>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</si>
  <si>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</si>
  <si>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</si>
  <si>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</si>
  <si>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</si>
  <si>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</si>
  <si>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</si>
  <si>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</si>
  <si>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</si>
  <si>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</si>
  <si>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</si>
  <si>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</si>
  <si>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</si>
  <si>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</si>
  <si>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</si>
  <si>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</si>
  <si>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</si>
  <si>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</si>
  <si>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</si>
  <si>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</si>
  <si>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</si>
  <si>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</si>
  <si>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</si>
  <si>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</si>
  <si>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</si>
  <si>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</si>
  <si>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</si>
  <si>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</si>
  <si>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</si>
  <si>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</si>
  <si>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</si>
  <si>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</si>
  <si>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</si>
  <si>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</si>
  <si>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</si>
  <si>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</si>
  <si>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</si>
  <si>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</si>
  <si>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</si>
  <si>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</si>
  <si>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</si>
  <si>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</si>
  <si>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</si>
  <si>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</si>
  <si>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</si>
  <si>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</si>
  <si>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</si>
  <si>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</si>
  <si>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</si>
  <si>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</si>
  <si>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</si>
  <si>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</si>
  <si>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</si>
  <si>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</si>
  <si>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</si>
  <si>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</si>
  <si>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</si>
  <si>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</si>
  <si>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</si>
  <si>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</si>
  <si>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</si>
  <si>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</si>
  <si>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</si>
  <si>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</si>
  <si>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</si>
  <si>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</si>
  <si>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</si>
  <si>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</si>
  <si>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</si>
  <si>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</si>
  <si>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</si>
  <si>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</si>
  <si>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</si>
  <si>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</si>
  <si>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</si>
  <si>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</si>
  <si>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</si>
  <si>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</si>
  <si>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</si>
  <si>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</si>
  <si>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</si>
  <si>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</si>
  <si>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</si>
  <si>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</si>
  <si>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</si>
  <si>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</si>
  <si>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</si>
  <si>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</si>
  <si>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</si>
  <si>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</si>
  <si>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</si>
  <si>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</si>
  <si>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</si>
  <si>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</si>
  <si>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</si>
  <si>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</si>
  <si>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</si>
  <si>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</si>
  <si>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</si>
  <si>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</si>
  <si>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</si>
  <si>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</si>
  <si>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</si>
  <si>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</si>
  <si>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</si>
  <si>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</si>
  <si>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</si>
  <si>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</si>
  <si>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</si>
  <si>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</si>
  <si>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</si>
  <si>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</si>
  <si>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</si>
  <si>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</si>
  <si>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</si>
  <si>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</si>
  <si>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</si>
  <si>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</si>
  <si>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</si>
  <si>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</si>
  <si>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</si>
  <si>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</si>
  <si>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</si>
  <si>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</si>
  <si>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</si>
  <si>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</si>
  <si>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</si>
  <si>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</si>
  <si>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</si>
  <si>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</si>
  <si>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</si>
  <si>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</si>
  <si>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</si>
  <si>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</si>
  <si>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</si>
  <si>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</si>
  <si>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</si>
  <si>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</si>
  <si>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</si>
  <si>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</si>
  <si>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</si>
  <si>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</si>
  <si>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</si>
  <si>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</si>
  <si>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</si>
  <si>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</si>
  <si>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</si>
  <si>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</si>
  <si>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</si>
  <si>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</si>
  <si>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</si>
  <si>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</si>
  <si>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</si>
  <si>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</si>
  <si>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</si>
  <si>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</si>
  <si>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</si>
  <si>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</si>
  <si>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</si>
  <si>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</si>
  <si>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</si>
  <si>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</si>
  <si>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</si>
  <si>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</si>
  <si>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</si>
  <si>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</si>
  <si>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</si>
  <si>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</si>
  <si>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</si>
  <si>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</si>
  <si>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</si>
  <si>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</si>
  <si>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</si>
  <si>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</si>
  <si>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</si>
  <si>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</si>
  <si>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</si>
  <si>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</si>
  <si>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</si>
  <si>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</si>
  <si>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</si>
  <si>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</si>
  <si>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</si>
  <si>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</si>
  <si>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</si>
  <si>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</si>
  <si>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</si>
  <si>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</si>
  <si>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</si>
  <si>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</si>
  <si>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</si>
  <si>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</si>
  <si>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</si>
  <si>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</si>
  <si>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</si>
  <si>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</si>
  <si>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</si>
  <si>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</si>
  <si>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</si>
  <si>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</si>
  <si>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</si>
  <si>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</si>
  <si>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</si>
  <si>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</si>
  <si>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</si>
  <si>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</si>
  <si>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</si>
  <si>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</si>
  <si>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</si>
  <si>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</si>
  <si>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</si>
  <si>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</si>
  <si>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</si>
  <si>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</si>
  <si>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</si>
  <si>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</si>
  <si>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</si>
  <si>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</si>
  <si>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</si>
  <si>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</si>
  <si>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</si>
  <si>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</si>
  <si>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</si>
  <si>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</si>
  <si>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</si>
  <si>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</si>
  <si>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</si>
  <si>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</si>
  <si>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</si>
  <si>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</si>
  <si>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</si>
  <si>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</si>
  <si>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</si>
  <si>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</si>
  <si>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</si>
  <si>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</si>
  <si>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</si>
  <si>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</si>
  <si>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</si>
  <si>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</si>
  <si>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</si>
  <si>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</si>
  <si>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</si>
  <si>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</si>
  <si>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</si>
  <si>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</si>
  <si>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</si>
  <si>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</si>
  <si>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</si>
  <si>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</si>
  <si>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</si>
  <si>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</si>
  <si>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</si>
  <si>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</si>
  <si>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</si>
  <si>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</si>
  <si>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</si>
  <si>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</si>
  <si>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</si>
  <si>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</si>
  <si>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</si>
  <si>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</si>
  <si>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</si>
  <si>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</si>
  <si>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</si>
  <si>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</si>
  <si>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</si>
  <si>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</si>
  <si>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</si>
  <si>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</si>
  <si>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</si>
  <si>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</si>
  <si>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</si>
  <si>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</si>
  <si>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</si>
  <si>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</si>
  <si>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</si>
  <si>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</si>
  <si>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</si>
  <si>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</si>
  <si>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</si>
  <si>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</si>
  <si>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</si>
  <si>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</si>
  <si>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</si>
  <si>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</si>
  <si>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</si>
  <si>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</si>
  <si>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</si>
  <si>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</si>
  <si>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</si>
  <si>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</si>
  <si>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</si>
  <si>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</si>
  <si>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</si>
  <si>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</si>
  <si>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</si>
  <si>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</si>
  <si>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</si>
  <si>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</si>
  <si>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</si>
  <si>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</si>
  <si>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</si>
  <si>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</si>
  <si>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</si>
  <si>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</si>
  <si>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</si>
  <si>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</si>
  <si>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</si>
  <si>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</si>
  <si>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</si>
  <si>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</si>
  <si>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</si>
  <si>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</si>
  <si>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</si>
  <si>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</si>
  <si>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</si>
  <si>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</si>
  <si>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</si>
  <si>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Average Donation</t>
  </si>
  <si>
    <t>Number of Backers</t>
  </si>
  <si>
    <t xml:space="preserve"> goal 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</si>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</sst>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1-CE4F-AD79-20362D2BBD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E1-CE4F-AD79-20362D2BBD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E1-CE4F-AD79-20362D2BB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669152"/>
        <c:axId val="364671152"/>
      </c:lineChart>
      <c:catAx>
        <c:axId val="3646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71152"/>
        <c:crosses val="autoZero"/>
        <c:auto val="1"/>
        <c:lblAlgn val="ctr"/>
        <c:lblOffset val="100"/>
        <c:noMultiLvlLbl val="0"/>
      </c:catAx>
      <c:valAx>
        <c:axId val="3646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Goals'!$B$18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Goals'!$B$19:$B$30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1-C740-91F8-DDDB7B04B178}"/>
            </c:ext>
          </c:extLst>
        </c:ser>
        <c:ser>
          <c:idx val="1"/>
          <c:order val="1"/>
          <c:tx>
            <c:strRef>
              <c:f>'Outcomes Based On Goals'!$C$18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Goals'!$C$19:$C$30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1-C740-91F8-DDDB7B04B178}"/>
            </c:ext>
          </c:extLst>
        </c:ser>
        <c:ser>
          <c:idx val="2"/>
          <c:order val="2"/>
          <c:tx>
            <c:strRef>
              <c:f>'Outcomes Based On Goals'!$D$18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Goals'!$D$19:$D$30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1-C740-91F8-DDDB7B04B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716304"/>
        <c:axId val="364161024"/>
      </c:lineChart>
      <c:catAx>
        <c:axId val="3647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61024"/>
        <c:crosses val="autoZero"/>
        <c:auto val="1"/>
        <c:lblAlgn val="ctr"/>
        <c:lblOffset val="100"/>
        <c:noMultiLvlLbl val="0"/>
      </c:catAx>
      <c:valAx>
        <c:axId val="3641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D-2643-9439-5906D94873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E-B14E-9EAA-0050787057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E-B14E-9EAA-0050787057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E-B14E-9EAA-005078705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228352"/>
        <c:axId val="774144784"/>
      </c:barChart>
      <c:catAx>
        <c:axId val="7742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144784"/>
        <c:crosses val="autoZero"/>
        <c:auto val="1"/>
        <c:lblAlgn val="ctr"/>
        <c:lblOffset val="100"/>
        <c:noMultiLvlLbl val="0"/>
      </c:catAx>
      <c:valAx>
        <c:axId val="774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03690944881889"/>
          <c:y val="7.407407407407407E-2"/>
          <c:w val="0.77676066272965882"/>
          <c:h val="0.64445282881306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2-F74E-9B7B-24119E5B2E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9-0A43-A283-B41FD6888A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9-0A43-A283-B41FD688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1802304"/>
        <c:axId val="821803952"/>
      </c:barChart>
      <c:catAx>
        <c:axId val="8218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03952"/>
        <c:crosses val="autoZero"/>
        <c:auto val="1"/>
        <c:lblAlgn val="ctr"/>
        <c:lblOffset val="100"/>
        <c:noMultiLvlLbl val="0"/>
      </c:catAx>
      <c:valAx>
        <c:axId val="8218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0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5.5555555555555552E-2"/>
          <c:w val="0.6834857830271216"/>
          <c:h val="0.84171296296296294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A-874C-B505-C709F5B1B5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B-264A-9235-62BFB80451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B-264A-9235-62BFB80451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B-264A-9235-62BFB8045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48240"/>
        <c:axId val="330994848"/>
      </c:lineChart>
      <c:catAx>
        <c:axId val="3388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94848"/>
        <c:crosses val="autoZero"/>
        <c:auto val="1"/>
        <c:lblAlgn val="ctr"/>
        <c:lblOffset val="100"/>
        <c:noMultiLvlLbl val="0"/>
      </c:catAx>
      <c:valAx>
        <c:axId val="3309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24483559346748324"/>
          <c:w val="0.19005599300087492"/>
          <c:h val="0.315884004082823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C06AAC9-FD34-0647-9B77-1510DACA69C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CEFAE1-9577-4D49-B997-B5C50F4B05E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1823D9-A3C2-D54F-82D1-DDEB8AA6C9D0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12</xdr:row>
      <xdr:rowOff>50800</xdr:rowOff>
    </xdr:from>
    <xdr:to>
      <xdr:col>12</xdr:col>
      <xdr:colOff>793750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90A4D-768C-5A4A-805B-A4BC8AE78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5</xdr:col>
      <xdr:colOff>1339850</xdr:colOff>
      <xdr:row>34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33EB5E-424B-7046-8DC7-41E6ED362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95B41A-04F2-B342-BE02-62F2612BA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69D7ED-E2CB-6748-8C3B-110C7434A9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1333500</xdr:colOff>
      <xdr:row>12</xdr:row>
      <xdr:rowOff>63500</xdr:rowOff>
    </xdr:from>
    <xdr:to>
      <xdr:col>10</xdr:col>
      <xdr:colOff>63500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D652D-23F7-D345-A587-FB3ED8B5D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1041400</xdr:colOff>
      <xdr:row>7</xdr:row>
      <xdr:rowOff>88900</xdr:rowOff>
    </xdr:from>
    <xdr:to>
      <xdr:col>13</xdr:col>
      <xdr:colOff>114300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D317-A360-1045-B4DA-AC4CDC8D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7</xdr:row>
      <xdr:rowOff>114300</xdr:rowOff>
    </xdr:from>
    <xdr:to>
      <xdr:col>13</xdr:col>
      <xdr:colOff>342900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B269C-B921-624D-9E77-20C43004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, John C." refreshedDate="44369.80511296296" createdVersion="7" refreshedVersion="7" minRefreshableVersion="3" recordCount="4114" xr:uid="{3F584BD0-642E-314E-AB51-27827B9290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, John C." refreshedDate="44369.850082523146" createdVersion="7" refreshedVersion="7" minRefreshableVersion="3" recordCount="4114" xr:uid="{8B6B4F13-22B8-AD45-9538-465F59781A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, John C." refreshedDate="44370.455116203702" createdVersion="7" refreshedVersion="7" minRefreshableVersion="3" recordCount="4114" xr:uid="{FBAAC857-6573-714F-B392-09D648AC3A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6B643-9F69-5341-BC13-8D053F857DB7}" name="PivotTable10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60786-9413-1340-9DA5-9B6E94768057}" name="PivotTable5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B5638-B3D4-D24D-BEC8-914FEBA2BF26}" name="PivotTable6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A174A-470A-3746-9B33-20C421959186}" name="PivotTable8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customWidth="1"/>
    <col min="16" max="16" width="25.6640625" customWidth="1"/>
    <col min="17" max="17" width="41.1640625" customWidth="1"/>
    <col min="18" max="18" width="20.83203125" customWidth="1"/>
    <col min="19" max="19" width="25.5" style="17" customWidth="1"/>
    <col min="20" max="20" width="24.832031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49BADE3E-F543-E741-866B-EF6AEC7CBC28}"/>
  <conditionalFormatting sqref="F1:F1048576">
    <cfRule type="containsText" dxfId="7" priority="5" operator="containsText" text="live">
      <formula>NOT(ISERROR(SEARCH("live",F1)))</formula>
    </cfRule>
    <cfRule type="containsText" dxfId="6" priority="4" operator="containsText" text="successful">
      <formula>NOT(ISERROR(SEARCH("successful",F1)))</formula>
    </cfRule>
    <cfRule type="cellIs" dxfId="5" priority="3" operator="equal">
      <formula>"failed"</formula>
    </cfRule>
    <cfRule type="containsText" dxfId="4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B0F2-6152-2446-A490-181AD0A940CD}">
  <dimension ref="A1:E18"/>
  <sheetViews>
    <sheetView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2AE5-805C-3643-AD91-BFB244C7BB28}">
  <dimension ref="A1:H30"/>
  <sheetViews>
    <sheetView tabSelected="1" workbookViewId="0">
      <selection activeCell="J26" sqref="J26"/>
    </sheetView>
  </sheetViews>
  <sheetFormatPr baseColWidth="10" defaultRowHeight="15" x14ac:dyDescent="0.2"/>
  <cols>
    <col min="1" max="1" width="20.1640625" customWidth="1"/>
    <col min="2" max="2" width="15" customWidth="1"/>
    <col min="3" max="3" width="13.83203125" customWidth="1"/>
    <col min="4" max="4" width="15.33203125" customWidth="1"/>
    <col min="5" max="5" width="13.5" customWidth="1"/>
    <col min="6" max="6" width="19.6640625" customWidth="1"/>
    <col min="7" max="7" width="14.33203125" customWidth="1"/>
    <col min="8" max="8" width="20.33203125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79">
        <f>IFERROR(B2/E2,0)</f>
        <v>0.75806451612903225</v>
      </c>
      <c r="G2" s="79">
        <f>IFERROR( C2/E2,0)</f>
        <v>0.24193548387096775</v>
      </c>
      <c r="H2" s="79">
        <f>IFERROR(D2/E2,0)</f>
        <v>0</v>
      </c>
    </row>
    <row r="3" spans="1:8" x14ac:dyDescent="0.2">
      <c r="A3" t="s">
        <v>8408</v>
      </c>
      <c r="B3">
        <f>COUNTIFS(Kickstarter!$D:$D, "&gt;=1000", Kickstarter!$D:$D,"&lt;4999", Kickstarter!$F:$F, "successful", Kickstarter!$R:$R, "plays")</f>
        <v>387</v>
      </c>
      <c r="C3">
        <f>COUNTIFS(Kickstarter!$D:$D, "&gt;=1000", Kickstarter!$D:$D,"&lt;4999", Kickstarter!$F:$F, "failed", Kickstarter!$R:$R, "plays")</f>
        <v>146</v>
      </c>
      <c r="D3">
        <f>COUNTIFS(Kickstarter!$D:$D, "&gt;=1000", Kickstarter!$D:$D,"&lt;4999", Kickstarter!$F:$F, "canceled", Kickstarter!$R:$R, "plays")</f>
        <v>0</v>
      </c>
      <c r="E3">
        <f t="shared" ref="E3:E13" si="0">SUM(B3:D3)</f>
        <v>533</v>
      </c>
      <c r="F3" s="79">
        <f t="shared" ref="F3:F13" si="1">IFERROR(B3/E3,0)</f>
        <v>0.726078799249531</v>
      </c>
      <c r="G3" s="79">
        <f t="shared" ref="G3:G13" si="2">IFERROR( C3/E3,0)</f>
        <v>0.27392120075046905</v>
      </c>
      <c r="H3" s="79">
        <f t="shared" ref="H3:H13" si="3">IFERROR(D3/E3,0)</f>
        <v>0</v>
      </c>
    </row>
    <row r="4" spans="1:8" x14ac:dyDescent="0.2">
      <c r="A4" t="s">
        <v>8409</v>
      </c>
      <c r="B4">
        <f>COUNTIFS(Kickstarter!$D:$D, "&gt;=5000", Kickstarter!$D:$D,"&lt;9999", Kickstarter!$F:$F, "successful", Kickstarter!$R:$R, "plays")</f>
        <v>93</v>
      </c>
      <c r="C4">
        <f>COUNTIFS(Kickstarter!$D:$D, "&gt;=5000", Kickstarter!$D:$D,"&lt;9999", Kickstarter!$F:$F, "failed", Kickstarter!$R:$R, "plays")</f>
        <v>76</v>
      </c>
      <c r="D4">
        <f>COUNTIFS(Kickstarter!$D:$D, "&gt;=5000", Kickstarter!$D:$D,"&lt;9999", Kickstarter!$F:$F, "canceled", Kickstarter!$R:$R, "plays")</f>
        <v>0</v>
      </c>
      <c r="E4">
        <f t="shared" si="0"/>
        <v>169</v>
      </c>
      <c r="F4" s="79">
        <f t="shared" si="1"/>
        <v>0.55029585798816572</v>
      </c>
      <c r="G4" s="79">
        <f t="shared" si="2"/>
        <v>0.44970414201183434</v>
      </c>
      <c r="H4" s="79">
        <f t="shared" si="3"/>
        <v>0</v>
      </c>
    </row>
    <row r="5" spans="1:8" x14ac:dyDescent="0.2">
      <c r="A5" t="s">
        <v>8410</v>
      </c>
      <c r="B5">
        <f>COUNTIFS(Kickstarter!$D:$D, "&gt;=10000", Kickstarter!$D:$D,"&lt;14999", Kickstarter!$F:$F, "successful", Kickstarter!$R:$R, "plays")</f>
        <v>39</v>
      </c>
      <c r="C5">
        <f>COUNTIFS(Kickstarter!$D:$D, "&gt;=10000", Kickstarter!$D:$D,"&lt;14999", Kickstarter!$F:$F, "failed", Kickstarter!$R:$R, "plays")</f>
        <v>33</v>
      </c>
      <c r="D5">
        <f>COUNTIFS(Kickstarter!$D:$D, "&gt;=10000", Kickstarter!$D:$D,"&lt;14999", Kickstarter!$F:$F, "canceled", Kickstarter!$R:$R, "plays")</f>
        <v>0</v>
      </c>
      <c r="E5">
        <f t="shared" si="0"/>
        <v>72</v>
      </c>
      <c r="F5" s="79">
        <f t="shared" si="1"/>
        <v>0.54166666666666663</v>
      </c>
      <c r="G5" s="79">
        <f t="shared" si="2"/>
        <v>0.45833333333333331</v>
      </c>
      <c r="H5" s="79">
        <f t="shared" si="3"/>
        <v>0</v>
      </c>
    </row>
    <row r="6" spans="1:8" x14ac:dyDescent="0.2">
      <c r="A6" t="s">
        <v>8411</v>
      </c>
      <c r="B6">
        <f>COUNTIFS(Kickstarter!$D:$D, "&gt;=15000", Kickstarter!$D:$D,"&lt;19999", Kickstarter!$F:$F, "successful", Kickstarter!$R:$R, "plays")</f>
        <v>12</v>
      </c>
      <c r="C6">
        <f>COUNTIFS(Kickstarter!$D:$D, "&gt;=15000", Kickstarter!$D:$D,"&lt;19999", Kickstarter!$F:$F, "failed", Kickstarter!$R:$R, "plays")</f>
        <v>12</v>
      </c>
      <c r="D6">
        <f>COUNTIFS(Kickstarter!$D:$D, "&gt;=15000", Kickstarter!$D:$D,"&lt;19999", Kickstarter!$F:$F, "canceled", Kickstarter!$R:$R, "plays")</f>
        <v>0</v>
      </c>
      <c r="E6">
        <f t="shared" si="0"/>
        <v>24</v>
      </c>
      <c r="F6" s="79">
        <f t="shared" si="1"/>
        <v>0.5</v>
      </c>
      <c r="G6" s="79">
        <f t="shared" si="2"/>
        <v>0.5</v>
      </c>
      <c r="H6" s="79">
        <f t="shared" si="3"/>
        <v>0</v>
      </c>
    </row>
    <row r="7" spans="1:8" x14ac:dyDescent="0.2">
      <c r="A7" t="s">
        <v>8418</v>
      </c>
      <c r="B7">
        <f>COUNTIFS(Kickstarter!$D:$D, "&gt;=20000", Kickstarter!$D:$D,"&lt;24999", Kickstarter!$F:$F, "successful", Kickstarter!$R:$R, "plays")</f>
        <v>9</v>
      </c>
      <c r="C7">
        <f>COUNTIFS(Kickstarter!$D:$D, "&gt;=20000", Kickstarter!$D:$D,"&lt;24999", Kickstarter!$F:$F, "failed", Kickstarter!$R:$R, "plays")</f>
        <v>11</v>
      </c>
      <c r="D7">
        <f>COUNTIFS(Kickstarter!$D:$D, "&gt;=20000", Kickstarter!$D:$D,"&lt;24999", Kickstarter!$F:$F, "canceled", Kickstarter!$R:$R, "plays")</f>
        <v>0</v>
      </c>
      <c r="E7">
        <f t="shared" si="0"/>
        <v>20</v>
      </c>
      <c r="F7" s="79">
        <f t="shared" si="1"/>
        <v>0.45</v>
      </c>
      <c r="G7" s="79">
        <f t="shared" si="2"/>
        <v>0.55000000000000004</v>
      </c>
      <c r="H7" s="79">
        <f t="shared" si="3"/>
        <v>0</v>
      </c>
    </row>
    <row r="8" spans="1:8" x14ac:dyDescent="0.2">
      <c r="A8" t="s">
        <v>8412</v>
      </c>
      <c r="B8">
        <f>COUNTIFS(Kickstarter!$D:$D, "&gt;=25000", Kickstarter!$D:$D,"&lt;29999", Kickstarter!$F:$F, "successful", Kickstarter!$R:$R, "plays")</f>
        <v>1</v>
      </c>
      <c r="C8">
        <f>COUNTIFS(Kickstarter!$D:$D, "&gt;=25000", Kickstarter!$D:$D,"&lt;29999", Kickstarter!$F:$F, "failed", Kickstarter!$R:$R, "plays")</f>
        <v>4</v>
      </c>
      <c r="D8">
        <f>COUNTIFS(Kickstarter!$D:$D, "&gt;=25000", Kickstarter!$D:$D,"&lt;29999", Kickstarter!$F:$F, "canceled", Kickstarter!$R:$R, "plays")</f>
        <v>0</v>
      </c>
      <c r="E8">
        <f t="shared" si="0"/>
        <v>5</v>
      </c>
      <c r="F8" s="79">
        <f t="shared" si="1"/>
        <v>0.2</v>
      </c>
      <c r="G8" s="79">
        <f t="shared" si="2"/>
        <v>0.8</v>
      </c>
      <c r="H8" s="79">
        <f t="shared" si="3"/>
        <v>0</v>
      </c>
    </row>
    <row r="9" spans="1:8" x14ac:dyDescent="0.2">
      <c r="A9" t="s">
        <v>8413</v>
      </c>
      <c r="B9">
        <f>COUNTIFS(Kickstarter!$D:$D, "&gt;=30000", Kickstarter!$D:$D,"&lt;34999", Kickstarter!$F:$F, "successful", Kickstarter!$R:$R, "plays")</f>
        <v>3</v>
      </c>
      <c r="C9">
        <f>COUNTIFS(Kickstarter!$D:$D, "&gt;=30000", Kickstarter!$D:$D,"&lt;34999", Kickstarter!$F:$F, "failed", Kickstarter!$R:$R, "plays")</f>
        <v>8</v>
      </c>
      <c r="D9">
        <f>COUNTIFS(Kickstarter!$D:$D, "&gt;=30000", Kickstarter!$D:$D,"&lt;34999", Kickstarter!$F:$F, "canceled", Kickstarter!$R:$R, "plays")</f>
        <v>0</v>
      </c>
      <c r="E9">
        <f t="shared" si="0"/>
        <v>11</v>
      </c>
      <c r="F9" s="79">
        <f t="shared" si="1"/>
        <v>0.27272727272727271</v>
      </c>
      <c r="G9" s="79">
        <f t="shared" si="2"/>
        <v>0.72727272727272729</v>
      </c>
      <c r="H9" s="79">
        <f t="shared" si="3"/>
        <v>0</v>
      </c>
    </row>
    <row r="10" spans="1:8" x14ac:dyDescent="0.2">
      <c r="A10" t="s">
        <v>8414</v>
      </c>
      <c r="B10">
        <f>COUNTIFS(Kickstarter!$D:$D, "&gt;=35000", Kickstarter!$D:$D,"&lt;39999", Kickstarter!$F:$F, "successful", Kickstarter!$R:$R, "plays")</f>
        <v>4</v>
      </c>
      <c r="C10">
        <f>COUNTIFS(Kickstarter!$D:$D, "&gt;=35000", Kickstarter!$D:$D,"&lt;39999", Kickstarter!$F:$F, "failed", Kickstarter!$R:$R, "plays")</f>
        <v>2</v>
      </c>
      <c r="D10">
        <f>COUNTIFS(Kickstarter!$D:$D, "&gt;=35000", Kickstarter!$D:$D,"&lt;39999", Kickstarter!$F:$F, "canceled", Kickstarter!$R:$R, "plays")</f>
        <v>0</v>
      </c>
      <c r="E10">
        <f t="shared" si="0"/>
        <v>6</v>
      </c>
      <c r="F10" s="79">
        <f t="shared" si="1"/>
        <v>0.66666666666666663</v>
      </c>
      <c r="G10" s="79">
        <f t="shared" si="2"/>
        <v>0.33333333333333331</v>
      </c>
      <c r="H10" s="79">
        <f t="shared" si="3"/>
        <v>0</v>
      </c>
    </row>
    <row r="11" spans="1:8" x14ac:dyDescent="0.2">
      <c r="A11" t="s">
        <v>8415</v>
      </c>
      <c r="B11">
        <f>COUNTIFS(Kickstarter!$D:$D, "&gt;=40000", Kickstarter!$D:$D,"&lt;44999", Kickstarter!$F:$F, "successful", Kickstarter!$R:$R, "plays")</f>
        <v>2</v>
      </c>
      <c r="C11">
        <f>COUNTIFS(Kickstarter!$D:$D, "&gt;=40000", Kickstarter!$D:$D,"&lt;44999", Kickstarter!$F:$F, "failed", Kickstarter!$R:$R, "plays")</f>
        <v>1</v>
      </c>
      <c r="D11">
        <f>COUNTIFS(Kickstarter!$D:$D, "&gt;=40000", Kickstarter!$D:$D,"&lt;44999", Kickstarter!$F:$F, "canceled", Kickstarter!$R:$R, "plays")</f>
        <v>0</v>
      </c>
      <c r="E11">
        <f t="shared" si="0"/>
        <v>3</v>
      </c>
      <c r="F11" s="79">
        <f t="shared" si="1"/>
        <v>0.66666666666666663</v>
      </c>
      <c r="G11" s="79">
        <f t="shared" si="2"/>
        <v>0.33333333333333331</v>
      </c>
      <c r="H11" s="79">
        <f t="shared" si="3"/>
        <v>0</v>
      </c>
    </row>
    <row r="12" spans="1:8" x14ac:dyDescent="0.2">
      <c r="A12" t="s">
        <v>8416</v>
      </c>
      <c r="B12">
        <f>COUNTIFS(Kickstarter!$D:$D, "&gt;=45000", Kickstarter!$D:$D,"&lt;49999", Kickstarter!$F:$F, "successful", Kickstarter!$R:$R, "plays")</f>
        <v>0</v>
      </c>
      <c r="C12">
        <f>COUNTIFS(Kickstarter!$D:$D, "&gt;=45000", Kickstarter!$D:$D,"&lt;49999", Kickstarter!$F:$F, "failed", Kickstarter!$R:$R, "plays")</f>
        <v>1</v>
      </c>
      <c r="D12">
        <f>COUNTIFS(Kickstarter!$D:$D, "&gt;=45000", Kickstarter!$D:$D,"&lt;49999", Kickstarter!$F:$F, "canceled", Kickstarter!$R:$R, "plays")</f>
        <v>0</v>
      </c>
      <c r="E12">
        <f t="shared" si="0"/>
        <v>1</v>
      </c>
      <c r="F12" s="79">
        <f t="shared" si="1"/>
        <v>0</v>
      </c>
      <c r="G12" s="79">
        <f t="shared" si="2"/>
        <v>1</v>
      </c>
      <c r="H12" s="79">
        <f t="shared" si="3"/>
        <v>0</v>
      </c>
    </row>
    <row r="13" spans="1:8" x14ac:dyDescent="0.2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79">
        <f t="shared" si="1"/>
        <v>0.125</v>
      </c>
      <c r="G13" s="79">
        <f t="shared" si="2"/>
        <v>0.875</v>
      </c>
      <c r="H13" s="79">
        <f t="shared" si="3"/>
        <v>0</v>
      </c>
    </row>
    <row r="18" spans="1:4" x14ac:dyDescent="0.2">
      <c r="A18" t="s">
        <v>8382</v>
      </c>
      <c r="B18" t="s">
        <v>8404</v>
      </c>
      <c r="C18" t="s">
        <v>8405</v>
      </c>
      <c r="D18" t="s">
        <v>8406</v>
      </c>
    </row>
    <row r="19" spans="1:4" x14ac:dyDescent="0.2">
      <c r="A19" t="s">
        <v>8407</v>
      </c>
      <c r="B19" s="79" cm="1">
        <f t="array" ref="B19:B30">F2:F13</f>
        <v>0.75806451612903225</v>
      </c>
      <c r="C19" s="79" cm="1">
        <f t="array" ref="C19:C30">G2:G13</f>
        <v>0.24193548387096775</v>
      </c>
      <c r="D19" s="79" cm="1">
        <f t="array" ref="D19:D30">H2:H13</f>
        <v>0</v>
      </c>
    </row>
    <row r="20" spans="1:4" x14ac:dyDescent="0.2">
      <c r="A20" t="s">
        <v>8408</v>
      </c>
      <c r="B20" s="79">
        <v>0.726078799249531</v>
      </c>
      <c r="C20" s="79">
        <v>0.27392120075046905</v>
      </c>
      <c r="D20" s="79">
        <v>0</v>
      </c>
    </row>
    <row r="21" spans="1:4" x14ac:dyDescent="0.2">
      <c r="A21" t="s">
        <v>8409</v>
      </c>
      <c r="B21" s="79">
        <v>0.55029585798816572</v>
      </c>
      <c r="C21" s="79">
        <v>0.44970414201183434</v>
      </c>
      <c r="D21" s="79">
        <v>0</v>
      </c>
    </row>
    <row r="22" spans="1:4" x14ac:dyDescent="0.2">
      <c r="A22" t="s">
        <v>8410</v>
      </c>
      <c r="B22" s="79">
        <v>0.54166666666666663</v>
      </c>
      <c r="C22" s="79">
        <v>0.45833333333333331</v>
      </c>
      <c r="D22" s="79">
        <v>0</v>
      </c>
    </row>
    <row r="23" spans="1:4" x14ac:dyDescent="0.2">
      <c r="A23" t="s">
        <v>8411</v>
      </c>
      <c r="B23" s="79">
        <v>0.5</v>
      </c>
      <c r="C23" s="79">
        <v>0.5</v>
      </c>
      <c r="D23" s="79">
        <v>0</v>
      </c>
    </row>
    <row r="24" spans="1:4" x14ac:dyDescent="0.2">
      <c r="A24" t="s">
        <v>8418</v>
      </c>
      <c r="B24" s="79">
        <v>0.45</v>
      </c>
      <c r="C24" s="79">
        <v>0.55000000000000004</v>
      </c>
      <c r="D24" s="79">
        <v>0</v>
      </c>
    </row>
    <row r="25" spans="1:4" x14ac:dyDescent="0.2">
      <c r="A25" t="s">
        <v>8412</v>
      </c>
      <c r="B25" s="79">
        <v>0.2</v>
      </c>
      <c r="C25" s="79">
        <v>0.8</v>
      </c>
      <c r="D25" s="79">
        <v>0</v>
      </c>
    </row>
    <row r="26" spans="1:4" x14ac:dyDescent="0.2">
      <c r="A26" t="s">
        <v>8413</v>
      </c>
      <c r="B26" s="79">
        <v>0.27272727272727271</v>
      </c>
      <c r="C26" s="79">
        <v>0.72727272727272729</v>
      </c>
      <c r="D26" s="79">
        <v>0</v>
      </c>
    </row>
    <row r="27" spans="1:4" x14ac:dyDescent="0.2">
      <c r="A27" t="s">
        <v>8414</v>
      </c>
      <c r="B27" s="79">
        <v>0.66666666666666663</v>
      </c>
      <c r="C27" s="79">
        <v>0.33333333333333331</v>
      </c>
      <c r="D27" s="79">
        <v>0</v>
      </c>
    </row>
    <row r="28" spans="1:4" x14ac:dyDescent="0.2">
      <c r="A28" t="s">
        <v>8415</v>
      </c>
      <c r="B28" s="79">
        <v>0.66666666666666663</v>
      </c>
      <c r="C28" s="79">
        <v>0.33333333333333331</v>
      </c>
      <c r="D28" s="79">
        <v>0</v>
      </c>
    </row>
    <row r="29" spans="1:4" x14ac:dyDescent="0.2">
      <c r="A29" t="s">
        <v>8416</v>
      </c>
      <c r="B29" s="79">
        <v>0</v>
      </c>
      <c r="C29" s="79">
        <v>1</v>
      </c>
      <c r="D29" s="79">
        <v>0</v>
      </c>
    </row>
    <row r="30" spans="1:4" x14ac:dyDescent="0.2">
      <c r="A30" t="s">
        <v>8417</v>
      </c>
      <c r="B30" s="79">
        <v>0.125</v>
      </c>
      <c r="C30" s="79">
        <v>0.875</v>
      </c>
      <c r="D30" s="79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B856-C363-794A-8B3B-D014E8254E47}">
  <dimension ref="A1:T413"/>
  <sheetViews>
    <sheetView zoomScale="83" workbookViewId="0">
      <selection activeCell="AF8" sqref="AF8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D6DDD-68FB-8345-8075-F853FD29C25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0EBDD-50CA-1F40-835E-D0319A75E279}">
  <dimension ref="A1:C14"/>
  <sheetViews>
    <sheetView workbookViewId="0">
      <selection activeCell="G16" sqref="G16"/>
    </sheetView>
  </sheetViews>
  <sheetFormatPr baseColWidth="10" defaultRowHeight="15" x14ac:dyDescent="0.2"/>
  <cols>
    <col min="1" max="1" width="21.83203125" customWidth="1"/>
    <col min="2" max="2" width="20" bestFit="1" customWidth="1"/>
    <col min="3" max="3" width="21.832031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78">
        <f>AVERAGE('Successful US Kickstarters'!D:D)</f>
        <v>5048.8786407766993</v>
      </c>
      <c r="C2" s="78">
        <f>AVERAGE('Failed US Kickstarters'!D:D)</f>
        <v>10554.212</v>
      </c>
    </row>
    <row r="3" spans="1:3" x14ac:dyDescent="0.2">
      <c r="A3" t="s">
        <v>8390</v>
      </c>
      <c r="B3" s="78">
        <f>MEDIAN('Successful US Kickstarters'!D:D)</f>
        <v>3000</v>
      </c>
      <c r="C3" s="78">
        <f>MEDIAN('Failed US Kickstarters'!D:D)</f>
        <v>5000</v>
      </c>
    </row>
    <row r="4" spans="1:3" x14ac:dyDescent="0.2">
      <c r="A4" t="s">
        <v>8391</v>
      </c>
      <c r="B4" s="78">
        <f>_xlfn.STDEV.P('Successful US Kickstarters'!D:D)</f>
        <v>7748.7537726373303</v>
      </c>
      <c r="C4" s="78">
        <f>_xlfn.STDEV.P('Failed US Kickstarters'!D:D)</f>
        <v>21967.731061515115</v>
      </c>
    </row>
    <row r="5" spans="1:3" x14ac:dyDescent="0.2">
      <c r="A5" t="s">
        <v>8392</v>
      </c>
      <c r="B5" s="78">
        <f>_xlfn.QUARTILE.EXC('Successful US Kickstarters'!D:D, 3)</f>
        <v>5000</v>
      </c>
      <c r="C5" s="78">
        <f>_xlfn.QUARTILE.EXC('Failed US Kickstarters'!D:D, 3)</f>
        <v>10000</v>
      </c>
    </row>
    <row r="6" spans="1:3" x14ac:dyDescent="0.2">
      <c r="A6" t="s">
        <v>8393</v>
      </c>
      <c r="B6" s="78">
        <f>_xlfn.QUARTILE.EXC('Successful US Kickstarters'!D:D, 1)</f>
        <v>1500</v>
      </c>
      <c r="C6" s="78">
        <f>_xlfn.QUARTILE.EXC('Failed US Kickstarters'!D:D, 1)</f>
        <v>2000</v>
      </c>
    </row>
    <row r="7" spans="1:3" x14ac:dyDescent="0.2">
      <c r="A7" t="s">
        <v>8394</v>
      </c>
      <c r="B7" s="78">
        <f>B5-B6</f>
        <v>3500</v>
      </c>
      <c r="C7" s="78">
        <f>C5-C6</f>
        <v>8000</v>
      </c>
    </row>
    <row r="8" spans="1:3" x14ac:dyDescent="0.2">
      <c r="B8" s="78"/>
      <c r="C8" s="78"/>
    </row>
    <row r="9" spans="1:3" x14ac:dyDescent="0.2">
      <c r="A9" t="s">
        <v>8395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 x14ac:dyDescent="0.2">
      <c r="A10" t="s">
        <v>8396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t="s">
        <v>8391</v>
      </c>
      <c r="B11" s="78">
        <f>_xlfn.STDEV.P('Successful US Kickstarters'!E:E)</f>
        <v>8334.5731699164608</v>
      </c>
      <c r="C11" s="78">
        <f>_xlfn.STDEV.P('Failed US Kickstarters'!E:E)</f>
        <v>1330.5230280400915</v>
      </c>
    </row>
    <row r="12" spans="1:3" x14ac:dyDescent="0.2">
      <c r="A12" t="s">
        <v>8397</v>
      </c>
      <c r="B12" s="78">
        <f>_xlfn.QUARTILE.EXC('Successful US Kickstarters'!E:E, 3)</f>
        <v>5699</v>
      </c>
      <c r="C12" s="78">
        <f>_xlfn.QUARTILE.EXC('Failed US Kickstarters'!E:E, 3)</f>
        <v>501</v>
      </c>
    </row>
    <row r="13" spans="1:3" x14ac:dyDescent="0.2">
      <c r="A13" t="s">
        <v>8398</v>
      </c>
      <c r="B13" s="78">
        <f>_xlfn.QUARTILE.EXC('Successful US Kickstarters'!E:E, 1)</f>
        <v>1716.5074999999999</v>
      </c>
      <c r="C13" s="78">
        <f>_xlfn.QUARTILE.EXC('Failed US Kickstarters'!E:E, 1)</f>
        <v>9.25</v>
      </c>
    </row>
    <row r="14" spans="1:3" x14ac:dyDescent="0.2">
      <c r="A14" t="s">
        <v>8399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B469-14CF-9847-995F-6EE3AAFFCDAB}">
  <dimension ref="A1:F6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9EB5-F6FD-B14E-A9C0-323A9699BF3A}">
  <dimension ref="A1:E7"/>
  <sheetViews>
    <sheetView workbookViewId="0">
      <selection activeCell="H17" sqref="H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1742-0649-7E45-AAAB-E9019C89D03E}"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ECED-D98E-B14D-9F77-A5B4F897E794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30.6640625" customWidth="1"/>
    <col min="2" max="2" width="105.83203125" customWidth="1"/>
    <col min="5" max="5" width="15.5" customWidth="1"/>
    <col min="6" max="6" width="18.1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Miller, John C.</cp:lastModifiedBy>
  <dcterms:created xsi:type="dcterms:W3CDTF">2017-04-20T15:17:24Z</dcterms:created>
  <dcterms:modified xsi:type="dcterms:W3CDTF">2021-06-24T15:08:53Z</dcterms:modified>
</cp:coreProperties>
</file>