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4D1FA990-3880-43F4-A046-670F7A6267A0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Estimate parameters" sheetId="25" r:id="rId1"/>
    <sheet name="Case study 3" sheetId="28" r:id="rId2"/>
    <sheet name="Case study 4" sheetId="29" r:id="rId3"/>
  </sheets>
  <definedNames>
    <definedName name="Branded_Period">#REF!</definedName>
    <definedName name="Branded_Period_v2">'Case study 4'!$B$9</definedName>
    <definedName name="Cost_effectiveness_v2">'Case study 3'!$B$13</definedName>
    <definedName name="CostPerYr_Ezitimibe">'Estimate parameters'!$B$4</definedName>
    <definedName name="CostPerYr_PCSK9">'Estimate parameters'!$B$5</definedName>
    <definedName name="CostPerYr_PCSK9_Pop">'Estimate parameters'!$B$7</definedName>
    <definedName name="CostPerYr_Statin">'Estimate parameters'!$B$3</definedName>
    <definedName name="GenericPriceDrop_v2">'Case study 3'!$B$5</definedName>
    <definedName name="NextGen_CostPerYear">#REF!</definedName>
    <definedName name="NextGen_CostPerYear_Gen">#REF!</definedName>
    <definedName name="NextGen_CostPerYear_Gen_v2">'Case study 4'!$B$7</definedName>
    <definedName name="NextGen_CostPerYear_v2">'Case study 4'!$B$5</definedName>
    <definedName name="NextGen_QALYPerYear_FH">#REF!</definedName>
    <definedName name="NextGen_QALYPerYear_FH_v2" localSheetId="2">'Case study 4'!$B$3</definedName>
    <definedName name="NextGen_RelativeBenefitFactor">#REF!</definedName>
    <definedName name="NextGen_RelativeBenefitFactor_v2">'Case study 4'!$B$4</definedName>
    <definedName name="NextGen_RelativeCostFactor">#REF!</definedName>
    <definedName name="NextGen_RelativeCostFactor_v2">'Case study 4'!$B$6</definedName>
    <definedName name="NextGen_TimeHorizon">#REF!</definedName>
    <definedName name="NextGen_TimeHorizon_v2">'Case study 4'!$B$11</definedName>
    <definedName name="NextGen_Year_Generic">#REF!</definedName>
    <definedName name="NextGen_Year_Generic_v2">'Case study 4'!$B$10</definedName>
    <definedName name="NextGen_Year_Start">#REF!</definedName>
    <definedName name="NextGen_Year_Start_v2">'Case study 4'!$B$8</definedName>
    <definedName name="offset">#REF!</definedName>
    <definedName name="offset_v2">'Case study 3'!$B$9</definedName>
    <definedName name="PCSK9_CostPerYear">#REF!</definedName>
    <definedName name="PCSK9_CostPerYear_Gen">#REF!</definedName>
    <definedName name="PCSK9_CostPerYear_Gen_v2">'Case study 3'!$B$4</definedName>
    <definedName name="PCSK9_CostPerYear_v2">'Case study 3'!$B$3</definedName>
    <definedName name="PCSK9_QALYPerYear_FH">#REF!</definedName>
    <definedName name="PCSK9_QALYPerYear_FH_v2">'Case study 3'!$B$2</definedName>
    <definedName name="PopSize">'Estimate parameters'!$B$2</definedName>
    <definedName name="PopSize_Gen">#REF!</definedName>
    <definedName name="QALYsPerYr_PCSK9">'Estimate parameters'!$B$6</definedName>
    <definedName name="r_disc">'Estimate parameters'!$B$8</definedName>
    <definedName name="r_discount_v2">'Case study 3'!$B$8</definedName>
    <definedName name="Scale">'Estimate parameters'!$B$1</definedName>
    <definedName name="TimeHorizon">#REF!</definedName>
    <definedName name="TimeHorizon_v2">'Case study 3'!$B$10</definedName>
    <definedName name="Year_Generic">#REF!</definedName>
    <definedName name="Year_Generic_v2">'Case study 3'!$B$6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29" l="1"/>
  <c r="U7" i="29"/>
  <c r="G3" i="28"/>
  <c r="E2" i="28"/>
  <c r="F2" i="28"/>
  <c r="G2" i="28"/>
  <c r="B4" i="28"/>
  <c r="B7" i="29" s="1"/>
  <c r="H3" i="29"/>
  <c r="J3" i="29" s="1"/>
  <c r="B5" i="29"/>
  <c r="A58" i="29"/>
  <c r="A59" i="29" s="1"/>
  <c r="A60" i="29" s="1"/>
  <c r="A62" i="29" s="1"/>
  <c r="A63" i="29" s="1"/>
  <c r="A64" i="29" s="1"/>
  <c r="A65" i="29" s="1"/>
  <c r="A66" i="29" s="1"/>
  <c r="A67" i="29" s="1"/>
  <c r="A68" i="29" s="1"/>
  <c r="A69" i="29" s="1"/>
  <c r="A42" i="29"/>
  <c r="A43" i="29" s="1"/>
  <c r="A44" i="29" s="1"/>
  <c r="A46" i="29" s="1"/>
  <c r="A47" i="29" s="1"/>
  <c r="A48" i="29" s="1"/>
  <c r="A49" i="29" s="1"/>
  <c r="A50" i="29" s="1"/>
  <c r="A51" i="29" s="1"/>
  <c r="A52" i="29" s="1"/>
  <c r="A53" i="29" s="1"/>
  <c r="A25" i="29"/>
  <c r="A26" i="29" s="1"/>
  <c r="A27" i="29" s="1"/>
  <c r="A29" i="29" s="1"/>
  <c r="A30" i="29" s="1"/>
  <c r="A31" i="29" s="1"/>
  <c r="A32" i="29" s="1"/>
  <c r="A33" i="29" s="1"/>
  <c r="A34" i="29" s="1"/>
  <c r="A35" i="29" s="1"/>
  <c r="A36" i="29" s="1"/>
  <c r="W15" i="29"/>
  <c r="V15" i="29"/>
  <c r="U15" i="29"/>
  <c r="T15" i="29"/>
  <c r="W14" i="29"/>
  <c r="V14" i="29"/>
  <c r="T14" i="29"/>
  <c r="W13" i="29"/>
  <c r="V13" i="29"/>
  <c r="U13" i="29"/>
  <c r="T13" i="29"/>
  <c r="W12" i="29"/>
  <c r="V12" i="29"/>
  <c r="U12" i="29"/>
  <c r="T12" i="29"/>
  <c r="W11" i="29"/>
  <c r="V11" i="29"/>
  <c r="U11" i="29"/>
  <c r="T11" i="29"/>
  <c r="W10" i="29"/>
  <c r="V10" i="29"/>
  <c r="U10" i="29"/>
  <c r="T10" i="29"/>
  <c r="W9" i="29"/>
  <c r="V9" i="29"/>
  <c r="U9" i="29"/>
  <c r="T9" i="29"/>
  <c r="W8" i="29"/>
  <c r="V8" i="29"/>
  <c r="U8" i="29"/>
  <c r="T8" i="29"/>
  <c r="W7" i="29"/>
  <c r="V7" i="29"/>
  <c r="T7" i="29"/>
  <c r="W6" i="29"/>
  <c r="V6" i="29"/>
  <c r="U6" i="29"/>
  <c r="T6" i="29"/>
  <c r="W5" i="29"/>
  <c r="V5" i="29"/>
  <c r="U5" i="29"/>
  <c r="T5" i="29"/>
  <c r="W4" i="29"/>
  <c r="V4" i="29"/>
  <c r="U4" i="29"/>
  <c r="T4" i="29"/>
  <c r="S4" i="29"/>
  <c r="S5" i="29" s="1"/>
  <c r="S6" i="29" s="1"/>
  <c r="S8" i="29" s="1"/>
  <c r="S9" i="29" s="1"/>
  <c r="S10" i="29" s="1"/>
  <c r="S11" i="29" s="1"/>
  <c r="S12" i="29" s="1"/>
  <c r="S13" i="29" s="1"/>
  <c r="S14" i="29" s="1"/>
  <c r="S15" i="29" s="1"/>
  <c r="W3" i="29"/>
  <c r="V3" i="29"/>
  <c r="U3" i="29"/>
  <c r="T3" i="29"/>
  <c r="L2" i="29"/>
  <c r="K2" i="29"/>
  <c r="I2" i="29"/>
  <c r="H2" i="29"/>
  <c r="D3" i="28"/>
  <c r="F3" i="28" s="1"/>
  <c r="D4" i="28" l="1"/>
  <c r="H4" i="29"/>
  <c r="J4" i="29" s="1"/>
  <c r="E3" i="28"/>
  <c r="I4" i="29" s="1"/>
  <c r="H3" i="28"/>
  <c r="K4" i="29" s="1"/>
  <c r="O4" i="29" s="1"/>
  <c r="M4" i="29"/>
  <c r="I3" i="29"/>
  <c r="H2" i="28"/>
  <c r="E4" i="28" l="1"/>
  <c r="H5" i="29"/>
  <c r="J5" i="29" s="1"/>
  <c r="D5" i="28"/>
  <c r="G4" i="28"/>
  <c r="H4" i="28" s="1"/>
  <c r="K5" i="29" s="1"/>
  <c r="O5" i="29" s="1"/>
  <c r="F4" i="28"/>
  <c r="K3" i="29"/>
  <c r="O3" i="29" s="1"/>
  <c r="M3" i="29"/>
  <c r="J4" i="28"/>
  <c r="J3" i="28"/>
  <c r="J2" i="28"/>
  <c r="E5" i="28" l="1"/>
  <c r="G5" i="28"/>
  <c r="F5" i="28"/>
  <c r="H6" i="29"/>
  <c r="J6" i="29" s="1"/>
  <c r="D6" i="28"/>
  <c r="I5" i="29"/>
  <c r="M5" i="29" s="1"/>
  <c r="G6" i="28" l="1"/>
  <c r="F6" i="28"/>
  <c r="E6" i="28"/>
  <c r="H7" i="29"/>
  <c r="J7" i="29" s="1"/>
  <c r="D7" i="28"/>
  <c r="H5" i="28"/>
  <c r="I6" i="29"/>
  <c r="M6" i="29" s="1"/>
  <c r="B7" i="25"/>
  <c r="I7" i="29" l="1"/>
  <c r="K6" i="29"/>
  <c r="O6" i="29" s="1"/>
  <c r="J5" i="28"/>
  <c r="F7" i="28"/>
  <c r="E7" i="28"/>
  <c r="H8" i="29"/>
  <c r="J8" i="29" s="1"/>
  <c r="G7" i="28"/>
  <c r="H7" i="28" s="1"/>
  <c r="K8" i="29" s="1"/>
  <c r="O8" i="29" s="1"/>
  <c r="D8" i="28"/>
  <c r="H6" i="28"/>
  <c r="J7" i="28"/>
  <c r="N54" i="25"/>
  <c r="P10" i="25"/>
  <c r="Q10" i="25" s="1"/>
  <c r="O11" i="25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P68" i="25" s="1"/>
  <c r="Q68" i="25" s="1"/>
  <c r="F14" i="25"/>
  <c r="F13" i="25"/>
  <c r="J10" i="25"/>
  <c r="I11" i="25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J37" i="25" s="1"/>
  <c r="C14" i="25"/>
  <c r="D14" i="25" s="1"/>
  <c r="C13" i="25"/>
  <c r="D13" i="25" s="1"/>
  <c r="I8" i="29" l="1"/>
  <c r="M8" i="29" s="1"/>
  <c r="K7" i="29"/>
  <c r="O7" i="29" s="1"/>
  <c r="J6" i="28"/>
  <c r="J11" i="25"/>
  <c r="M7" i="29"/>
  <c r="H9" i="29"/>
  <c r="J9" i="29" s="1"/>
  <c r="E8" i="28"/>
  <c r="G8" i="28"/>
  <c r="H8" i="28" s="1"/>
  <c r="J8" i="28" s="1"/>
  <c r="F8" i="28"/>
  <c r="D9" i="28"/>
  <c r="K9" i="29"/>
  <c r="O9" i="29" s="1"/>
  <c r="P20" i="25"/>
  <c r="Q20" i="25" s="1"/>
  <c r="J35" i="25"/>
  <c r="J29" i="25"/>
  <c r="J23" i="25"/>
  <c r="J17" i="25"/>
  <c r="I38" i="25"/>
  <c r="J34" i="25"/>
  <c r="J28" i="25"/>
  <c r="J22" i="25"/>
  <c r="J16" i="25"/>
  <c r="J33" i="25"/>
  <c r="J27" i="25"/>
  <c r="J21" i="25"/>
  <c r="J15" i="25"/>
  <c r="K11" i="25"/>
  <c r="L11" i="25" s="1"/>
  <c r="J12" i="25"/>
  <c r="K12" i="25" s="1"/>
  <c r="L12" i="25" s="1"/>
  <c r="J32" i="25"/>
  <c r="J26" i="25"/>
  <c r="J20" i="25"/>
  <c r="J14" i="25"/>
  <c r="J31" i="25"/>
  <c r="J25" i="25"/>
  <c r="J19" i="25"/>
  <c r="J13" i="25"/>
  <c r="J36" i="25"/>
  <c r="J30" i="25"/>
  <c r="J24" i="25"/>
  <c r="J18" i="25"/>
  <c r="K10" i="25"/>
  <c r="L10" i="25" s="1"/>
  <c r="P31" i="25"/>
  <c r="Q31" i="25" s="1"/>
  <c r="P12" i="25"/>
  <c r="Q12" i="25" s="1"/>
  <c r="P32" i="25"/>
  <c r="Q32" i="25" s="1"/>
  <c r="P66" i="25"/>
  <c r="Q66" i="25" s="1"/>
  <c r="P49" i="25"/>
  <c r="Q49" i="25" s="1"/>
  <c r="P67" i="25"/>
  <c r="Q67" i="25" s="1"/>
  <c r="P56" i="25"/>
  <c r="Q56" i="25" s="1"/>
  <c r="P13" i="25"/>
  <c r="Q13" i="25" s="1"/>
  <c r="P38" i="25"/>
  <c r="Q38" i="25" s="1"/>
  <c r="P14" i="25"/>
  <c r="Q14" i="25" s="1"/>
  <c r="P48" i="25"/>
  <c r="Q48" i="25" s="1"/>
  <c r="P30" i="25"/>
  <c r="Q30" i="25" s="1"/>
  <c r="P50" i="25"/>
  <c r="Q50" i="25" s="1"/>
  <c r="P23" i="25"/>
  <c r="Q23" i="25" s="1"/>
  <c r="P41" i="25"/>
  <c r="Q41" i="25" s="1"/>
  <c r="P59" i="25"/>
  <c r="Q59" i="25" s="1"/>
  <c r="P24" i="25"/>
  <c r="Q24" i="25" s="1"/>
  <c r="P42" i="25"/>
  <c r="Q42" i="25" s="1"/>
  <c r="P60" i="25"/>
  <c r="Q60" i="25" s="1"/>
  <c r="P17" i="25"/>
  <c r="Q17" i="25" s="1"/>
  <c r="P25" i="25"/>
  <c r="Q25" i="25" s="1"/>
  <c r="P35" i="25"/>
  <c r="Q35" i="25" s="1"/>
  <c r="P43" i="25"/>
  <c r="Q43" i="25" s="1"/>
  <c r="P53" i="25"/>
  <c r="Q53" i="25" s="1"/>
  <c r="P61" i="25"/>
  <c r="Q61" i="25" s="1"/>
  <c r="P18" i="25"/>
  <c r="Q18" i="25" s="1"/>
  <c r="P26" i="25"/>
  <c r="Q26" i="25" s="1"/>
  <c r="P36" i="25"/>
  <c r="Q36" i="25" s="1"/>
  <c r="P44" i="25"/>
  <c r="Q44" i="25" s="1"/>
  <c r="P54" i="25"/>
  <c r="Q54" i="25" s="1"/>
  <c r="P62" i="25"/>
  <c r="Q62" i="25" s="1"/>
  <c r="P11" i="25"/>
  <c r="Q11" i="25" s="1"/>
  <c r="R11" i="25" s="1"/>
  <c r="P19" i="25"/>
  <c r="Q19" i="25" s="1"/>
  <c r="P29" i="25"/>
  <c r="Q29" i="25" s="1"/>
  <c r="P37" i="25"/>
  <c r="Q37" i="25" s="1"/>
  <c r="P47" i="25"/>
  <c r="Q47" i="25" s="1"/>
  <c r="P55" i="25"/>
  <c r="Q55" i="25" s="1"/>
  <c r="P65" i="25"/>
  <c r="Q65" i="25" s="1"/>
  <c r="P15" i="25"/>
  <c r="Q15" i="25" s="1"/>
  <c r="P21" i="25"/>
  <c r="Q21" i="25" s="1"/>
  <c r="P27" i="25"/>
  <c r="Q27" i="25" s="1"/>
  <c r="P33" i="25"/>
  <c r="Q33" i="25" s="1"/>
  <c r="P39" i="25"/>
  <c r="Q39" i="25" s="1"/>
  <c r="P45" i="25"/>
  <c r="Q45" i="25" s="1"/>
  <c r="P51" i="25"/>
  <c r="Q51" i="25" s="1"/>
  <c r="P57" i="25"/>
  <c r="Q57" i="25" s="1"/>
  <c r="P63" i="25"/>
  <c r="Q63" i="25" s="1"/>
  <c r="P16" i="25"/>
  <c r="Q16" i="25" s="1"/>
  <c r="P22" i="25"/>
  <c r="Q22" i="25" s="1"/>
  <c r="P28" i="25"/>
  <c r="Q28" i="25" s="1"/>
  <c r="P34" i="25"/>
  <c r="Q34" i="25" s="1"/>
  <c r="P40" i="25"/>
  <c r="Q40" i="25" s="1"/>
  <c r="P46" i="25"/>
  <c r="Q46" i="25" s="1"/>
  <c r="P52" i="25"/>
  <c r="Q52" i="25" s="1"/>
  <c r="P58" i="25"/>
  <c r="Q58" i="25" s="1"/>
  <c r="P64" i="25"/>
  <c r="Q64" i="25" s="1"/>
  <c r="R10" i="25"/>
  <c r="H10" i="29" l="1"/>
  <c r="J10" i="29" s="1"/>
  <c r="E9" i="28"/>
  <c r="G9" i="28"/>
  <c r="F9" i="28"/>
  <c r="D10" i="28"/>
  <c r="I9" i="29"/>
  <c r="M9" i="29" s="1"/>
  <c r="K26" i="25"/>
  <c r="K28" i="25"/>
  <c r="R13" i="25"/>
  <c r="K15" i="25"/>
  <c r="K30" i="25"/>
  <c r="J38" i="25"/>
  <c r="K38" i="25" s="1"/>
  <c r="I39" i="25"/>
  <c r="K21" i="25"/>
  <c r="K17" i="25"/>
  <c r="K36" i="25"/>
  <c r="K27" i="25"/>
  <c r="K16" i="25"/>
  <c r="K23" i="25"/>
  <c r="K20" i="25"/>
  <c r="K33" i="25"/>
  <c r="K22" i="25"/>
  <c r="K29" i="25"/>
  <c r="K13" i="25"/>
  <c r="K19" i="25"/>
  <c r="K25" i="25"/>
  <c r="K31" i="25"/>
  <c r="K37" i="25"/>
  <c r="K35" i="25"/>
  <c r="K18" i="25"/>
  <c r="K32" i="25"/>
  <c r="K34" i="25"/>
  <c r="K24" i="25"/>
  <c r="K14" i="25"/>
  <c r="R12" i="25"/>
  <c r="R14" i="25"/>
  <c r="R60" i="25"/>
  <c r="R18" i="25"/>
  <c r="R48" i="25"/>
  <c r="R66" i="25"/>
  <c r="R22" i="25"/>
  <c r="R62" i="25"/>
  <c r="R51" i="25"/>
  <c r="R41" i="25"/>
  <c r="R49" i="25"/>
  <c r="R16" i="25"/>
  <c r="R52" i="25"/>
  <c r="R24" i="25"/>
  <c r="R55" i="25"/>
  <c r="R27" i="25"/>
  <c r="R63" i="25"/>
  <c r="R53" i="25"/>
  <c r="R38" i="25"/>
  <c r="R28" i="25"/>
  <c r="R64" i="25"/>
  <c r="R23" i="25"/>
  <c r="R20" i="25"/>
  <c r="R43" i="25"/>
  <c r="R44" i="25"/>
  <c r="R39" i="25"/>
  <c r="R34" i="25"/>
  <c r="R29" i="25"/>
  <c r="R65" i="25"/>
  <c r="R42" i="25"/>
  <c r="R31" i="25"/>
  <c r="R56" i="25"/>
  <c r="R26" i="25"/>
  <c r="R21" i="25"/>
  <c r="R57" i="25"/>
  <c r="R47" i="25"/>
  <c r="R15" i="25"/>
  <c r="R32" i="25"/>
  <c r="R58" i="25"/>
  <c r="R17" i="25"/>
  <c r="R30" i="25"/>
  <c r="R67" i="25"/>
  <c r="R19" i="25"/>
  <c r="R33" i="25"/>
  <c r="R59" i="25"/>
  <c r="R36" i="25"/>
  <c r="R25" i="25"/>
  <c r="R61" i="25"/>
  <c r="R50" i="25"/>
  <c r="R45" i="25"/>
  <c r="R40" i="25"/>
  <c r="R35" i="25"/>
  <c r="R54" i="25"/>
  <c r="R37" i="25"/>
  <c r="R68" i="25"/>
  <c r="R46" i="25"/>
  <c r="L38" i="25" l="1"/>
  <c r="L13" i="25"/>
  <c r="L14" i="25"/>
  <c r="L29" i="25"/>
  <c r="L30" i="25"/>
  <c r="L15" i="25"/>
  <c r="L23" i="25"/>
  <c r="L18" i="25"/>
  <c r="L16" i="25"/>
  <c r="L24" i="25"/>
  <c r="L26" i="25"/>
  <c r="L35" i="25"/>
  <c r="L27" i="25"/>
  <c r="H11" i="29"/>
  <c r="J11" i="29" s="1"/>
  <c r="G10" i="28"/>
  <c r="F10" i="28"/>
  <c r="E10" i="28"/>
  <c r="D11" i="28"/>
  <c r="L34" i="25"/>
  <c r="L20" i="25"/>
  <c r="L32" i="25"/>
  <c r="L37" i="25"/>
  <c r="L36" i="25"/>
  <c r="I10" i="29"/>
  <c r="M10" i="29" s="1"/>
  <c r="L31" i="25"/>
  <c r="L17" i="25"/>
  <c r="L33" i="25"/>
  <c r="H9" i="28"/>
  <c r="L25" i="25"/>
  <c r="L21" i="25"/>
  <c r="L22" i="25"/>
  <c r="L28" i="25"/>
  <c r="L19" i="25"/>
  <c r="J39" i="25"/>
  <c r="I40" i="25"/>
  <c r="K39" i="25"/>
  <c r="F11" i="28" l="1"/>
  <c r="E11" i="28"/>
  <c r="G11" i="28"/>
  <c r="H11" i="28" s="1"/>
  <c r="K12" i="29" s="1"/>
  <c r="O12" i="29" s="1"/>
  <c r="H12" i="29"/>
  <c r="J12" i="29" s="1"/>
  <c r="D12" i="28"/>
  <c r="L39" i="25"/>
  <c r="I11" i="29"/>
  <c r="M11" i="29" s="1"/>
  <c r="K10" i="29"/>
  <c r="O10" i="29" s="1"/>
  <c r="J9" i="28"/>
  <c r="H10" i="28"/>
  <c r="J40" i="25"/>
  <c r="I41" i="25"/>
  <c r="I12" i="29" l="1"/>
  <c r="M12" i="29" s="1"/>
  <c r="E12" i="28"/>
  <c r="H13" i="29"/>
  <c r="J13" i="29" s="1"/>
  <c r="G12" i="28"/>
  <c r="F12" i="28"/>
  <c r="D13" i="28"/>
  <c r="J10" i="28"/>
  <c r="K11" i="29"/>
  <c r="O11" i="29" s="1"/>
  <c r="J11" i="28"/>
  <c r="I42" i="25"/>
  <c r="J41" i="25"/>
  <c r="K40" i="25"/>
  <c r="L40" i="25" l="1"/>
  <c r="E13" i="28"/>
  <c r="H14" i="29"/>
  <c r="J14" i="29" s="1"/>
  <c r="G13" i="28"/>
  <c r="F13" i="28"/>
  <c r="D14" i="28"/>
  <c r="H12" i="28"/>
  <c r="I13" i="29"/>
  <c r="M13" i="29" s="1"/>
  <c r="K41" i="25"/>
  <c r="J42" i="25"/>
  <c r="I43" i="25"/>
  <c r="G14" i="28" l="1"/>
  <c r="H15" i="29"/>
  <c r="J15" i="29" s="1"/>
  <c r="F14" i="28"/>
  <c r="E14" i="28"/>
  <c r="D15" i="28"/>
  <c r="I14" i="29"/>
  <c r="M14" i="29" s="1"/>
  <c r="H13" i="28"/>
  <c r="L41" i="25"/>
  <c r="J12" i="28"/>
  <c r="K13" i="29"/>
  <c r="O13" i="29" s="1"/>
  <c r="J43" i="25"/>
  <c r="K43" i="25" s="1"/>
  <c r="I44" i="25"/>
  <c r="K42" i="25"/>
  <c r="F15" i="28" l="1"/>
  <c r="G15" i="28"/>
  <c r="E15" i="28"/>
  <c r="H16" i="29"/>
  <c r="J16" i="29" s="1"/>
  <c r="D16" i="28"/>
  <c r="H14" i="28"/>
  <c r="L43" i="25"/>
  <c r="K14" i="29"/>
  <c r="O14" i="29" s="1"/>
  <c r="J13" i="28"/>
  <c r="L42" i="25"/>
  <c r="I15" i="29"/>
  <c r="J44" i="25"/>
  <c r="I45" i="25"/>
  <c r="K15" i="29" l="1"/>
  <c r="O15" i="29" s="1"/>
  <c r="J14" i="28"/>
  <c r="H17" i="29"/>
  <c r="J17" i="29" s="1"/>
  <c r="G16" i="28"/>
  <c r="F16" i="28"/>
  <c r="E16" i="28"/>
  <c r="D17" i="28"/>
  <c r="I16" i="29"/>
  <c r="M16" i="29" s="1"/>
  <c r="M15" i="29"/>
  <c r="H15" i="28"/>
  <c r="K16" i="29" s="1"/>
  <c r="O16" i="29" s="1"/>
  <c r="K44" i="25"/>
  <c r="J45" i="25"/>
  <c r="K45" i="25" s="1"/>
  <c r="I46" i="25"/>
  <c r="L45" i="25" l="1"/>
  <c r="J15" i="28"/>
  <c r="H16" i="28"/>
  <c r="K17" i="29" s="1"/>
  <c r="O17" i="29" s="1"/>
  <c r="E17" i="28"/>
  <c r="G17" i="28"/>
  <c r="F17" i="28"/>
  <c r="H18" i="29"/>
  <c r="J18" i="29" s="1"/>
  <c r="D18" i="28"/>
  <c r="L44" i="25"/>
  <c r="J16" i="28"/>
  <c r="I17" i="29"/>
  <c r="J46" i="25"/>
  <c r="K46" i="25" s="1"/>
  <c r="I47" i="25"/>
  <c r="L46" i="25" l="1"/>
  <c r="M17" i="29"/>
  <c r="H17" i="28"/>
  <c r="G18" i="28"/>
  <c r="F18" i="28"/>
  <c r="E18" i="28"/>
  <c r="H19" i="29"/>
  <c r="J19" i="29" s="1"/>
  <c r="D19" i="28"/>
  <c r="I18" i="29"/>
  <c r="M18" i="29" s="1"/>
  <c r="J47" i="25"/>
  <c r="K47" i="25" s="1"/>
  <c r="I48" i="25"/>
  <c r="L47" i="25" l="1"/>
  <c r="F19" i="28"/>
  <c r="E19" i="28"/>
  <c r="G19" i="28"/>
  <c r="H19" i="28" s="1"/>
  <c r="K20" i="29" s="1"/>
  <c r="O20" i="29" s="1"/>
  <c r="H20" i="29"/>
  <c r="J20" i="29" s="1"/>
  <c r="D20" i="28"/>
  <c r="H18" i="28"/>
  <c r="J17" i="28"/>
  <c r="K18" i="29"/>
  <c r="O18" i="29" s="1"/>
  <c r="I19" i="29"/>
  <c r="M19" i="29" s="1"/>
  <c r="J48" i="25"/>
  <c r="I49" i="25"/>
  <c r="I20" i="29" l="1"/>
  <c r="M20" i="29" s="1"/>
  <c r="E20" i="28"/>
  <c r="G20" i="28"/>
  <c r="F20" i="28"/>
  <c r="H21" i="29"/>
  <c r="J21" i="29" s="1"/>
  <c r="D21" i="28"/>
  <c r="K19" i="29"/>
  <c r="O19" i="29" s="1"/>
  <c r="J18" i="28"/>
  <c r="J19" i="28"/>
  <c r="I50" i="25"/>
  <c r="J49" i="25"/>
  <c r="K48" i="25"/>
  <c r="K49" i="25"/>
  <c r="L49" i="25" l="1"/>
  <c r="H22" i="29"/>
  <c r="J22" i="29" s="1"/>
  <c r="E21" i="28"/>
  <c r="G21" i="28"/>
  <c r="H21" i="28" s="1"/>
  <c r="K22" i="29" s="1"/>
  <c r="O22" i="29" s="1"/>
  <c r="F21" i="28"/>
  <c r="D22" i="28"/>
  <c r="H20" i="28"/>
  <c r="I21" i="29"/>
  <c r="M21" i="29" s="1"/>
  <c r="L48" i="25"/>
  <c r="J50" i="25"/>
  <c r="K50" i="25" s="1"/>
  <c r="I51" i="25"/>
  <c r="H23" i="29" l="1"/>
  <c r="J23" i="29" s="1"/>
  <c r="G22" i="28"/>
  <c r="F22" i="28"/>
  <c r="E22" i="28"/>
  <c r="D23" i="28"/>
  <c r="L50" i="25"/>
  <c r="K21" i="29"/>
  <c r="O21" i="29" s="1"/>
  <c r="J20" i="28"/>
  <c r="I22" i="29"/>
  <c r="M22" i="29" s="1"/>
  <c r="J21" i="28"/>
  <c r="J51" i="25"/>
  <c r="K51" i="25" s="1"/>
  <c r="I52" i="25"/>
  <c r="J52" i="25" s="1"/>
  <c r="K52" i="25" s="1"/>
  <c r="G13" i="25"/>
  <c r="L51" i="25" l="1"/>
  <c r="L52" i="25"/>
  <c r="G14" i="25"/>
  <c r="F23" i="28"/>
  <c r="E23" i="28"/>
  <c r="H24" i="29"/>
  <c r="J24" i="29" s="1"/>
  <c r="G23" i="28"/>
  <c r="H23" i="28" s="1"/>
  <c r="K24" i="29" s="1"/>
  <c r="D24" i="28"/>
  <c r="I23" i="29"/>
  <c r="M23" i="29" s="1"/>
  <c r="H22" i="28"/>
  <c r="J22" i="28" l="1"/>
  <c r="K23" i="29"/>
  <c r="O23" i="29" s="1"/>
  <c r="J23" i="28"/>
  <c r="B2" i="28"/>
  <c r="M11" i="25"/>
  <c r="M10" i="25"/>
  <c r="M12" i="25"/>
  <c r="M38" i="25"/>
  <c r="M23" i="25"/>
  <c r="M27" i="25"/>
  <c r="M24" i="25"/>
  <c r="M17" i="25"/>
  <c r="M37" i="25"/>
  <c r="M28" i="25"/>
  <c r="M26" i="25"/>
  <c r="M21" i="25"/>
  <c r="M35" i="25"/>
  <c r="M13" i="25"/>
  <c r="M18" i="25"/>
  <c r="M30" i="25"/>
  <c r="M36" i="25"/>
  <c r="M19" i="25"/>
  <c r="M29" i="25"/>
  <c r="M15" i="25"/>
  <c r="M22" i="25"/>
  <c r="M14" i="25"/>
  <c r="M16" i="25"/>
  <c r="M33" i="25"/>
  <c r="M20" i="25"/>
  <c r="M34" i="25"/>
  <c r="M31" i="25"/>
  <c r="M25" i="25"/>
  <c r="M32" i="25"/>
  <c r="M39" i="25"/>
  <c r="M40" i="25"/>
  <c r="M41" i="25"/>
  <c r="M42" i="25"/>
  <c r="M43" i="25"/>
  <c r="M45" i="25"/>
  <c r="M44" i="25"/>
  <c r="M46" i="25"/>
  <c r="M47" i="25"/>
  <c r="M49" i="25"/>
  <c r="M48" i="25"/>
  <c r="B6" i="25"/>
  <c r="M50" i="25"/>
  <c r="M52" i="25"/>
  <c r="I23" i="28"/>
  <c r="L24" i="29" s="1"/>
  <c r="I24" i="29"/>
  <c r="M24" i="29" s="1"/>
  <c r="O24" i="29" s="1"/>
  <c r="M51" i="25"/>
  <c r="H25" i="29"/>
  <c r="J25" i="29" s="1"/>
  <c r="E24" i="28"/>
  <c r="G24" i="28"/>
  <c r="F24" i="28"/>
  <c r="D25" i="28"/>
  <c r="B22" i="28" l="1"/>
  <c r="B3" i="29"/>
  <c r="I3" i="28"/>
  <c r="L4" i="29" s="1"/>
  <c r="P4" i="29" s="1"/>
  <c r="I2" i="28"/>
  <c r="I4" i="28"/>
  <c r="L5" i="29" s="1"/>
  <c r="P5" i="29" s="1"/>
  <c r="I5" i="28"/>
  <c r="L6" i="29" s="1"/>
  <c r="P6" i="29" s="1"/>
  <c r="I6" i="28"/>
  <c r="L7" i="29" s="1"/>
  <c r="P7" i="29" s="1"/>
  <c r="I7" i="28"/>
  <c r="L8" i="29" s="1"/>
  <c r="P8" i="29" s="1"/>
  <c r="I8" i="28"/>
  <c r="L9" i="29" s="1"/>
  <c r="P9" i="29" s="1"/>
  <c r="I9" i="28"/>
  <c r="L10" i="29" s="1"/>
  <c r="P10" i="29" s="1"/>
  <c r="I10" i="28"/>
  <c r="L11" i="29" s="1"/>
  <c r="P11" i="29" s="1"/>
  <c r="I11" i="28"/>
  <c r="L12" i="29" s="1"/>
  <c r="P12" i="29" s="1"/>
  <c r="I12" i="28"/>
  <c r="L13" i="29" s="1"/>
  <c r="P13" i="29" s="1"/>
  <c r="I13" i="28"/>
  <c r="L14" i="29" s="1"/>
  <c r="P14" i="29" s="1"/>
  <c r="I14" i="28"/>
  <c r="L15" i="29" s="1"/>
  <c r="P15" i="29" s="1"/>
  <c r="I15" i="28"/>
  <c r="L16" i="29" s="1"/>
  <c r="P16" i="29" s="1"/>
  <c r="I16" i="28"/>
  <c r="L17" i="29" s="1"/>
  <c r="P17" i="29" s="1"/>
  <c r="I17" i="28"/>
  <c r="L18" i="29" s="1"/>
  <c r="P18" i="29" s="1"/>
  <c r="I18" i="28"/>
  <c r="L19" i="29" s="1"/>
  <c r="P19" i="29" s="1"/>
  <c r="I19" i="28"/>
  <c r="L20" i="29" s="1"/>
  <c r="P20" i="29" s="1"/>
  <c r="I20" i="28"/>
  <c r="L21" i="29" s="1"/>
  <c r="P21" i="29" s="1"/>
  <c r="I21" i="28"/>
  <c r="L22" i="29" s="1"/>
  <c r="P22" i="29" s="1"/>
  <c r="I22" i="28"/>
  <c r="L23" i="29" s="1"/>
  <c r="H26" i="29"/>
  <c r="J26" i="29" s="1"/>
  <c r="G25" i="28"/>
  <c r="E25" i="28"/>
  <c r="F25" i="28"/>
  <c r="D26" i="28"/>
  <c r="H24" i="28"/>
  <c r="S17" i="25"/>
  <c r="S25" i="25"/>
  <c r="S22" i="25"/>
  <c r="S63" i="25"/>
  <c r="S60" i="25"/>
  <c r="S56" i="25"/>
  <c r="S27" i="25"/>
  <c r="S39" i="25"/>
  <c r="S54" i="25"/>
  <c r="S36" i="25"/>
  <c r="S52" i="25"/>
  <c r="S29" i="25"/>
  <c r="S10" i="25"/>
  <c r="S32" i="25"/>
  <c r="S64" i="25"/>
  <c r="S45" i="25"/>
  <c r="S19" i="25"/>
  <c r="S62" i="25"/>
  <c r="S65" i="25"/>
  <c r="S67" i="25"/>
  <c r="S58" i="25"/>
  <c r="S24" i="25"/>
  <c r="S51" i="25"/>
  <c r="S13" i="25"/>
  <c r="S26" i="25"/>
  <c r="S14" i="25"/>
  <c r="S21" i="25"/>
  <c r="S16" i="25"/>
  <c r="S33" i="25"/>
  <c r="S11" i="25"/>
  <c r="S34" i="25"/>
  <c r="S48" i="25"/>
  <c r="S46" i="25"/>
  <c r="S42" i="25"/>
  <c r="S20" i="25"/>
  <c r="S35" i="25"/>
  <c r="S30" i="25"/>
  <c r="S15" i="25"/>
  <c r="S53" i="25"/>
  <c r="S28" i="25"/>
  <c r="S57" i="25"/>
  <c r="S18" i="25"/>
  <c r="S68" i="25"/>
  <c r="S47" i="25"/>
  <c r="S61" i="25"/>
  <c r="S66" i="25"/>
  <c r="S49" i="25"/>
  <c r="S50" i="25"/>
  <c r="S37" i="25"/>
  <c r="S23" i="25"/>
  <c r="S31" i="25"/>
  <c r="S12" i="25"/>
  <c r="S38" i="25"/>
  <c r="S59" i="25"/>
  <c r="S43" i="25"/>
  <c r="S55" i="25"/>
  <c r="S41" i="25"/>
  <c r="S44" i="25"/>
  <c r="S40" i="25"/>
  <c r="I25" i="29"/>
  <c r="M25" i="29" s="1"/>
  <c r="I24" i="28"/>
  <c r="L25" i="29" s="1"/>
  <c r="J24" i="28" l="1"/>
  <c r="L24" i="28" s="1"/>
  <c r="K25" i="29"/>
  <c r="O25" i="29" s="1"/>
  <c r="H27" i="29"/>
  <c r="J27" i="29" s="1"/>
  <c r="G26" i="28"/>
  <c r="F26" i="28"/>
  <c r="E26" i="28"/>
  <c r="D27" i="28"/>
  <c r="I26" i="29"/>
  <c r="M26" i="29" s="1"/>
  <c r="I25" i="28"/>
  <c r="L26" i="29" s="1"/>
  <c r="T27" i="25"/>
  <c r="U27" i="25" s="1"/>
  <c r="T52" i="25"/>
  <c r="U52" i="25" s="1"/>
  <c r="T62" i="25"/>
  <c r="U62" i="25" s="1"/>
  <c r="T38" i="25"/>
  <c r="U38" i="25" s="1"/>
  <c r="T67" i="25"/>
  <c r="U67" i="25" s="1"/>
  <c r="T19" i="25"/>
  <c r="U19" i="25" s="1"/>
  <c r="T50" i="25"/>
  <c r="U50" i="25" s="1"/>
  <c r="T22" i="25"/>
  <c r="U22" i="25" s="1"/>
  <c r="T61" i="25"/>
  <c r="U61" i="25" s="1"/>
  <c r="T32" i="25"/>
  <c r="U32" i="25" s="1"/>
  <c r="T13" i="25"/>
  <c r="U13" i="25" s="1"/>
  <c r="T12" i="25"/>
  <c r="U12" i="25" s="1"/>
  <c r="T47" i="25"/>
  <c r="U47" i="25" s="1"/>
  <c r="T59" i="25"/>
  <c r="U59" i="25" s="1"/>
  <c r="T37" i="25"/>
  <c r="U37" i="25" s="1"/>
  <c r="T46" i="25"/>
  <c r="U46" i="25" s="1"/>
  <c r="T65" i="25"/>
  <c r="U65" i="25" s="1"/>
  <c r="T63" i="25"/>
  <c r="U63" i="25" s="1"/>
  <c r="T43" i="25"/>
  <c r="U43" i="25" s="1"/>
  <c r="T39" i="25"/>
  <c r="U39" i="25" s="1"/>
  <c r="T28" i="25"/>
  <c r="U28" i="25" s="1"/>
  <c r="T10" i="25"/>
  <c r="U10" i="25" s="1"/>
  <c r="T33" i="25"/>
  <c r="U33" i="25" s="1"/>
  <c r="T29" i="25"/>
  <c r="U29" i="25" s="1"/>
  <c r="T45" i="25"/>
  <c r="U45" i="25" s="1"/>
  <c r="T31" i="25"/>
  <c r="U31" i="25" s="1"/>
  <c r="T51" i="25"/>
  <c r="U51" i="25" s="1"/>
  <c r="T35" i="25"/>
  <c r="U35" i="25" s="1"/>
  <c r="T56" i="25"/>
  <c r="U56" i="25" s="1"/>
  <c r="T30" i="25"/>
  <c r="U30" i="25" s="1"/>
  <c r="T25" i="25"/>
  <c r="U25" i="25" s="1"/>
  <c r="T55" i="25"/>
  <c r="U55" i="25" s="1"/>
  <c r="T15" i="25"/>
  <c r="U15" i="25" s="1"/>
  <c r="T66" i="25"/>
  <c r="U66" i="25" s="1"/>
  <c r="T54" i="25"/>
  <c r="U54" i="25" s="1"/>
  <c r="T34" i="25"/>
  <c r="U34" i="25" s="1"/>
  <c r="T40" i="25"/>
  <c r="U40" i="25" s="1"/>
  <c r="T68" i="25"/>
  <c r="U68" i="25" s="1"/>
  <c r="T41" i="25"/>
  <c r="U41" i="25" s="1"/>
  <c r="T21" i="25"/>
  <c r="U21" i="25" s="1"/>
  <c r="T60" i="25"/>
  <c r="U60" i="25" s="1"/>
  <c r="T53" i="25"/>
  <c r="U53" i="25" s="1"/>
  <c r="T48" i="25"/>
  <c r="U48" i="25" s="1"/>
  <c r="T36" i="25"/>
  <c r="U36" i="25" s="1"/>
  <c r="T20" i="25"/>
  <c r="U20" i="25" s="1"/>
  <c r="T64" i="25"/>
  <c r="U64" i="25" s="1"/>
  <c r="T26" i="25"/>
  <c r="U26" i="25" s="1"/>
  <c r="T23" i="25"/>
  <c r="U23" i="25" s="1"/>
  <c r="T24" i="25"/>
  <c r="U24" i="25" s="1"/>
  <c r="T58" i="25"/>
  <c r="U58" i="25" s="1"/>
  <c r="T18" i="25"/>
  <c r="U18" i="25" s="1"/>
  <c r="T49" i="25"/>
  <c r="U49" i="25" s="1"/>
  <c r="T14" i="25"/>
  <c r="U14" i="25" s="1"/>
  <c r="T16" i="25"/>
  <c r="U16" i="25" s="1"/>
  <c r="T17" i="25"/>
  <c r="U17" i="25" s="1"/>
  <c r="T57" i="25"/>
  <c r="U57" i="25" s="1"/>
  <c r="T11" i="25"/>
  <c r="U11" i="25" s="1"/>
  <c r="T42" i="25"/>
  <c r="U42" i="25" s="1"/>
  <c r="T44" i="25"/>
  <c r="U44" i="25" s="1"/>
  <c r="H25" i="28"/>
  <c r="L3" i="29"/>
  <c r="P3" i="29" s="1"/>
  <c r="K9" i="28"/>
  <c r="L9" i="28" s="1"/>
  <c r="K4" i="28"/>
  <c r="L4" i="28" s="1"/>
  <c r="K5" i="28"/>
  <c r="L5" i="28" s="1"/>
  <c r="K8" i="28"/>
  <c r="L8" i="28" s="1"/>
  <c r="K3" i="28"/>
  <c r="L3" i="28" s="1"/>
  <c r="K2" i="28"/>
  <c r="L2" i="28" s="1"/>
  <c r="K6" i="28"/>
  <c r="L6" i="28" s="1"/>
  <c r="K10" i="28"/>
  <c r="L10" i="28" s="1"/>
  <c r="K7" i="28"/>
  <c r="L7" i="28" s="1"/>
  <c r="K12" i="28"/>
  <c r="L12" i="28" s="1"/>
  <c r="K11" i="28"/>
  <c r="L11" i="28" s="1"/>
  <c r="K13" i="28"/>
  <c r="L13" i="28" s="1"/>
  <c r="K14" i="28"/>
  <c r="L14" i="28" s="1"/>
  <c r="K15" i="28"/>
  <c r="L15" i="28" s="1"/>
  <c r="K16" i="28"/>
  <c r="L16" i="28" s="1"/>
  <c r="K17" i="28"/>
  <c r="L17" i="28" s="1"/>
  <c r="K18" i="28"/>
  <c r="L18" i="28" s="1"/>
  <c r="K19" i="28"/>
  <c r="L19" i="28" s="1"/>
  <c r="K20" i="28"/>
  <c r="L20" i="28" s="1"/>
  <c r="K21" i="28"/>
  <c r="L21" i="28" s="1"/>
  <c r="K22" i="28"/>
  <c r="L22" i="28" s="1"/>
  <c r="K23" i="28"/>
  <c r="L23" i="28" s="1"/>
  <c r="K24" i="28"/>
  <c r="N12" i="29"/>
  <c r="N24" i="29"/>
  <c r="P24" i="29" s="1"/>
  <c r="N22" i="29"/>
  <c r="N6" i="29"/>
  <c r="N5" i="29"/>
  <c r="N10" i="29"/>
  <c r="N25" i="29"/>
  <c r="P25" i="29" s="1"/>
  <c r="N13" i="29"/>
  <c r="N18" i="29"/>
  <c r="N11" i="29"/>
  <c r="N4" i="29"/>
  <c r="N23" i="29"/>
  <c r="P23" i="29" s="1"/>
  <c r="N16" i="29"/>
  <c r="N21" i="29"/>
  <c r="N19" i="29"/>
  <c r="N9" i="29"/>
  <c r="N3" i="29"/>
  <c r="N8" i="29"/>
  <c r="N14" i="29"/>
  <c r="N20" i="29"/>
  <c r="N26" i="29"/>
  <c r="N7" i="29"/>
  <c r="N15" i="29"/>
  <c r="N17" i="29"/>
  <c r="K25" i="28"/>
  <c r="J25" i="28" l="1"/>
  <c r="L25" i="28" s="1"/>
  <c r="K26" i="29"/>
  <c r="O26" i="29" s="1"/>
  <c r="P26" i="29"/>
  <c r="F27" i="28"/>
  <c r="E27" i="28"/>
  <c r="H28" i="29"/>
  <c r="J28" i="29" s="1"/>
  <c r="G27" i="28"/>
  <c r="D28" i="28"/>
  <c r="I27" i="29"/>
  <c r="I26" i="28"/>
  <c r="H26" i="28"/>
  <c r="E28" i="28" l="1"/>
  <c r="H29" i="29"/>
  <c r="J29" i="29" s="1"/>
  <c r="G28" i="28"/>
  <c r="H28" i="28" s="1"/>
  <c r="F28" i="28"/>
  <c r="D29" i="28"/>
  <c r="M27" i="29"/>
  <c r="N27" i="29"/>
  <c r="H27" i="28"/>
  <c r="K28" i="29" s="1"/>
  <c r="K27" i="29"/>
  <c r="O27" i="29" s="1"/>
  <c r="J26" i="28"/>
  <c r="L26" i="28" s="1"/>
  <c r="I28" i="29"/>
  <c r="I27" i="28"/>
  <c r="L28" i="29" s="1"/>
  <c r="L27" i="29"/>
  <c r="K26" i="28"/>
  <c r="K29" i="29"/>
  <c r="J28" i="28" l="1"/>
  <c r="E29" i="28"/>
  <c r="G29" i="28"/>
  <c r="F29" i="28"/>
  <c r="H30" i="29"/>
  <c r="J30" i="29" s="1"/>
  <c r="D30" i="28"/>
  <c r="P27" i="29"/>
  <c r="K27" i="28"/>
  <c r="M28" i="29"/>
  <c r="O28" i="29" s="1"/>
  <c r="N28" i="29"/>
  <c r="P28" i="29" s="1"/>
  <c r="I29" i="29"/>
  <c r="I28" i="28"/>
  <c r="J27" i="28"/>
  <c r="I30" i="29" l="1"/>
  <c r="I29" i="28"/>
  <c r="H29" i="28"/>
  <c r="M29" i="29"/>
  <c r="O29" i="29" s="1"/>
  <c r="N29" i="29"/>
  <c r="L27" i="28"/>
  <c r="G30" i="28"/>
  <c r="F30" i="28"/>
  <c r="E30" i="28"/>
  <c r="H31" i="29"/>
  <c r="J31" i="29" s="1"/>
  <c r="D31" i="28"/>
  <c r="L29" i="29"/>
  <c r="P29" i="29" s="1"/>
  <c r="K28" i="28"/>
  <c r="L28" i="28" s="1"/>
  <c r="J29" i="28" l="1"/>
  <c r="K30" i="29"/>
  <c r="O30" i="29" s="1"/>
  <c r="H30" i="28"/>
  <c r="K31" i="29" s="1"/>
  <c r="L30" i="29"/>
  <c r="P30" i="29" s="1"/>
  <c r="K29" i="28"/>
  <c r="I31" i="29"/>
  <c r="I30" i="28"/>
  <c r="M30" i="29"/>
  <c r="N30" i="29"/>
  <c r="F31" i="28"/>
  <c r="E31" i="28"/>
  <c r="G31" i="28"/>
  <c r="H32" i="29"/>
  <c r="J32" i="29" s="1"/>
  <c r="D32" i="28"/>
  <c r="L29" i="28" l="1"/>
  <c r="E32" i="28"/>
  <c r="H33" i="29"/>
  <c r="J33" i="29" s="1"/>
  <c r="G32" i="28"/>
  <c r="F32" i="28"/>
  <c r="D33" i="28"/>
  <c r="I32" i="29"/>
  <c r="I31" i="28"/>
  <c r="J30" i="28"/>
  <c r="L30" i="28" s="1"/>
  <c r="M31" i="29"/>
  <c r="O31" i="29" s="1"/>
  <c r="N31" i="29"/>
  <c r="H31" i="28"/>
  <c r="K32" i="29" s="1"/>
  <c r="L31" i="29"/>
  <c r="K30" i="28"/>
  <c r="J31" i="28" l="1"/>
  <c r="I32" i="28"/>
  <c r="L33" i="29" s="1"/>
  <c r="I33" i="29"/>
  <c r="K32" i="28"/>
  <c r="K31" i="28"/>
  <c r="L32" i="29"/>
  <c r="P32" i="29" s="1"/>
  <c r="M32" i="29"/>
  <c r="O32" i="29" s="1"/>
  <c r="N32" i="29"/>
  <c r="H34" i="29"/>
  <c r="J34" i="29" s="1"/>
  <c r="G33" i="28"/>
  <c r="H33" i="28" s="1"/>
  <c r="K34" i="29" s="1"/>
  <c r="E33" i="28"/>
  <c r="F33" i="28"/>
  <c r="D34" i="28"/>
  <c r="P31" i="29"/>
  <c r="H32" i="28"/>
  <c r="K33" i="29" s="1"/>
  <c r="M33" i="29" l="1"/>
  <c r="O33" i="29" s="1"/>
  <c r="N33" i="29"/>
  <c r="J33" i="28"/>
  <c r="P33" i="29"/>
  <c r="L31" i="28"/>
  <c r="H35" i="29"/>
  <c r="J35" i="29" s="1"/>
  <c r="G34" i="28"/>
  <c r="F34" i="28"/>
  <c r="E34" i="28"/>
  <c r="D35" i="28"/>
  <c r="J32" i="28"/>
  <c r="L32" i="28" s="1"/>
  <c r="I34" i="29"/>
  <c r="I33" i="28"/>
  <c r="L34" i="29" s="1"/>
  <c r="F35" i="28" l="1"/>
  <c r="G35" i="28"/>
  <c r="E35" i="28"/>
  <c r="H36" i="29"/>
  <c r="J36" i="29" s="1"/>
  <c r="D36" i="28"/>
  <c r="I35" i="29"/>
  <c r="I34" i="28"/>
  <c r="K33" i="28"/>
  <c r="L33" i="28" s="1"/>
  <c r="M34" i="29"/>
  <c r="O34" i="29" s="1"/>
  <c r="N34" i="29"/>
  <c r="P34" i="29" s="1"/>
  <c r="H34" i="28"/>
  <c r="E36" i="28" l="1"/>
  <c r="H37" i="29"/>
  <c r="J37" i="29" s="1"/>
  <c r="G36" i="28"/>
  <c r="F36" i="28"/>
  <c r="D37" i="28"/>
  <c r="I36" i="29"/>
  <c r="I35" i="28"/>
  <c r="L36" i="29" s="1"/>
  <c r="L35" i="29"/>
  <c r="P35" i="29" s="1"/>
  <c r="K34" i="28"/>
  <c r="K35" i="28"/>
  <c r="H35" i="28"/>
  <c r="M35" i="29"/>
  <c r="N35" i="29"/>
  <c r="J34" i="28"/>
  <c r="K35" i="29"/>
  <c r="O35" i="29" s="1"/>
  <c r="E37" i="28" l="1"/>
  <c r="H38" i="29"/>
  <c r="J38" i="29" s="1"/>
  <c r="G37" i="28"/>
  <c r="F37" i="28"/>
  <c r="D38" i="28"/>
  <c r="H36" i="28"/>
  <c r="K37" i="29" s="1"/>
  <c r="K36" i="29"/>
  <c r="O36" i="29" s="1"/>
  <c r="J35" i="28"/>
  <c r="L35" i="28" s="1"/>
  <c r="P36" i="29"/>
  <c r="I37" i="29"/>
  <c r="I36" i="28"/>
  <c r="L34" i="28"/>
  <c r="M36" i="29"/>
  <c r="N36" i="29"/>
  <c r="J36" i="28"/>
  <c r="M37" i="29" l="1"/>
  <c r="N37" i="29"/>
  <c r="O37" i="29"/>
  <c r="H39" i="29"/>
  <c r="J39" i="29" s="1"/>
  <c r="G38" i="28"/>
  <c r="F38" i="28"/>
  <c r="E38" i="28"/>
  <c r="D39" i="28"/>
  <c r="H37" i="28"/>
  <c r="I37" i="28"/>
  <c r="I38" i="29"/>
  <c r="L37" i="29"/>
  <c r="P37" i="29" s="1"/>
  <c r="K36" i="28"/>
  <c r="L36" i="28" s="1"/>
  <c r="H38" i="28" l="1"/>
  <c r="F39" i="28"/>
  <c r="E39" i="28"/>
  <c r="G39" i="28"/>
  <c r="H39" i="28" s="1"/>
  <c r="H40" i="29"/>
  <c r="J40" i="29" s="1"/>
  <c r="D40" i="28"/>
  <c r="N38" i="29"/>
  <c r="M38" i="29"/>
  <c r="K38" i="28"/>
  <c r="L38" i="29"/>
  <c r="P38" i="29" s="1"/>
  <c r="K37" i="28"/>
  <c r="K38" i="29"/>
  <c r="J37" i="28"/>
  <c r="I39" i="29"/>
  <c r="I38" i="28"/>
  <c r="L39" i="29" s="1"/>
  <c r="J39" i="28"/>
  <c r="K40" i="29"/>
  <c r="H41" i="29" l="1"/>
  <c r="J41" i="29" s="1"/>
  <c r="G40" i="28"/>
  <c r="F40" i="28"/>
  <c r="E40" i="28"/>
  <c r="D41" i="28"/>
  <c r="K39" i="28"/>
  <c r="L39" i="28" s="1"/>
  <c r="M39" i="29"/>
  <c r="N39" i="29"/>
  <c r="P39" i="29" s="1"/>
  <c r="I40" i="29"/>
  <c r="I39" i="28"/>
  <c r="L40" i="29" s="1"/>
  <c r="O38" i="29"/>
  <c r="L37" i="28"/>
  <c r="K39" i="29"/>
  <c r="J38" i="28"/>
  <c r="L38" i="28" s="1"/>
  <c r="E41" i="28" l="1"/>
  <c r="G41" i="28"/>
  <c r="F41" i="28"/>
  <c r="H42" i="29"/>
  <c r="J42" i="29" s="1"/>
  <c r="D42" i="28"/>
  <c r="I41" i="29"/>
  <c r="I40" i="28"/>
  <c r="M40" i="29"/>
  <c r="O40" i="29" s="1"/>
  <c r="N40" i="29"/>
  <c r="P40" i="29" s="1"/>
  <c r="O39" i="29"/>
  <c r="H40" i="28"/>
  <c r="G42" i="28" l="1"/>
  <c r="F42" i="28"/>
  <c r="E42" i="28"/>
  <c r="H43" i="29"/>
  <c r="J43" i="29" s="1"/>
  <c r="D43" i="28"/>
  <c r="H41" i="28"/>
  <c r="K42" i="29" s="1"/>
  <c r="I42" i="29"/>
  <c r="I41" i="28"/>
  <c r="L41" i="29"/>
  <c r="K40" i="28"/>
  <c r="M41" i="29"/>
  <c r="N41" i="29"/>
  <c r="K41" i="29"/>
  <c r="J40" i="28"/>
  <c r="M42" i="29" l="1"/>
  <c r="N42" i="29"/>
  <c r="O42" i="29"/>
  <c r="I43" i="29"/>
  <c r="I42" i="28"/>
  <c r="L43" i="29" s="1"/>
  <c r="H42" i="28"/>
  <c r="K43" i="29" s="1"/>
  <c r="F43" i="28"/>
  <c r="E43" i="28"/>
  <c r="G43" i="28"/>
  <c r="H43" i="28" s="1"/>
  <c r="H44" i="29"/>
  <c r="J44" i="29" s="1"/>
  <c r="D44" i="28"/>
  <c r="P41" i="29"/>
  <c r="L42" i="29"/>
  <c r="P42" i="29" s="1"/>
  <c r="K41" i="28"/>
  <c r="L40" i="28"/>
  <c r="O41" i="29"/>
  <c r="J41" i="28"/>
  <c r="L41" i="28" s="1"/>
  <c r="K44" i="29"/>
  <c r="J42" i="28" l="1"/>
  <c r="J43" i="28"/>
  <c r="O43" i="29"/>
  <c r="P43" i="29"/>
  <c r="E44" i="28"/>
  <c r="H45" i="29"/>
  <c r="J45" i="29" s="1"/>
  <c r="G44" i="28"/>
  <c r="F44" i="28"/>
  <c r="D45" i="28"/>
  <c r="I43" i="28"/>
  <c r="L44" i="29" s="1"/>
  <c r="I44" i="29"/>
  <c r="M43" i="29"/>
  <c r="N43" i="29"/>
  <c r="K42" i="28"/>
  <c r="H44" i="28" l="1"/>
  <c r="H46" i="29"/>
  <c r="J46" i="29" s="1"/>
  <c r="E45" i="28"/>
  <c r="G45" i="28"/>
  <c r="F45" i="28"/>
  <c r="D46" i="28"/>
  <c r="I45" i="29"/>
  <c r="I44" i="28"/>
  <c r="L42" i="28"/>
  <c r="K43" i="28"/>
  <c r="L43" i="28" s="1"/>
  <c r="N44" i="29"/>
  <c r="P44" i="29" s="1"/>
  <c r="M44" i="29"/>
  <c r="O44" i="29" s="1"/>
  <c r="L45" i="29" l="1"/>
  <c r="K44" i="28"/>
  <c r="H45" i="28"/>
  <c r="H47" i="29"/>
  <c r="J47" i="29" s="1"/>
  <c r="G46" i="28"/>
  <c r="F46" i="28"/>
  <c r="E46" i="28"/>
  <c r="D47" i="28"/>
  <c r="I46" i="29"/>
  <c r="I45" i="28"/>
  <c r="L46" i="29" s="1"/>
  <c r="M45" i="29"/>
  <c r="N45" i="29"/>
  <c r="J44" i="28"/>
  <c r="L44" i="28" s="1"/>
  <c r="K45" i="29"/>
  <c r="P45" i="29" l="1"/>
  <c r="I47" i="29"/>
  <c r="I46" i="28"/>
  <c r="L47" i="29" s="1"/>
  <c r="F47" i="28"/>
  <c r="G47" i="28"/>
  <c r="E47" i="28"/>
  <c r="H48" i="29"/>
  <c r="J48" i="29" s="1"/>
  <c r="D48" i="28"/>
  <c r="H46" i="28"/>
  <c r="K47" i="29" s="1"/>
  <c r="M46" i="29"/>
  <c r="N46" i="29"/>
  <c r="P46" i="29" s="1"/>
  <c r="K45" i="28"/>
  <c r="K46" i="29"/>
  <c r="J45" i="28"/>
  <c r="L45" i="28" s="1"/>
  <c r="O45" i="29"/>
  <c r="M47" i="29" l="1"/>
  <c r="N47" i="29"/>
  <c r="P47" i="29" s="1"/>
  <c r="H47" i="28"/>
  <c r="O47" i="29"/>
  <c r="K46" i="28"/>
  <c r="J46" i="28"/>
  <c r="L46" i="28" s="1"/>
  <c r="I48" i="29"/>
  <c r="I47" i="28"/>
  <c r="O46" i="29"/>
  <c r="H49" i="29"/>
  <c r="J49" i="29" s="1"/>
  <c r="E48" i="28"/>
  <c r="G48" i="28"/>
  <c r="F48" i="28"/>
  <c r="D49" i="28"/>
  <c r="J47" i="28" l="1"/>
  <c r="K48" i="29"/>
  <c r="E49" i="28"/>
  <c r="H50" i="29"/>
  <c r="J50" i="29" s="1"/>
  <c r="G49" i="28"/>
  <c r="F49" i="28"/>
  <c r="D50" i="28"/>
  <c r="L48" i="29"/>
  <c r="P48" i="29" s="1"/>
  <c r="K47" i="28"/>
  <c r="H48" i="28"/>
  <c r="K49" i="29" s="1"/>
  <c r="M48" i="29"/>
  <c r="N48" i="29"/>
  <c r="J48" i="28"/>
  <c r="I49" i="29"/>
  <c r="I48" i="28"/>
  <c r="H49" i="28" l="1"/>
  <c r="I49" i="28"/>
  <c r="I50" i="29"/>
  <c r="M49" i="29"/>
  <c r="O49" i="29" s="1"/>
  <c r="N49" i="29"/>
  <c r="K48" i="28"/>
  <c r="L48" i="28" s="1"/>
  <c r="L49" i="29"/>
  <c r="O48" i="29"/>
  <c r="G50" i="28"/>
  <c r="H51" i="29"/>
  <c r="J51" i="29" s="1"/>
  <c r="F50" i="28"/>
  <c r="E50" i="28"/>
  <c r="D51" i="28"/>
  <c r="L47" i="28"/>
  <c r="F51" i="28" l="1"/>
  <c r="E51" i="28"/>
  <c r="G51" i="28"/>
  <c r="H51" i="28" s="1"/>
  <c r="H52" i="29"/>
  <c r="J52" i="29" s="1"/>
  <c r="D52" i="28"/>
  <c r="N50" i="29"/>
  <c r="M50" i="29"/>
  <c r="P49" i="29"/>
  <c r="L50" i="29"/>
  <c r="P50" i="29" s="1"/>
  <c r="K49" i="28"/>
  <c r="K50" i="29"/>
  <c r="J49" i="28"/>
  <c r="L49" i="28" s="1"/>
  <c r="I51" i="29"/>
  <c r="I50" i="28"/>
  <c r="H50" i="28"/>
  <c r="J51" i="28"/>
  <c r="K52" i="29"/>
  <c r="H53" i="29" l="1"/>
  <c r="J53" i="29" s="1"/>
  <c r="E52" i="28"/>
  <c r="G52" i="28"/>
  <c r="H52" i="28" s="1"/>
  <c r="J52" i="28" s="1"/>
  <c r="F52" i="28"/>
  <c r="D53" i="28"/>
  <c r="I52" i="29"/>
  <c r="I51" i="28"/>
  <c r="J50" i="28"/>
  <c r="L50" i="28" s="1"/>
  <c r="K51" i="29"/>
  <c r="O51" i="29" s="1"/>
  <c r="O50" i="29"/>
  <c r="K50" i="28"/>
  <c r="L51" i="29"/>
  <c r="M51" i="29"/>
  <c r="N51" i="29"/>
  <c r="K51" i="28" l="1"/>
  <c r="L51" i="28" s="1"/>
  <c r="L52" i="29"/>
  <c r="M52" i="29"/>
  <c r="O52" i="29" s="1"/>
  <c r="N52" i="29"/>
  <c r="I53" i="29"/>
  <c r="I52" i="28"/>
  <c r="K53" i="29"/>
  <c r="G53" i="28"/>
  <c r="H53" i="28" s="1"/>
  <c r="K54" i="29" s="1"/>
  <c r="E53" i="28"/>
  <c r="F53" i="28"/>
  <c r="H54" i="29"/>
  <c r="J54" i="29" s="1"/>
  <c r="D54" i="28"/>
  <c r="P51" i="29"/>
  <c r="M53" i="29" l="1"/>
  <c r="N53" i="29"/>
  <c r="O53" i="29"/>
  <c r="L53" i="29"/>
  <c r="P53" i="29" s="1"/>
  <c r="K52" i="28"/>
  <c r="L52" i="28" s="1"/>
  <c r="K53" i="28"/>
  <c r="J53" i="28"/>
  <c r="L53" i="28" s="1"/>
  <c r="G54" i="28"/>
  <c r="F54" i="28"/>
  <c r="E54" i="28"/>
  <c r="H55" i="29"/>
  <c r="J55" i="29" s="1"/>
  <c r="D55" i="28"/>
  <c r="P52" i="29"/>
  <c r="I54" i="29"/>
  <c r="I53" i="28"/>
  <c r="L54" i="29" s="1"/>
  <c r="M54" i="29" l="1"/>
  <c r="O54" i="29" s="1"/>
  <c r="N54" i="29"/>
  <c r="P54" i="29" s="1"/>
  <c r="F55" i="28"/>
  <c r="E55" i="28"/>
  <c r="H56" i="29"/>
  <c r="J56" i="29" s="1"/>
  <c r="G55" i="28"/>
  <c r="D56" i="28"/>
  <c r="I55" i="29"/>
  <c r="I54" i="28"/>
  <c r="H54" i="28"/>
  <c r="I56" i="29" l="1"/>
  <c r="I55" i="28"/>
  <c r="J54" i="28"/>
  <c r="K55" i="29"/>
  <c r="L55" i="29"/>
  <c r="P55" i="29" s="1"/>
  <c r="K54" i="28"/>
  <c r="E56" i="28"/>
  <c r="H57" i="29"/>
  <c r="J57" i="29" s="1"/>
  <c r="G56" i="28"/>
  <c r="H56" i="28" s="1"/>
  <c r="J56" i="28" s="1"/>
  <c r="F56" i="28"/>
  <c r="D57" i="28"/>
  <c r="J55" i="28"/>
  <c r="M55" i="29"/>
  <c r="N55" i="29"/>
  <c r="H55" i="28"/>
  <c r="K56" i="29" s="1"/>
  <c r="H58" i="29" l="1"/>
  <c r="J58" i="29" s="1"/>
  <c r="E57" i="28"/>
  <c r="G57" i="28"/>
  <c r="H57" i="28" s="1"/>
  <c r="J57" i="28" s="1"/>
  <c r="F57" i="28"/>
  <c r="D58" i="28"/>
  <c r="I57" i="29"/>
  <c r="I56" i="28"/>
  <c r="L57" i="29" s="1"/>
  <c r="O55" i="29"/>
  <c r="K57" i="29"/>
  <c r="L54" i="28"/>
  <c r="O56" i="29"/>
  <c r="L56" i="29"/>
  <c r="K55" i="28"/>
  <c r="L55" i="28" s="1"/>
  <c r="N56" i="29"/>
  <c r="M56" i="29"/>
  <c r="K58" i="29" l="1"/>
  <c r="I58" i="29"/>
  <c r="I57" i="28"/>
  <c r="M57" i="29"/>
  <c r="O57" i="29" s="1"/>
  <c r="N57" i="29"/>
  <c r="P57" i="29" s="1"/>
  <c r="K56" i="28"/>
  <c r="L56" i="28" s="1"/>
  <c r="H59" i="29"/>
  <c r="J59" i="29" s="1"/>
  <c r="G58" i="28"/>
  <c r="H58" i="28" s="1"/>
  <c r="K59" i="29" s="1"/>
  <c r="F58" i="28"/>
  <c r="E58" i="28"/>
  <c r="D59" i="28"/>
  <c r="P56" i="29"/>
  <c r="K57" i="28" l="1"/>
  <c r="L57" i="28" s="1"/>
  <c r="L58" i="29"/>
  <c r="J58" i="28"/>
  <c r="M58" i="29"/>
  <c r="N58" i="29"/>
  <c r="F59" i="28"/>
  <c r="E59" i="28"/>
  <c r="H60" i="29"/>
  <c r="J60" i="29" s="1"/>
  <c r="G59" i="28"/>
  <c r="H59" i="28" s="1"/>
  <c r="J59" i="28" s="1"/>
  <c r="D60" i="28"/>
  <c r="I59" i="29"/>
  <c r="I58" i="28"/>
  <c r="O58" i="29"/>
  <c r="H61" i="29" l="1"/>
  <c r="J61" i="29" s="1"/>
  <c r="G60" i="28"/>
  <c r="F60" i="28"/>
  <c r="E60" i="28"/>
  <c r="D61" i="28"/>
  <c r="M59" i="29"/>
  <c r="O59" i="29" s="1"/>
  <c r="N59" i="29"/>
  <c r="P58" i="29"/>
  <c r="I60" i="29"/>
  <c r="I59" i="28"/>
  <c r="L60" i="29" s="1"/>
  <c r="K60" i="29"/>
  <c r="K58" i="28"/>
  <c r="L58" i="28" s="1"/>
  <c r="L59" i="29"/>
  <c r="P59" i="29" s="1"/>
  <c r="N60" i="29" l="1"/>
  <c r="M60" i="29"/>
  <c r="O60" i="29"/>
  <c r="H60" i="28"/>
  <c r="H62" i="29"/>
  <c r="J62" i="29" s="1"/>
  <c r="G61" i="28"/>
  <c r="E61" i="28"/>
  <c r="F61" i="28"/>
  <c r="D62" i="28"/>
  <c r="P60" i="29"/>
  <c r="K59" i="28"/>
  <c r="L59" i="28" s="1"/>
  <c r="I61" i="29"/>
  <c r="I60" i="28"/>
  <c r="L61" i="29" s="1"/>
  <c r="G62" i="28" l="1"/>
  <c r="H63" i="29"/>
  <c r="J63" i="29" s="1"/>
  <c r="F62" i="28"/>
  <c r="E62" i="28"/>
  <c r="D63" i="28"/>
  <c r="I62" i="29"/>
  <c r="I61" i="28"/>
  <c r="H61" i="28"/>
  <c r="M61" i="29"/>
  <c r="N61" i="29"/>
  <c r="K60" i="28"/>
  <c r="P61" i="29"/>
  <c r="K61" i="29"/>
  <c r="J60" i="28"/>
  <c r="L60" i="28" s="1"/>
  <c r="I63" i="29" l="1"/>
  <c r="I62" i="28"/>
  <c r="L63" i="29" s="1"/>
  <c r="N62" i="29"/>
  <c r="M62" i="29"/>
  <c r="H62" i="28"/>
  <c r="K63" i="29" s="1"/>
  <c r="K62" i="29"/>
  <c r="O62" i="29" s="1"/>
  <c r="J61" i="28"/>
  <c r="L61" i="28" s="1"/>
  <c r="K61" i="28"/>
  <c r="L62" i="29"/>
  <c r="P62" i="29" s="1"/>
  <c r="O61" i="29"/>
  <c r="F63" i="28"/>
  <c r="E63" i="28"/>
  <c r="G63" i="28"/>
  <c r="H63" i="28" s="1"/>
  <c r="K64" i="29" s="1"/>
  <c r="H64" i="29"/>
  <c r="J64" i="29" s="1"/>
  <c r="D64" i="28"/>
  <c r="K62" i="28"/>
  <c r="J63" i="28" l="1"/>
  <c r="M63" i="29"/>
  <c r="O63" i="29" s="1"/>
  <c r="N63" i="29"/>
  <c r="P63" i="29" s="1"/>
  <c r="I64" i="29"/>
  <c r="I63" i="28"/>
  <c r="H65" i="29"/>
  <c r="J65" i="29" s="1"/>
  <c r="E64" i="28"/>
  <c r="G64" i="28"/>
  <c r="H64" i="28" s="1"/>
  <c r="J64" i="28" s="1"/>
  <c r="F64" i="28"/>
  <c r="D65" i="28"/>
  <c r="J62" i="28"/>
  <c r="L62" i="28" s="1"/>
  <c r="I65" i="29" l="1"/>
  <c r="I64" i="28"/>
  <c r="L65" i="29" s="1"/>
  <c r="E65" i="28"/>
  <c r="G65" i="28"/>
  <c r="F65" i="28"/>
  <c r="H66" i="29"/>
  <c r="J66" i="29" s="1"/>
  <c r="D66" i="28"/>
  <c r="K64" i="28"/>
  <c r="L64" i="28" s="1"/>
  <c r="K63" i="28"/>
  <c r="L63" i="28" s="1"/>
  <c r="L64" i="29"/>
  <c r="P64" i="29" s="1"/>
  <c r="K65" i="29"/>
  <c r="M64" i="29"/>
  <c r="O64" i="29" s="1"/>
  <c r="N64" i="29"/>
  <c r="G66" i="28" l="1"/>
  <c r="F66" i="28"/>
  <c r="E66" i="28"/>
  <c r="H67" i="29"/>
  <c r="J67" i="29" s="1"/>
  <c r="D67" i="28"/>
  <c r="I66" i="29"/>
  <c r="I65" i="28"/>
  <c r="M65" i="29"/>
  <c r="O65" i="29" s="1"/>
  <c r="N65" i="29"/>
  <c r="P65" i="29" s="1"/>
  <c r="H65" i="28"/>
  <c r="M66" i="29" l="1"/>
  <c r="N66" i="29"/>
  <c r="L66" i="29"/>
  <c r="P66" i="29" s="1"/>
  <c r="K65" i="28"/>
  <c r="F67" i="28"/>
  <c r="G67" i="28"/>
  <c r="E67" i="28"/>
  <c r="H68" i="29"/>
  <c r="J68" i="29" s="1"/>
  <c r="D68" i="28"/>
  <c r="K66" i="28"/>
  <c r="I66" i="28"/>
  <c r="L67" i="29" s="1"/>
  <c r="I67" i="29"/>
  <c r="J65" i="28"/>
  <c r="L65" i="28" s="1"/>
  <c r="K66" i="29"/>
  <c r="O66" i="29" s="1"/>
  <c r="J66" i="28"/>
  <c r="L66" i="28" s="1"/>
  <c r="H66" i="28"/>
  <c r="K67" i="29" s="1"/>
  <c r="I68" i="29" l="1"/>
  <c r="I67" i="28"/>
  <c r="M67" i="29"/>
  <c r="O67" i="29" s="1"/>
  <c r="N67" i="29"/>
  <c r="H67" i="28"/>
  <c r="P67" i="29"/>
  <c r="H69" i="29"/>
  <c r="J69" i="29" s="1"/>
  <c r="G68" i="28"/>
  <c r="F68" i="28"/>
  <c r="E68" i="28"/>
  <c r="D69" i="28"/>
  <c r="J67" i="28" l="1"/>
  <c r="K68" i="29"/>
  <c r="I68" i="28"/>
  <c r="I69" i="29"/>
  <c r="H68" i="28"/>
  <c r="K69" i="29" s="1"/>
  <c r="L68" i="29"/>
  <c r="P68" i="29" s="1"/>
  <c r="K67" i="28"/>
  <c r="J68" i="28"/>
  <c r="H70" i="29"/>
  <c r="J70" i="29" s="1"/>
  <c r="G69" i="28"/>
  <c r="H69" i="28" s="1"/>
  <c r="J69" i="28" s="1"/>
  <c r="E69" i="28"/>
  <c r="F69" i="28"/>
  <c r="D70" i="28"/>
  <c r="N68" i="29"/>
  <c r="M68" i="29"/>
  <c r="N69" i="29" l="1"/>
  <c r="M69" i="29"/>
  <c r="O69" i="29" s="1"/>
  <c r="L69" i="29"/>
  <c r="P69" i="29" s="1"/>
  <c r="K68" i="28"/>
  <c r="L68" i="28" s="1"/>
  <c r="H71" i="29"/>
  <c r="J71" i="29" s="1"/>
  <c r="G70" i="28"/>
  <c r="F70" i="28"/>
  <c r="E70" i="28"/>
  <c r="D71" i="28"/>
  <c r="K70" i="29"/>
  <c r="O68" i="29"/>
  <c r="I70" i="29"/>
  <c r="I69" i="28"/>
  <c r="L67" i="28"/>
  <c r="M70" i="29" l="1"/>
  <c r="N70" i="29"/>
  <c r="I71" i="29"/>
  <c r="I70" i="28"/>
  <c r="L71" i="29" s="1"/>
  <c r="H70" i="28"/>
  <c r="L70" i="29"/>
  <c r="P70" i="29" s="1"/>
  <c r="K69" i="28"/>
  <c r="L69" i="28" s="1"/>
  <c r="F71" i="28"/>
  <c r="E71" i="28"/>
  <c r="H72" i="29"/>
  <c r="J72" i="29" s="1"/>
  <c r="G71" i="28"/>
  <c r="H71" i="28" s="1"/>
  <c r="K72" i="29" s="1"/>
  <c r="D72" i="28"/>
  <c r="O70" i="29"/>
  <c r="J70" i="28" l="1"/>
  <c r="K71" i="29"/>
  <c r="I72" i="29"/>
  <c r="I71" i="28"/>
  <c r="J71" i="28"/>
  <c r="M71" i="29"/>
  <c r="N71" i="29"/>
  <c r="P71" i="29" s="1"/>
  <c r="H73" i="29"/>
  <c r="J73" i="29" s="1"/>
  <c r="E72" i="28"/>
  <c r="G72" i="28"/>
  <c r="H72" i="28" s="1"/>
  <c r="F72" i="28"/>
  <c r="D73" i="28"/>
  <c r="K70" i="28"/>
  <c r="J72" i="28"/>
  <c r="K73" i="29"/>
  <c r="L72" i="29" l="1"/>
  <c r="P72" i="29" s="1"/>
  <c r="K71" i="28"/>
  <c r="L71" i="28" s="1"/>
  <c r="K72" i="28"/>
  <c r="H74" i="29"/>
  <c r="J74" i="29" s="1"/>
  <c r="E73" i="28"/>
  <c r="G73" i="28"/>
  <c r="F73" i="28"/>
  <c r="D74" i="28"/>
  <c r="M72" i="29"/>
  <c r="O72" i="29" s="1"/>
  <c r="N72" i="29"/>
  <c r="O71" i="29"/>
  <c r="L70" i="28"/>
  <c r="I73" i="29"/>
  <c r="I72" i="28"/>
  <c r="L73" i="29" s="1"/>
  <c r="L72" i="28"/>
  <c r="H75" i="29" l="1"/>
  <c r="J75" i="29" s="1"/>
  <c r="G74" i="28"/>
  <c r="F74" i="28"/>
  <c r="E74" i="28"/>
  <c r="D75" i="28"/>
  <c r="I73" i="28"/>
  <c r="I74" i="29"/>
  <c r="M73" i="29"/>
  <c r="O73" i="29" s="1"/>
  <c r="N73" i="29"/>
  <c r="P73" i="29" s="1"/>
  <c r="H73" i="28"/>
  <c r="J73" i="28" l="1"/>
  <c r="L73" i="28" s="1"/>
  <c r="K74" i="29"/>
  <c r="F75" i="28"/>
  <c r="E75" i="28"/>
  <c r="G75" i="28"/>
  <c r="H75" i="28" s="1"/>
  <c r="K76" i="29" s="1"/>
  <c r="H76" i="29"/>
  <c r="J76" i="29" s="1"/>
  <c r="D76" i="28"/>
  <c r="I75" i="29"/>
  <c r="I74" i="28"/>
  <c r="N74" i="29"/>
  <c r="M74" i="29"/>
  <c r="H74" i="28"/>
  <c r="L74" i="29"/>
  <c r="K73" i="28"/>
  <c r="O74" i="29" l="1"/>
  <c r="I76" i="29"/>
  <c r="I75" i="28"/>
  <c r="L75" i="29"/>
  <c r="P75" i="29" s="1"/>
  <c r="K74" i="28"/>
  <c r="K75" i="29"/>
  <c r="O75" i="29" s="1"/>
  <c r="J74" i="28"/>
  <c r="L74" i="28" s="1"/>
  <c r="J75" i="28"/>
  <c r="M75" i="29"/>
  <c r="N75" i="29"/>
  <c r="P74" i="29"/>
  <c r="H77" i="29"/>
  <c r="J77" i="29" s="1"/>
  <c r="E76" i="28"/>
  <c r="G76" i="28"/>
  <c r="F76" i="28"/>
  <c r="D77" i="28"/>
  <c r="L76" i="29" l="1"/>
  <c r="K75" i="28"/>
  <c r="L75" i="28" s="1"/>
  <c r="M76" i="29"/>
  <c r="O76" i="29" s="1"/>
  <c r="N76" i="29"/>
  <c r="G77" i="28"/>
  <c r="E77" i="28"/>
  <c r="F77" i="28"/>
  <c r="H78" i="29"/>
  <c r="J78" i="29" s="1"/>
  <c r="D78" i="28"/>
  <c r="H76" i="28"/>
  <c r="I77" i="29"/>
  <c r="I76" i="28"/>
  <c r="L77" i="29" l="1"/>
  <c r="K76" i="28"/>
  <c r="P76" i="29"/>
  <c r="M77" i="29"/>
  <c r="N77" i="29"/>
  <c r="G78" i="28"/>
  <c r="H78" i="28" s="1"/>
  <c r="J78" i="28" s="1"/>
  <c r="F78" i="28"/>
  <c r="E78" i="28"/>
  <c r="H79" i="29"/>
  <c r="J79" i="29" s="1"/>
  <c r="D79" i="28"/>
  <c r="K77" i="29"/>
  <c r="J76" i="28"/>
  <c r="L76" i="28" s="1"/>
  <c r="I78" i="29"/>
  <c r="I77" i="28"/>
  <c r="H77" i="28"/>
  <c r="K79" i="29" l="1"/>
  <c r="F79" i="28"/>
  <c r="E79" i="28"/>
  <c r="H80" i="29"/>
  <c r="J80" i="29" s="1"/>
  <c r="G79" i="28"/>
  <c r="H79" i="28" s="1"/>
  <c r="D80" i="28"/>
  <c r="J77" i="28"/>
  <c r="K78" i="29"/>
  <c r="O78" i="29" s="1"/>
  <c r="K77" i="28"/>
  <c r="L78" i="29"/>
  <c r="P78" i="29" s="1"/>
  <c r="I79" i="29"/>
  <c r="I78" i="28"/>
  <c r="O77" i="29"/>
  <c r="M78" i="29"/>
  <c r="N78" i="29"/>
  <c r="P77" i="29"/>
  <c r="J79" i="28"/>
  <c r="K80" i="29"/>
  <c r="H81" i="29" l="1"/>
  <c r="J81" i="29" s="1"/>
  <c r="E80" i="28"/>
  <c r="G80" i="28"/>
  <c r="F80" i="28"/>
  <c r="D81" i="28"/>
  <c r="I80" i="29"/>
  <c r="I79" i="28"/>
  <c r="M79" i="29"/>
  <c r="O79" i="29" s="1"/>
  <c r="N79" i="29"/>
  <c r="L77" i="28"/>
  <c r="K78" i="28"/>
  <c r="L78" i="28" s="1"/>
  <c r="L79" i="29"/>
  <c r="I81" i="29" l="1"/>
  <c r="I80" i="28"/>
  <c r="N80" i="29"/>
  <c r="M80" i="29"/>
  <c r="O80" i="29" s="1"/>
  <c r="K79" i="28"/>
  <c r="L79" i="28" s="1"/>
  <c r="L80" i="29"/>
  <c r="P80" i="29" s="1"/>
  <c r="H82" i="29"/>
  <c r="J82" i="29" s="1"/>
  <c r="G81" i="28"/>
  <c r="E81" i="28"/>
  <c r="F81" i="28"/>
  <c r="D82" i="28"/>
  <c r="P79" i="29"/>
  <c r="H80" i="28"/>
  <c r="H83" i="29" l="1"/>
  <c r="J83" i="29" s="1"/>
  <c r="G82" i="28"/>
  <c r="F82" i="28"/>
  <c r="E82" i="28"/>
  <c r="D83" i="28"/>
  <c r="M81" i="29"/>
  <c r="N81" i="29"/>
  <c r="I82" i="29"/>
  <c r="I81" i="28"/>
  <c r="L82" i="29" s="1"/>
  <c r="K80" i="28"/>
  <c r="L81" i="29"/>
  <c r="J80" i="28"/>
  <c r="K81" i="29"/>
  <c r="O81" i="29" s="1"/>
  <c r="H81" i="28"/>
  <c r="M82" i="29" l="1"/>
  <c r="N82" i="29"/>
  <c r="P82" i="29" s="1"/>
  <c r="J81" i="28"/>
  <c r="K82" i="29"/>
  <c r="O82" i="29" s="1"/>
  <c r="K81" i="28"/>
  <c r="F83" i="28"/>
  <c r="E83" i="28"/>
  <c r="H84" i="29"/>
  <c r="J84" i="29" s="1"/>
  <c r="G83" i="28"/>
  <c r="D84" i="28"/>
  <c r="I83" i="29"/>
  <c r="I82" i="28"/>
  <c r="H82" i="28"/>
  <c r="L80" i="28"/>
  <c r="P81" i="29"/>
  <c r="I84" i="29" l="1"/>
  <c r="I83" i="28"/>
  <c r="L81" i="28"/>
  <c r="L83" i="29"/>
  <c r="P83" i="29" s="1"/>
  <c r="K82" i="28"/>
  <c r="M83" i="29"/>
  <c r="N83" i="29"/>
  <c r="K83" i="29"/>
  <c r="O83" i="29" s="1"/>
  <c r="J82" i="28"/>
  <c r="H85" i="29"/>
  <c r="J85" i="29" s="1"/>
  <c r="E84" i="28"/>
  <c r="G84" i="28"/>
  <c r="H84" i="28" s="1"/>
  <c r="J84" i="28" s="1"/>
  <c r="F84" i="28"/>
  <c r="D85" i="28"/>
  <c r="H83" i="28"/>
  <c r="K85" i="29" l="1"/>
  <c r="E85" i="28"/>
  <c r="H86" i="29"/>
  <c r="J86" i="29" s="1"/>
  <c r="G85" i="28"/>
  <c r="F85" i="28"/>
  <c r="D86" i="28"/>
  <c r="L82" i="28"/>
  <c r="I85" i="29"/>
  <c r="I84" i="28"/>
  <c r="K83" i="28"/>
  <c r="L84" i="29"/>
  <c r="K84" i="29"/>
  <c r="J83" i="28"/>
  <c r="M84" i="29"/>
  <c r="N84" i="29"/>
  <c r="G86" i="28" l="1"/>
  <c r="H87" i="29"/>
  <c r="J87" i="29" s="1"/>
  <c r="F86" i="28"/>
  <c r="E86" i="28"/>
  <c r="D87" i="28"/>
  <c r="H85" i="28"/>
  <c r="L83" i="28"/>
  <c r="K84" i="28"/>
  <c r="L84" i="28" s="1"/>
  <c r="L85" i="29"/>
  <c r="O84" i="29"/>
  <c r="M85" i="29"/>
  <c r="O85" i="29" s="1"/>
  <c r="N85" i="29"/>
  <c r="I86" i="29"/>
  <c r="I85" i="28"/>
  <c r="P84" i="29"/>
  <c r="H86" i="28" l="1"/>
  <c r="K85" i="28"/>
  <c r="L86" i="29"/>
  <c r="P85" i="29"/>
  <c r="I87" i="29"/>
  <c r="I86" i="28"/>
  <c r="L87" i="29" s="1"/>
  <c r="J85" i="28"/>
  <c r="L85" i="28" s="1"/>
  <c r="K86" i="29"/>
  <c r="N86" i="29"/>
  <c r="M86" i="29"/>
  <c r="F87" i="28"/>
  <c r="G87" i="28"/>
  <c r="E87" i="28"/>
  <c r="H88" i="29"/>
  <c r="J88" i="29" s="1"/>
  <c r="D88" i="28"/>
  <c r="P86" i="29" l="1"/>
  <c r="O86" i="29"/>
  <c r="E88" i="28"/>
  <c r="H89" i="29"/>
  <c r="J89" i="29" s="1"/>
  <c r="G88" i="28"/>
  <c r="F88" i="28"/>
  <c r="D89" i="28"/>
  <c r="M87" i="29"/>
  <c r="N87" i="29"/>
  <c r="K86" i="28"/>
  <c r="P87" i="29"/>
  <c r="I88" i="29"/>
  <c r="I87" i="28"/>
  <c r="H87" i="28"/>
  <c r="K87" i="29"/>
  <c r="O87" i="29" s="1"/>
  <c r="J86" i="28"/>
  <c r="K87" i="28" l="1"/>
  <c r="L88" i="29"/>
  <c r="P88" i="29" s="1"/>
  <c r="E89" i="28"/>
  <c r="G89" i="28"/>
  <c r="F89" i="28"/>
  <c r="H90" i="29"/>
  <c r="J90" i="29" s="1"/>
  <c r="D90" i="28"/>
  <c r="L86" i="28"/>
  <c r="I89" i="29"/>
  <c r="I88" i="28"/>
  <c r="M88" i="29"/>
  <c r="N88" i="29"/>
  <c r="J87" i="28"/>
  <c r="K88" i="29"/>
  <c r="H88" i="28"/>
  <c r="G90" i="28" l="1"/>
  <c r="F90" i="28"/>
  <c r="E90" i="28"/>
  <c r="H91" i="29"/>
  <c r="J91" i="29" s="1"/>
  <c r="D91" i="28"/>
  <c r="K88" i="28"/>
  <c r="L89" i="29"/>
  <c r="P89" i="29" s="1"/>
  <c r="K89" i="29"/>
  <c r="J88" i="28"/>
  <c r="L88" i="28" s="1"/>
  <c r="M89" i="29"/>
  <c r="N89" i="29"/>
  <c r="O88" i="29"/>
  <c r="H89" i="28"/>
  <c r="L87" i="28"/>
  <c r="I90" i="29"/>
  <c r="I89" i="28"/>
  <c r="L90" i="29" l="1"/>
  <c r="P90" i="29" s="1"/>
  <c r="K89" i="28"/>
  <c r="F91" i="28"/>
  <c r="H92" i="29"/>
  <c r="J92" i="29" s="1"/>
  <c r="E91" i="28"/>
  <c r="G91" i="28"/>
  <c r="D92" i="28"/>
  <c r="O89" i="29"/>
  <c r="K90" i="29"/>
  <c r="O90" i="29" s="1"/>
  <c r="J89" i="28"/>
  <c r="L89" i="28" s="1"/>
  <c r="I91" i="29"/>
  <c r="I90" i="28"/>
  <c r="M90" i="29"/>
  <c r="N90" i="29"/>
  <c r="H90" i="28"/>
  <c r="M91" i="29" l="1"/>
  <c r="N91" i="29"/>
  <c r="J90" i="28"/>
  <c r="K91" i="29"/>
  <c r="O91" i="29" s="1"/>
  <c r="I92" i="29"/>
  <c r="I91" i="28"/>
  <c r="H93" i="29"/>
  <c r="J93" i="29" s="1"/>
  <c r="E92" i="28"/>
  <c r="G92" i="28"/>
  <c r="H92" i="28" s="1"/>
  <c r="K93" i="29" s="1"/>
  <c r="F92" i="28"/>
  <c r="D93" i="28"/>
  <c r="K90" i="28"/>
  <c r="L91" i="29"/>
  <c r="P91" i="29" s="1"/>
  <c r="H91" i="28"/>
  <c r="J92" i="28"/>
  <c r="L92" i="29" l="1"/>
  <c r="K91" i="28"/>
  <c r="H94" i="29"/>
  <c r="J94" i="29" s="1"/>
  <c r="E93" i="28"/>
  <c r="G93" i="28"/>
  <c r="H93" i="28" s="1"/>
  <c r="K94" i="29" s="1"/>
  <c r="F93" i="28"/>
  <c r="D94" i="28"/>
  <c r="N92" i="29"/>
  <c r="M92" i="29"/>
  <c r="L90" i="28"/>
  <c r="I93" i="29"/>
  <c r="I92" i="28"/>
  <c r="K92" i="29"/>
  <c r="J91" i="28"/>
  <c r="L91" i="28" s="1"/>
  <c r="H95" i="29" l="1"/>
  <c r="J95" i="29" s="1"/>
  <c r="G94" i="28"/>
  <c r="F94" i="28"/>
  <c r="E94" i="28"/>
  <c r="D95" i="28"/>
  <c r="I94" i="29"/>
  <c r="I93" i="28"/>
  <c r="J93" i="28"/>
  <c r="O92" i="29"/>
  <c r="P92" i="29"/>
  <c r="M93" i="29"/>
  <c r="O93" i="29" s="1"/>
  <c r="N93" i="29"/>
  <c r="L93" i="29"/>
  <c r="P93" i="29" s="1"/>
  <c r="K92" i="28"/>
  <c r="L92" i="28" s="1"/>
  <c r="K93" i="28" l="1"/>
  <c r="L93" i="28" s="1"/>
  <c r="L94" i="29"/>
  <c r="F95" i="28"/>
  <c r="E95" i="28"/>
  <c r="H96" i="29"/>
  <c r="J96" i="29" s="1"/>
  <c r="G95" i="28"/>
  <c r="H95" i="28" s="1"/>
  <c r="D96" i="28"/>
  <c r="I95" i="29"/>
  <c r="I94" i="28"/>
  <c r="L95" i="29" s="1"/>
  <c r="H94" i="28"/>
  <c r="M94" i="29"/>
  <c r="O94" i="29" s="1"/>
  <c r="N94" i="29"/>
  <c r="K96" i="29"/>
  <c r="M95" i="29" l="1"/>
  <c r="N95" i="29"/>
  <c r="P95" i="29" s="1"/>
  <c r="J94" i="28"/>
  <c r="L94" i="28" s="1"/>
  <c r="K95" i="29"/>
  <c r="O95" i="29" s="1"/>
  <c r="K95" i="28"/>
  <c r="L95" i="28" s="1"/>
  <c r="I96" i="29"/>
  <c r="I95" i="28"/>
  <c r="L96" i="29" s="1"/>
  <c r="E96" i="28"/>
  <c r="H97" i="29"/>
  <c r="J97" i="29" s="1"/>
  <c r="G96" i="28"/>
  <c r="F96" i="28"/>
  <c r="D97" i="28"/>
  <c r="P94" i="29"/>
  <c r="J95" i="28"/>
  <c r="K94" i="28"/>
  <c r="H96" i="28" l="1"/>
  <c r="E97" i="28"/>
  <c r="H98" i="29"/>
  <c r="J98" i="29" s="1"/>
  <c r="G97" i="28"/>
  <c r="F97" i="28"/>
  <c r="D98" i="28"/>
  <c r="I97" i="29"/>
  <c r="I96" i="28"/>
  <c r="M96" i="29"/>
  <c r="O96" i="29" s="1"/>
  <c r="N96" i="29"/>
  <c r="P96" i="29"/>
  <c r="H99" i="29" l="1"/>
  <c r="J99" i="29" s="1"/>
  <c r="G98" i="28"/>
  <c r="F98" i="28"/>
  <c r="E98" i="28"/>
  <c r="D99" i="28"/>
  <c r="H97" i="28"/>
  <c r="K97" i="29"/>
  <c r="J96" i="28"/>
  <c r="L96" i="28" s="1"/>
  <c r="I98" i="29"/>
  <c r="I97" i="28"/>
  <c r="L97" i="29"/>
  <c r="K96" i="28"/>
  <c r="M97" i="29"/>
  <c r="N97" i="29"/>
  <c r="O97" i="29" l="1"/>
  <c r="P97" i="29"/>
  <c r="K98" i="29"/>
  <c r="O98" i="29" s="1"/>
  <c r="J97" i="28"/>
  <c r="K97" i="28"/>
  <c r="L98" i="29"/>
  <c r="P98" i="29" s="1"/>
  <c r="F99" i="28"/>
  <c r="E99" i="28"/>
  <c r="H100" i="29"/>
  <c r="J100" i="29" s="1"/>
  <c r="G99" i="28"/>
  <c r="H99" i="28" s="1"/>
  <c r="K100" i="29" s="1"/>
  <c r="D100" i="28"/>
  <c r="N98" i="29"/>
  <c r="M98" i="29"/>
  <c r="I99" i="29"/>
  <c r="I98" i="28"/>
  <c r="H98" i="28"/>
  <c r="I100" i="29" l="1"/>
  <c r="I99" i="28"/>
  <c r="L97" i="28"/>
  <c r="M99" i="29"/>
  <c r="N99" i="29"/>
  <c r="K99" i="29"/>
  <c r="J98" i="28"/>
  <c r="J99" i="28"/>
  <c r="K98" i="28"/>
  <c r="L99" i="29"/>
  <c r="P99" i="29" s="1"/>
  <c r="H101" i="29"/>
  <c r="J101" i="29" s="1"/>
  <c r="G100" i="28"/>
  <c r="F100" i="28"/>
  <c r="E100" i="28"/>
  <c r="D101" i="28"/>
  <c r="G101" i="28" l="1"/>
  <c r="H101" i="28" s="1"/>
  <c r="K102" i="29" s="1"/>
  <c r="F101" i="28"/>
  <c r="E101" i="28"/>
  <c r="H102" i="29"/>
  <c r="J102" i="29" s="1"/>
  <c r="D102" i="28"/>
  <c r="I101" i="29"/>
  <c r="I100" i="28"/>
  <c r="L98" i="28"/>
  <c r="K99" i="28"/>
  <c r="L99" i="28" s="1"/>
  <c r="L100" i="29"/>
  <c r="P100" i="29" s="1"/>
  <c r="H100" i="28"/>
  <c r="O99" i="29"/>
  <c r="M100" i="29"/>
  <c r="O100" i="29" s="1"/>
  <c r="N100" i="29"/>
  <c r="G102" i="28" l="1"/>
  <c r="F102" i="28"/>
  <c r="E102" i="28"/>
  <c r="H103" i="29"/>
  <c r="J103" i="29" s="1"/>
  <c r="M101" i="29"/>
  <c r="N101" i="29"/>
  <c r="J100" i="28"/>
  <c r="L100" i="28" s="1"/>
  <c r="K101" i="29"/>
  <c r="J101" i="28"/>
  <c r="I102" i="29"/>
  <c r="I101" i="28"/>
  <c r="L101" i="29"/>
  <c r="P101" i="29" s="1"/>
  <c r="K100" i="28"/>
  <c r="M102" i="29" l="1"/>
  <c r="O102" i="29" s="1"/>
  <c r="N102" i="29"/>
  <c r="I103" i="29"/>
  <c r="I102" i="28"/>
  <c r="H102" i="28"/>
  <c r="O101" i="29"/>
  <c r="K101" i="28"/>
  <c r="L101" i="28" s="1"/>
  <c r="L102" i="29"/>
  <c r="P102" i="29" s="1"/>
  <c r="B11" i="28" l="1"/>
  <c r="K103" i="29"/>
  <c r="O103" i="29" s="1"/>
  <c r="J102" i="28"/>
  <c r="B12" i="28"/>
  <c r="L103" i="29"/>
  <c r="K102" i="28"/>
  <c r="M103" i="29"/>
  <c r="N103" i="29"/>
  <c r="B19" i="28" l="1"/>
  <c r="B13" i="28"/>
  <c r="L102" i="28"/>
  <c r="P103" i="29"/>
  <c r="B28" i="28" l="1"/>
  <c r="B26" i="28"/>
  <c r="B16" i="29"/>
  <c r="B17" i="29"/>
  <c r="B18" i="29" l="1"/>
</calcChain>
</file>

<file path=xl/sharedStrings.xml><?xml version="1.0" encoding="utf-8"?>
<sst xmlns="http://schemas.openxmlformats.org/spreadsheetml/2006/main" count="127" uniqueCount="86">
  <si>
    <t>Year</t>
  </si>
  <si>
    <t>Population</t>
  </si>
  <si>
    <t>Cost</t>
  </si>
  <si>
    <t>Scenario</t>
  </si>
  <si>
    <t>Statins</t>
  </si>
  <si>
    <t>PCSK9</t>
  </si>
  <si>
    <t>Statins + Exitimibe</t>
  </si>
  <si>
    <t>Statins + PCSK9</t>
  </si>
  <si>
    <t>Delta $</t>
  </si>
  <si>
    <t>Per person</t>
  </si>
  <si>
    <t>PopSize</t>
  </si>
  <si>
    <t>Scale</t>
  </si>
  <si>
    <t>CostPerYr_Statin</t>
  </si>
  <si>
    <t>CostPerYr_Ezitimibe</t>
  </si>
  <si>
    <t>CostPerYr_PCSK9</t>
  </si>
  <si>
    <t>Delta QALYs</t>
  </si>
  <si>
    <t>r_disc</t>
  </si>
  <si>
    <t>Disc Factor</t>
  </si>
  <si>
    <t>Delta Cost</t>
  </si>
  <si>
    <t>Cume Cost</t>
  </si>
  <si>
    <t>Delta QALY</t>
  </si>
  <si>
    <t>QALYsPerYr_PCSK9</t>
  </si>
  <si>
    <t>Cume QALY</t>
  </si>
  <si>
    <t>Assumptions</t>
  </si>
  <si>
    <t>Discount Factor</t>
  </si>
  <si>
    <t>Include</t>
  </si>
  <si>
    <t>QALY</t>
  </si>
  <si>
    <t>Cume cost</t>
  </si>
  <si>
    <t>CE Ratio</t>
  </si>
  <si>
    <t>Cost-effectiveness</t>
  </si>
  <si>
    <t>Year Gen</t>
  </si>
  <si>
    <t>Disc rate</t>
  </si>
  <si>
    <t>CostGen</t>
  </si>
  <si>
    <t>DR 1%</t>
  </si>
  <si>
    <t>DR 5%</t>
  </si>
  <si>
    <t>DR 3%</t>
  </si>
  <si>
    <t>15 yrs</t>
  </si>
  <si>
    <t>10 yrs</t>
  </si>
  <si>
    <t>24 yrs</t>
  </si>
  <si>
    <t>Year generic</t>
  </si>
  <si>
    <t>Discount rate</t>
  </si>
  <si>
    <t>Time Horizon</t>
  </si>
  <si>
    <t>Next Gen</t>
  </si>
  <si>
    <t>Total Costs</t>
  </si>
  <si>
    <t>Total QALYs</t>
  </si>
  <si>
    <t>2x</t>
  </si>
  <si>
    <t>3x</t>
  </si>
  <si>
    <t>1.5x</t>
  </si>
  <si>
    <t>No Next Gen</t>
  </si>
  <si>
    <t>CostPerYr_PCSK9_Pop</t>
  </si>
  <si>
    <t>D_i</t>
  </si>
  <si>
    <t>sum D_i</t>
  </si>
  <si>
    <t>i-0.5</t>
  </si>
  <si>
    <t>Lifetime cume cost ($M)</t>
  </si>
  <si>
    <t>ICER report, Table 14</t>
  </si>
  <si>
    <t>Lfietime cume QALY</t>
  </si>
  <si>
    <t>Cost - $14350, generic $3000</t>
  </si>
  <si>
    <t>Cost - $21,575, generic $3000</t>
  </si>
  <si>
    <t>From Estimate Parameters sheet</t>
  </si>
  <si>
    <t>Midpoint of year used for discounting</t>
  </si>
  <si>
    <t>Calculated</t>
  </si>
  <si>
    <t>Assumed time horizon</t>
  </si>
  <si>
    <t>Assumed</t>
  </si>
  <si>
    <t>Generic</t>
  </si>
  <si>
    <t>Formula</t>
  </si>
  <si>
    <t>Model</t>
  </si>
  <si>
    <t>PCSK9_QALYPerYear_FH_v2</t>
  </si>
  <si>
    <t>PCSK9_CostPerYear_v2</t>
  </si>
  <si>
    <t>PCSK9_CostPerYear_Gen_v2</t>
  </si>
  <si>
    <t>GenericPriceDrop_v2</t>
  </si>
  <si>
    <t>Year_Generic_v2</t>
  </si>
  <si>
    <t>r_discount_v2</t>
  </si>
  <si>
    <t>offset_v2</t>
  </si>
  <si>
    <t>TimeHorizon_v2</t>
  </si>
  <si>
    <t>Cost-effectiveness_v2</t>
  </si>
  <si>
    <t>NextGen_QALYPerYear_FH_v2</t>
  </si>
  <si>
    <t>NextGen_RelativeBenefitFactor_v2</t>
  </si>
  <si>
    <t>NextGen_CostPerYear_v2</t>
  </si>
  <si>
    <t>NextGen_RelativeCostFactor_v2</t>
  </si>
  <si>
    <t>NextGen_CostPerYear_Gen_v2</t>
  </si>
  <si>
    <t>NextGen_Year_Start_v2</t>
  </si>
  <si>
    <t>Branded_Period_v2</t>
  </si>
  <si>
    <t>NextGen_Year_Generic_v2</t>
  </si>
  <si>
    <t>NextGen_TimeHorizon_v2</t>
  </si>
  <si>
    <t>Note - Be sure to set time horizon for PCSK9 6500 to 70.  Columns K and L draw on that sheet.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</si>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</sst>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%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Font="1"/>
    <xf numFmtId="3" fontId="0" fillId="0" borderId="0" xfId="0" applyNumberFormat="1" applyAlignment="1"/>
    <xf numFmtId="165" fontId="0" fillId="0" borderId="0" xfId="1" applyNumberFormat="1" applyFont="1" applyAlignment="1"/>
    <xf numFmtId="44" fontId="0" fillId="0" borderId="0" xfId="0" applyNumberFormat="1"/>
    <xf numFmtId="164" fontId="0" fillId="0" borderId="0" xfId="2" applyNumberFormat="1" applyFont="1" applyAlignment="1"/>
    <xf numFmtId="9" fontId="0" fillId="0" borderId="0" xfId="0" applyNumberFormat="1"/>
    <xf numFmtId="0" fontId="0" fillId="0" borderId="0" xfId="0" applyAlignment="1">
      <alignment wrapText="1"/>
    </xf>
    <xf numFmtId="166" fontId="0" fillId="0" borderId="0" xfId="1" applyNumberFormat="1" applyFont="1" applyAlignment="1"/>
    <xf numFmtId="164" fontId="0" fillId="2" borderId="0" xfId="0" applyNumberFormat="1" applyFill="1"/>
    <xf numFmtId="166" fontId="0" fillId="0" borderId="0" xfId="1" applyNumberFormat="1" applyFont="1"/>
    <xf numFmtId="0" fontId="0" fillId="2" borderId="0" xfId="0" applyFill="1" applyAlignment="1">
      <alignment horizontal="center"/>
    </xf>
    <xf numFmtId="166" fontId="0" fillId="0" borderId="0" xfId="0" applyNumberFormat="1"/>
    <xf numFmtId="10" fontId="0" fillId="0" borderId="0" xfId="0" applyNumberFormat="1"/>
    <xf numFmtId="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41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9" fontId="0" fillId="0" borderId="0" xfId="3" applyFont="1"/>
    <xf numFmtId="0" fontId="3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 3'!$O$3:$O$10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3'!$P$3:$P$10</c:f>
              <c:numCache>
                <c:formatCode>_("$"* #,##0_);_("$"* \(#,##0\);_("$"* "-"??_);_(@_)</c:formatCode>
                <c:ptCount val="8"/>
                <c:pt idx="0">
                  <c:v>69260.875192494423</c:v>
                </c:pt>
                <c:pt idx="1">
                  <c:v>76018.121971501168</c:v>
                </c:pt>
                <c:pt idx="2">
                  <c:v>82387.475142400144</c:v>
                </c:pt>
                <c:pt idx="3">
                  <c:v>88391.201385117645</c:v>
                </c:pt>
                <c:pt idx="4">
                  <c:v>94050.289181062137</c:v>
                </c:pt>
                <c:pt idx="5">
                  <c:v>99384.522186948161</c:v>
                </c:pt>
                <c:pt idx="6">
                  <c:v>104412.54839666258</c:v>
                </c:pt>
                <c:pt idx="7">
                  <c:v>109151.94533295667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B-4CAA-8BBE-C818694BD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study 3'!$O$3:$O$10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3'!$Q$3:$Q$10</c:f>
              <c:numCache>
                <c:formatCode>_("$"* #,##0_);_("$"* \(#,##0\);_("$"* "-"??_);_(@_)</c:formatCode>
                <c:ptCount val="8"/>
                <c:pt idx="0">
                  <c:v>59526.52948320211</c:v>
                </c:pt>
                <c:pt idx="1">
                  <c:v>65317.68521084766</c:v>
                </c:pt>
                <c:pt idx="2">
                  <c:v>70994.732292158864</c:v>
                </c:pt>
                <c:pt idx="3">
                  <c:v>76559.919118265316</c:v>
                </c:pt>
                <c:pt idx="4">
                  <c:v>82015.449778108916</c:v>
                </c:pt>
                <c:pt idx="5">
                  <c:v>87363.484931371902</c:v>
                </c:pt>
                <c:pt idx="6">
                  <c:v>92606.142664205006</c:v>
                </c:pt>
                <c:pt idx="7">
                  <c:v>97745.499328093894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B-4CAA-8BBE-C818694BD6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 study 3'!$O$3:$O$10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3'!$R$3:$R$10</c:f>
              <c:numCache>
                <c:formatCode>_("$"* #,##0_);_("$"* \(#,##0\);_("$"* "-"??_);_(@_)</c:formatCode>
                <c:ptCount val="8"/>
                <c:pt idx="0">
                  <c:v>79100.002493711145</c:v>
                </c:pt>
                <c:pt idx="1">
                  <c:v>86539.302852609646</c:v>
                </c:pt>
                <c:pt idx="2">
                  <c:v>93286.967577234085</c:v>
                </c:pt>
                <c:pt idx="3">
                  <c:v>99407.29839322</c:v>
                </c:pt>
                <c:pt idx="4">
                  <c:v>104958.61886123444</c:v>
                </c:pt>
                <c:pt idx="5">
                  <c:v>109993.83017009108</c:v>
                </c:pt>
                <c:pt idx="6">
                  <c:v>114560.91525748938</c:v>
                </c:pt>
                <c:pt idx="7">
                  <c:v>118703.3960623858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B-4CAA-8BBE-C818694B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49744"/>
        <c:axId val="1388854736"/>
      </c:scatterChart>
      <c:valAx>
        <c:axId val="1388849744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Years until inclisiran goes generic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736"/>
        <c:crosses val="autoZero"/>
        <c:crossBetween val="midCat"/>
      </c:valAx>
      <c:valAx>
        <c:axId val="1388854736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974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 3'!$O$14:$O$22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'Case study 3'!$P$14:$P$22</c:f>
              <c:numCache>
                <c:formatCode>_("$"* #,##0_);_("$"* \(#,##0\);_("$"* "-"??_);_(@_)</c:formatCode>
                <c:ptCount val="9"/>
                <c:pt idx="0">
                  <c:v>73791.169453535738</c:v>
                </c:pt>
                <c:pt idx="1">
                  <c:v>76713.991103594817</c:v>
                </c:pt>
                <c:pt idx="2">
                  <c:v>79639.173657419</c:v>
                </c:pt>
                <c:pt idx="3">
                  <c:v>82550.765695465336</c:v>
                </c:pt>
                <c:pt idx="4">
                  <c:v>85433.700772941535</c:v>
                </c:pt>
                <c:pt idx="5">
                  <c:v>88274.064952942528</c:v>
                </c:pt>
                <c:pt idx="6">
                  <c:v>91059.303198535505</c:v>
                </c:pt>
                <c:pt idx="7">
                  <c:v>93778.362189536259</c:v>
                </c:pt>
                <c:pt idx="8">
                  <c:v>96421.771165909799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8-493D-B7C8-EF63120208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study 3'!$O$14:$O$22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'Case study 3'!$Q$14:$Q$22</c:f>
              <c:numCache>
                <c:formatCode>_("$"* #,##0_);_("$"* \(#,##0\);_("$"* "-"??_);_(@_)</c:formatCode>
                <c:ptCount val="9"/>
                <c:pt idx="0">
                  <c:v>59526.52948320211</c:v>
                </c:pt>
                <c:pt idx="1">
                  <c:v>61908.749607972633</c:v>
                </c:pt>
                <c:pt idx="2">
                  <c:v>64333.483099667079</c:v>
                </c:pt>
                <c:pt idx="3">
                  <c:v>66788.29544173571</c:v>
                </c:pt>
                <c:pt idx="4">
                  <c:v>69260.875192494423</c:v>
                </c:pt>
                <c:pt idx="5">
                  <c:v>71739.284837929954</c:v>
                </c:pt>
                <c:pt idx="6">
                  <c:v>74212.177770996597</c:v>
                </c:pt>
                <c:pt idx="7">
                  <c:v>76668.975526675553</c:v>
                </c:pt>
                <c:pt idx="8">
                  <c:v>79100.002493711145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8-493D-B7C8-EF63120208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 study 3'!$O$14:$O$22</c:f>
              <c:numCache>
                <c:formatCode>0.00%</c:formatCode>
                <c:ptCount val="9"/>
                <c:pt idx="0" formatCode="0%">
                  <c:v>0.01</c:v>
                </c:pt>
                <c:pt idx="1">
                  <c:v>1.4999999999999999E-2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0.03</c:v>
                </c:pt>
                <c:pt idx="5">
                  <c:v>3.5000000000000003E-2</c:v>
                </c:pt>
                <c:pt idx="6" formatCode="0%">
                  <c:v>0.04</c:v>
                </c:pt>
                <c:pt idx="7">
                  <c:v>4.4999999999999998E-2</c:v>
                </c:pt>
                <c:pt idx="8" formatCode="0%">
                  <c:v>0.05</c:v>
                </c:pt>
              </c:numCache>
            </c:numRef>
          </c:xVal>
          <c:yVal>
            <c:numRef>
              <c:f>'Case study 3'!$R$14:$R$22</c:f>
              <c:numCache>
                <c:formatCode>_("$"* #,##0_);_("$"* \(#,##0\);_("$"* "-"??_);_(@_)</c:formatCode>
                <c:ptCount val="9"/>
                <c:pt idx="0">
                  <c:v>97745.499328093894</c:v>
                </c:pt>
                <c:pt idx="1">
                  <c:v>100738.26619254018</c:v>
                </c:pt>
                <c:pt idx="2">
                  <c:v>103645.26612515634</c:v>
                </c:pt>
                <c:pt idx="3">
                  <c:v>106453.48228323692</c:v>
                </c:pt>
                <c:pt idx="4">
                  <c:v>109151.94533295667</c:v>
                </c:pt>
                <c:pt idx="5">
                  <c:v>111731.82235889006</c:v>
                </c:pt>
                <c:pt idx="6">
                  <c:v>114186.4273404792</c:v>
                </c:pt>
                <c:pt idx="7">
                  <c:v>116511.16165961695</c:v>
                </c:pt>
                <c:pt idx="8">
                  <c:v>118703.3960623858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8-493D-B7C8-EF631202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58896"/>
        <c:axId val="1388843504"/>
      </c:scatterChart>
      <c:valAx>
        <c:axId val="1388858896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3504"/>
        <c:crosses val="autoZero"/>
        <c:crossBetween val="midCat"/>
      </c:valAx>
      <c:valAx>
        <c:axId val="1388843504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889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 3'!$O$26:$O$33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3'!$P$26:$P$33</c:f>
              <c:numCache>
                <c:formatCode>_("$"* #,##0_);_("$"* \(#,##0\);_("$"* "-"??_);_(@_)</c:formatCode>
                <c:ptCount val="8"/>
                <c:pt idx="0">
                  <c:v>69260.875192494423</c:v>
                </c:pt>
                <c:pt idx="1">
                  <c:v>76018.121971501168</c:v>
                </c:pt>
                <c:pt idx="2">
                  <c:v>82387.475142400144</c:v>
                </c:pt>
                <c:pt idx="3">
                  <c:v>88391.201385117645</c:v>
                </c:pt>
                <c:pt idx="4">
                  <c:v>94050.289181062137</c:v>
                </c:pt>
                <c:pt idx="5">
                  <c:v>99384.522186948161</c:v>
                </c:pt>
                <c:pt idx="6">
                  <c:v>104412.54839666258</c:v>
                </c:pt>
                <c:pt idx="7">
                  <c:v>109151.94533295667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2-4E9B-9B1B-0F344C27A9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study 3'!$O$26:$O$33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3'!$Q$26:$Q$33</c:f>
              <c:numCache>
                <c:formatCode>_("$"* #,##0_);_("$"* \(#,##0\);_("$"* "-"??_);_(@_)</c:formatCode>
                <c:ptCount val="8"/>
                <c:pt idx="0">
                  <c:v>62351.051543567599</c:v>
                </c:pt>
                <c:pt idx="1">
                  <c:v>67954.959405221292</c:v>
                </c:pt>
                <c:pt idx="2">
                  <c:v>73237.180030778545</c:v>
                </c:pt>
                <c:pt idx="3">
                  <c:v>78216.17958357076</c:v>
                </c:pt>
                <c:pt idx="4">
                  <c:v>82909.364193611487</c:v>
                </c:pt>
                <c:pt idx="5">
                  <c:v>87333.140807845382</c:v>
                </c:pt>
                <c:pt idx="6">
                  <c:v>91502.974547343823</c:v>
                </c:pt>
                <c:pt idx="7">
                  <c:v>95433.44277196296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2-4E9B-9B1B-0F344C27A9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 study 3'!$O$26:$O$33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'Case study 3'!$R$26:$R$33</c:f>
              <c:numCache>
                <c:formatCode>_("$"* #,##0_);_("$"* \(#,##0\);_("$"* "-"??_);_(@_)</c:formatCode>
                <c:ptCount val="8"/>
                <c:pt idx="0">
                  <c:v>92474.929391845741</c:v>
                </c:pt>
                <c:pt idx="1">
                  <c:v>103106.90199570228</c:v>
                </c:pt>
                <c:pt idx="2">
                  <c:v>113128.5558781196</c:v>
                </c:pt>
                <c:pt idx="3">
                  <c:v>122574.92583044058</c:v>
                </c:pt>
                <c:pt idx="4">
                  <c:v>131479.0355036624</c:v>
                </c:pt>
                <c:pt idx="5">
                  <c:v>139872.01285611952</c:v>
                </c:pt>
                <c:pt idx="6">
                  <c:v>143886.0629553386</c:v>
                </c:pt>
                <c:pt idx="7">
                  <c:v>143886.0629553386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2-4E9B-9B1B-0F344C2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49744"/>
        <c:axId val="1388853072"/>
      </c:scatterChart>
      <c:valAx>
        <c:axId val="13888497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Years until inclisiran goes generic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3072"/>
        <c:crosses val="autoZero"/>
        <c:crossBetween val="midCat"/>
      </c:valAx>
      <c:valAx>
        <c:axId val="1388853072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>
                        <a:lumMod val="10000"/>
                      </a:schemeClr>
                    </a:solidFill>
                  </a:rPr>
                  <a:t>$/QALY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974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 4'!$S$3:$S$15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'Case study 4'!$T$3:$T$15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120251.00679971396</c:v>
                </c:pt>
                <c:pt idx="2">
                  <c:v>117341.46318284725</c:v>
                </c:pt>
                <c:pt idx="3">
                  <c:v>115747.81887315155</c:v>
                </c:pt>
                <c:pt idx="4">
                  <c:v>114918.80106199671</c:v>
                </c:pt>
                <c:pt idx="5">
                  <c:v>112508.95352106549</c:v>
                </c:pt>
                <c:pt idx="6">
                  <c:v>102802.68743076586</c:v>
                </c:pt>
                <c:pt idx="7">
                  <c:v>95851.384570580354</c:v>
                </c:pt>
                <c:pt idx="8">
                  <c:v>90677.463952519931</c:v>
                </c:pt>
                <c:pt idx="9">
                  <c:v>86714.948905381447</c:v>
                </c:pt>
                <c:pt idx="10">
                  <c:v>83613.354027434529</c:v>
                </c:pt>
                <c:pt idx="11">
                  <c:v>81143.970138760254</c:v>
                </c:pt>
                <c:pt idx="12">
                  <c:v>79151.16380012258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3D5-B750-6F832D048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study 4'!$S$3:$S$15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'Case study 4'!$U$3:$U$15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116331.03344021642</c:v>
                </c:pt>
                <c:pt idx="2">
                  <c:v>102600.45105905425</c:v>
                </c:pt>
                <c:pt idx="3">
                  <c:v>96143.106620045597</c:v>
                </c:pt>
                <c:pt idx="4">
                  <c:v>93033.004792270774</c:v>
                </c:pt>
                <c:pt idx="5">
                  <c:v>90616.53109675381</c:v>
                </c:pt>
                <c:pt idx="6">
                  <c:v>81128.664016294497</c:v>
                </c:pt>
                <c:pt idx="7">
                  <c:v>74565.65906393755</c:v>
                </c:pt>
                <c:pt idx="8">
                  <c:v>69800.826687580353</c:v>
                </c:pt>
                <c:pt idx="9">
                  <c:v>66218.668256491321</c:v>
                </c:pt>
                <c:pt idx="10">
                  <c:v>63454.377762666831</c:v>
                </c:pt>
                <c:pt idx="11">
                  <c:v>61277.928376347059</c:v>
                </c:pt>
                <c:pt idx="12">
                  <c:v>59537.047316715638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1-43D5-B750-6F832D048F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 study 4'!$S$3:$S$15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'Case study 4'!$V$3:$V$15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122311.75887141122</c:v>
                </c:pt>
                <c:pt idx="2">
                  <c:v>126423.33302669514</c:v>
                </c:pt>
                <c:pt idx="3">
                  <c:v>128888.79037248889</c:v>
                </c:pt>
                <c:pt idx="4">
                  <c:v>130237.87890228034</c:v>
                </c:pt>
                <c:pt idx="5">
                  <c:v>127966.99072091733</c:v>
                </c:pt>
                <c:pt idx="6">
                  <c:v>118651.99372284354</c:v>
                </c:pt>
                <c:pt idx="7">
                  <c:v>111810.21599815819</c:v>
                </c:pt>
                <c:pt idx="8">
                  <c:v>106622.21245677743</c:v>
                </c:pt>
                <c:pt idx="9">
                  <c:v>102592.35791764523</c:v>
                </c:pt>
                <c:pt idx="10">
                  <c:v>99403.172338368779</c:v>
                </c:pt>
                <c:pt idx="11">
                  <c:v>96841.821962694172</c:v>
                </c:pt>
                <c:pt idx="12">
                  <c:v>94760.257783946683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1-43D5-B750-6F832D048F9B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'Case study 4'!$S$3:$S$15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'Case study 4'!$W$3:$W$15</c:f>
              <c:numCache>
                <c:formatCode>_("$"* #,##0_);_("$"* \(#,##0\);_("$"* "-"??_);_(@_)</c:formatCode>
                <c:ptCount val="13"/>
                <c:pt idx="0">
                  <c:v>138175.41513079318</c:v>
                </c:pt>
                <c:pt idx="1">
                  <c:v>117921.54161747458</c:v>
                </c:pt>
                <c:pt idx="2">
                  <c:v>105645.48448025661</c:v>
                </c:pt>
                <c:pt idx="3">
                  <c:v>97483.839748130034</c:v>
                </c:pt>
                <c:pt idx="4">
                  <c:v>92729.737807922866</c:v>
                </c:pt>
                <c:pt idx="5">
                  <c:v>91719.045261838575</c:v>
                </c:pt>
                <c:pt idx="6">
                  <c:v>87470.981065547589</c:v>
                </c:pt>
                <c:pt idx="7">
                  <c:v>84241.877620105108</c:v>
                </c:pt>
                <c:pt idx="8">
                  <c:v>81728.927492024319</c:v>
                </c:pt>
                <c:pt idx="9">
                  <c:v>79737.284979461474</c:v>
                </c:pt>
                <c:pt idx="10">
                  <c:v>78135.853263273559</c:v>
                </c:pt>
                <c:pt idx="11">
                  <c:v>76833.168054253721</c:v>
                </c:pt>
                <c:pt idx="12">
                  <c:v>75763.47044426424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1-43D5-B750-6F832D04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013536"/>
        <c:axId val="1228018112"/>
      </c:scatterChart>
      <c:valAx>
        <c:axId val="1228013536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Horizon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8112"/>
        <c:crosses val="autoZero"/>
        <c:crossBetween val="midCat"/>
      </c:valAx>
      <c:valAx>
        <c:axId val="1228018112"/>
        <c:scaling>
          <c:orientation val="minMax"/>
          <c:max val="15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($/QALY)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3536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104775</xdr:rowOff>
    </xdr:from>
    <xdr:to>
      <xdr:col>7</xdr:col>
      <xdr:colOff>149517</xdr:colOff>
      <xdr:row>38</xdr:row>
      <xdr:rowOff>65895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2775"/>
          <a:ext cx="5854992" cy="453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0</xdr:row>
      <xdr:rowOff>95250</xdr:rowOff>
    </xdr:from>
    <xdr:to>
      <xdr:col>26</xdr:col>
      <xdr:colOff>104775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15</xdr:row>
      <xdr:rowOff>114300</xdr:rowOff>
    </xdr:from>
    <xdr:to>
      <xdr:col>26</xdr:col>
      <xdr:colOff>85725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390524</xdr:colOff>
      <xdr:row>30</xdr:row>
      <xdr:rowOff>171449</xdr:rowOff>
    </xdr:from>
    <xdr:to>
      <xdr:col>26</xdr:col>
      <xdr:colOff>95249</xdr:colOff>
      <xdr:row>45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221457</xdr:colOff>
      <xdr:row>1</xdr:row>
      <xdr:rowOff>90487</xdr:rowOff>
    </xdr:from>
    <xdr:to>
      <xdr:col>31</xdr:col>
      <xdr:colOff>2382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8"/>
  <sheetViews>
    <sheetView workbookViewId="0">
      <selection activeCell="B43" sqref="B43"/>
    </sheetView>
  </sheetViews>
  <sheetFormatPr defaultRowHeight="15" x14ac:dyDescent="0.25"/>
  <cols>
    <col min="1" max="1" width="23.42578125" customWidth="1"/>
    <col min="2" max="2" width="12.42578125" customWidth="1"/>
    <col min="3" max="3" width="12.7109375" customWidth="1"/>
    <col min="7" max="7" width="9.5703125" bestFit="1" customWidth="1"/>
    <col min="12" max="13" width="13.42578125" customWidth="1"/>
    <col min="14" max="14" width="10.28515625" customWidth="1"/>
    <col min="17" max="17" width="8.7109375" customWidth="1"/>
    <col min="18" max="18" width="10" bestFit="1" customWidth="1"/>
    <col min="20" max="21" width="9.140625" style="3"/>
  </cols>
  <sheetData>
    <row r="1" spans="1:21" x14ac:dyDescent="0.25">
      <c r="A1" t="s">
        <v>11</v>
      </c>
      <c r="B1" s="7">
        <v>1000000</v>
      </c>
    </row>
    <row r="2" spans="1:21" x14ac:dyDescent="0.25">
      <c r="A2" t="s">
        <v>10</v>
      </c>
      <c r="B2" s="8">
        <v>605000</v>
      </c>
    </row>
    <row r="3" spans="1:21" x14ac:dyDescent="0.25">
      <c r="A3" t="s">
        <v>12</v>
      </c>
      <c r="B3" s="10">
        <v>812</v>
      </c>
    </row>
    <row r="4" spans="1:21" x14ac:dyDescent="0.25">
      <c r="A4" t="s">
        <v>13</v>
      </c>
      <c r="B4" s="10">
        <v>2828</v>
      </c>
    </row>
    <row r="5" spans="1:21" x14ac:dyDescent="0.25">
      <c r="A5" t="s">
        <v>14</v>
      </c>
      <c r="B5" s="10">
        <v>14350</v>
      </c>
    </row>
    <row r="6" spans="1:21" x14ac:dyDescent="0.25">
      <c r="A6" t="s">
        <v>21</v>
      </c>
      <c r="B6" s="13">
        <f>+G14</f>
        <v>4.5174632389639847E-2</v>
      </c>
    </row>
    <row r="7" spans="1:21" x14ac:dyDescent="0.25">
      <c r="A7" t="s">
        <v>49</v>
      </c>
      <c r="B7">
        <f>+PopSize*CostPerYr_PCSK9/1000000</f>
        <v>8681.75</v>
      </c>
      <c r="T7" s="5"/>
      <c r="U7" s="5"/>
    </row>
    <row r="8" spans="1:21" x14ac:dyDescent="0.25">
      <c r="A8" t="s">
        <v>16</v>
      </c>
      <c r="B8" s="11">
        <v>0.03</v>
      </c>
      <c r="T8" s="5"/>
      <c r="U8" s="5"/>
    </row>
    <row r="9" spans="1:21" ht="45" x14ac:dyDescent="0.25">
      <c r="A9" t="s">
        <v>54</v>
      </c>
      <c r="I9" s="5" t="s">
        <v>52</v>
      </c>
      <c r="J9" s="5" t="s">
        <v>50</v>
      </c>
      <c r="K9" s="5" t="s">
        <v>51</v>
      </c>
      <c r="L9" s="4" t="s">
        <v>53</v>
      </c>
      <c r="M9" s="4" t="s">
        <v>55</v>
      </c>
      <c r="O9" s="4" t="s">
        <v>0</v>
      </c>
      <c r="P9" s="4" t="s">
        <v>17</v>
      </c>
      <c r="Q9" s="4" t="s">
        <v>18</v>
      </c>
      <c r="R9" s="4" t="s">
        <v>19</v>
      </c>
      <c r="S9" s="4" t="s">
        <v>20</v>
      </c>
      <c r="T9" s="4" t="s">
        <v>22</v>
      </c>
      <c r="U9" s="4"/>
    </row>
    <row r="10" spans="1:21" x14ac:dyDescent="0.25">
      <c r="B10" s="34" t="s">
        <v>8</v>
      </c>
      <c r="C10" s="34"/>
      <c r="E10" s="34" t="s">
        <v>15</v>
      </c>
      <c r="F10" s="34"/>
      <c r="I10" s="5">
        <v>0.5</v>
      </c>
      <c r="J10" s="5">
        <f>1.03^-I10</f>
        <v>0.98532927816429317</v>
      </c>
      <c r="K10" s="5">
        <f>+SUM(J$10:J10)</f>
        <v>0.98532927816429317</v>
      </c>
      <c r="L10" s="1">
        <f t="shared" ref="L10:L52" si="0">+K10*CostPerYr_PCSK9*PopSize/Scale</f>
        <v>8554.3824607028528</v>
      </c>
      <c r="M10" s="24">
        <f t="shared" ref="M10:M52" si="1">+K10*G$14*PopSize</f>
        <v>26929.692193911786</v>
      </c>
      <c r="O10" s="3">
        <v>0</v>
      </c>
      <c r="P10" s="3">
        <f t="shared" ref="P10:P41" si="2">+(1+r_disc)^-O10</f>
        <v>1</v>
      </c>
      <c r="Q10" s="1">
        <f t="shared" ref="Q10:Q41" si="3">+CostPerYr_PCSK9*P10</f>
        <v>14350</v>
      </c>
      <c r="R10" s="2">
        <f>+SUM(Q$10:Q10)</f>
        <v>14350</v>
      </c>
      <c r="S10">
        <f t="shared" ref="S10:S41" si="4">+QALYsPerYr_PCSK9*P10</f>
        <v>4.5174632389639847E-2</v>
      </c>
      <c r="T10" s="3">
        <f>+SUM(S$10:S10)</f>
        <v>4.5174632389639847E-2</v>
      </c>
      <c r="U10" s="3">
        <f>+R10/T10</f>
        <v>317656.15437063226</v>
      </c>
    </row>
    <row r="11" spans="1:21" x14ac:dyDescent="0.25">
      <c r="B11" s="3" t="s">
        <v>1</v>
      </c>
      <c r="C11" s="3" t="s">
        <v>9</v>
      </c>
      <c r="I11" s="5">
        <f>+I10+1</f>
        <v>1.5</v>
      </c>
      <c r="J11" s="5">
        <f>1.03^-I11</f>
        <v>0.9566303671497991</v>
      </c>
      <c r="K11" s="5">
        <f>+SUM(J$10:J11)</f>
        <v>1.9419596453140922</v>
      </c>
      <c r="L11" s="1">
        <f t="shared" si="0"/>
        <v>16859.608150705619</v>
      </c>
      <c r="M11" s="24">
        <f t="shared" si="1"/>
        <v>53075.024421010596</v>
      </c>
      <c r="O11" s="3">
        <f>+O10+1</f>
        <v>1</v>
      </c>
      <c r="P11" s="3">
        <f t="shared" si="2"/>
        <v>0.970873786407767</v>
      </c>
      <c r="Q11" s="1">
        <f t="shared" si="3"/>
        <v>13932.038834951456</v>
      </c>
      <c r="R11" s="2">
        <f>+SUM(Q$10:Q11)</f>
        <v>28282.038834951454</v>
      </c>
      <c r="S11">
        <f t="shared" si="4"/>
        <v>4.3858866397708592E-2</v>
      </c>
      <c r="T11" s="3">
        <f>+SUM(S$10:S11)</f>
        <v>8.9033498787348439E-2</v>
      </c>
      <c r="U11" s="3">
        <f t="shared" ref="U11:U68" si="5">+R11/T11</f>
        <v>317656.15437063226</v>
      </c>
    </row>
    <row r="12" spans="1:21" x14ac:dyDescent="0.25">
      <c r="A12" t="s">
        <v>4</v>
      </c>
      <c r="B12" s="6">
        <v>0</v>
      </c>
      <c r="C12" s="6"/>
      <c r="I12" s="5">
        <f t="shared" ref="I12:I37" si="6">+I11+1</f>
        <v>2.5</v>
      </c>
      <c r="J12" s="5">
        <f>1.03^-I12</f>
        <v>0.92876734674737782</v>
      </c>
      <c r="K12" s="5">
        <f>+SUM(J$10:J12)</f>
        <v>2.8707269920614698</v>
      </c>
      <c r="L12" s="1">
        <f t="shared" si="0"/>
        <v>24922.934063329667</v>
      </c>
      <c r="M12" s="24">
        <f t="shared" si="1"/>
        <v>78458.84211722303</v>
      </c>
      <c r="O12" s="3">
        <f t="shared" ref="O12:O68" si="7">+O11+1</f>
        <v>2</v>
      </c>
      <c r="P12" s="3">
        <f t="shared" si="2"/>
        <v>0.94259590913375435</v>
      </c>
      <c r="Q12" s="1">
        <f t="shared" si="3"/>
        <v>13526.251296069375</v>
      </c>
      <c r="R12" s="2">
        <f>+SUM(Q$10:Q12)</f>
        <v>41808.290131020825</v>
      </c>
      <c r="S12">
        <f t="shared" si="4"/>
        <v>4.2581423687095721E-2</v>
      </c>
      <c r="T12" s="3">
        <f>+SUM(S$10:S12)</f>
        <v>0.13161492247444417</v>
      </c>
      <c r="U12" s="3">
        <f t="shared" si="5"/>
        <v>317656.1543706322</v>
      </c>
    </row>
    <row r="13" spans="1:21" x14ac:dyDescent="0.25">
      <c r="A13" t="s">
        <v>6</v>
      </c>
      <c r="B13" s="6">
        <v>40359</v>
      </c>
      <c r="C13" s="6">
        <f>+B13*Scale/PopSize</f>
        <v>66709.090909090912</v>
      </c>
      <c r="D13">
        <f>+C13/CostPerYr_Ezitimibe</f>
        <v>23.588787450173591</v>
      </c>
      <c r="E13" s="7">
        <v>250600</v>
      </c>
      <c r="F13">
        <f>+E13/PopSize</f>
        <v>0.41421487603305784</v>
      </c>
      <c r="G13">
        <f>+F13/K50</f>
        <v>1.7432559038933055E-2</v>
      </c>
      <c r="I13" s="5">
        <f t="shared" si="6"/>
        <v>3.5</v>
      </c>
      <c r="J13" s="5">
        <f t="shared" ref="J13:J52" si="8">1.03^-I13</f>
        <v>0.9017158706285221</v>
      </c>
      <c r="K13" s="5">
        <f>+SUM(J$10:J13)</f>
        <v>3.7724428626899917</v>
      </c>
      <c r="L13" s="1">
        <f t="shared" si="0"/>
        <v>32751.405823158835</v>
      </c>
      <c r="M13" s="24">
        <f t="shared" si="1"/>
        <v>103103.32531742929</v>
      </c>
      <c r="O13" s="3">
        <f t="shared" si="7"/>
        <v>3</v>
      </c>
      <c r="P13" s="3">
        <f t="shared" si="2"/>
        <v>0.91514165935315961</v>
      </c>
      <c r="Q13" s="1">
        <f t="shared" si="3"/>
        <v>13132.28281171784</v>
      </c>
      <c r="R13" s="2">
        <f>+SUM(Q$10:Q13)</f>
        <v>54940.572942738669</v>
      </c>
      <c r="S13">
        <f t="shared" si="4"/>
        <v>4.1341188045724002E-2</v>
      </c>
      <c r="T13" s="3">
        <f>+SUM(S$10:S13)</f>
        <v>0.17295611052016818</v>
      </c>
      <c r="U13" s="3">
        <f t="shared" si="5"/>
        <v>317656.1543706322</v>
      </c>
    </row>
    <row r="14" spans="1:21" x14ac:dyDescent="0.25">
      <c r="A14" t="s">
        <v>7</v>
      </c>
      <c r="B14" s="6">
        <v>210516</v>
      </c>
      <c r="C14" s="6">
        <f>+B14*Scale/PopSize</f>
        <v>347960.3305785124</v>
      </c>
      <c r="D14">
        <f>+C14/CostPerYr_PCSK9</f>
        <v>24.248106660523511</v>
      </c>
      <c r="E14" s="7">
        <v>665200</v>
      </c>
      <c r="F14">
        <f>+E14/PopSize</f>
        <v>1.099504132231405</v>
      </c>
      <c r="G14" s="23">
        <f>+F14/K52</f>
        <v>4.5174632389639847E-2</v>
      </c>
      <c r="I14" s="5">
        <f t="shared" si="6"/>
        <v>4.5</v>
      </c>
      <c r="J14" s="5">
        <f t="shared" si="8"/>
        <v>0.87545230158108933</v>
      </c>
      <c r="K14" s="5">
        <f>+SUM(J$10:J14)</f>
        <v>4.6478951642710813</v>
      </c>
      <c r="L14" s="1">
        <f t="shared" si="0"/>
        <v>40351.86384241045</v>
      </c>
      <c r="M14" s="24">
        <f t="shared" si="1"/>
        <v>127030.00803607615</v>
      </c>
      <c r="O14" s="3">
        <f t="shared" si="7"/>
        <v>4</v>
      </c>
      <c r="P14" s="3">
        <f t="shared" si="2"/>
        <v>0.888487047915689</v>
      </c>
      <c r="Q14" s="1">
        <f t="shared" si="3"/>
        <v>12749.789137590136</v>
      </c>
      <c r="R14" s="2">
        <f>+SUM(Q$10:Q14)</f>
        <v>67690.362080328807</v>
      </c>
      <c r="S14">
        <f t="shared" si="4"/>
        <v>4.0137075772547576E-2</v>
      </c>
      <c r="T14" s="3">
        <f>+SUM(S$10:S14)</f>
        <v>0.21309318629271576</v>
      </c>
      <c r="U14" s="3">
        <f t="shared" si="5"/>
        <v>317656.1543706322</v>
      </c>
    </row>
    <row r="15" spans="1:21" x14ac:dyDescent="0.25">
      <c r="I15" s="5">
        <f t="shared" si="6"/>
        <v>5.5</v>
      </c>
      <c r="J15" s="5">
        <f t="shared" si="8"/>
        <v>0.84995369085542649</v>
      </c>
      <c r="K15" s="5">
        <f>+SUM(J$10:J15)</f>
        <v>5.4978488551265077</v>
      </c>
      <c r="L15" s="1">
        <f t="shared" si="0"/>
        <v>47730.94929799455</v>
      </c>
      <c r="M15" s="24">
        <f t="shared" si="1"/>
        <v>150259.79708330607</v>
      </c>
      <c r="O15" s="3">
        <f t="shared" si="7"/>
        <v>5</v>
      </c>
      <c r="P15" s="3">
        <f t="shared" si="2"/>
        <v>0.86260878438416411</v>
      </c>
      <c r="Q15" s="1">
        <f t="shared" si="3"/>
        <v>12378.436055912754</v>
      </c>
      <c r="R15" s="2">
        <f>+SUM(Q$10:Q15)</f>
        <v>80068.798136241559</v>
      </c>
      <c r="S15">
        <f t="shared" si="4"/>
        <v>3.8968034730628716E-2</v>
      </c>
      <c r="T15" s="3">
        <f>+SUM(S$10:S15)</f>
        <v>0.25206122102334449</v>
      </c>
      <c r="U15" s="3">
        <f t="shared" si="5"/>
        <v>317656.1543706322</v>
      </c>
    </row>
    <row r="16" spans="1:21" x14ac:dyDescent="0.25">
      <c r="I16" s="5">
        <f t="shared" si="6"/>
        <v>6.5</v>
      </c>
      <c r="J16" s="5">
        <f t="shared" si="8"/>
        <v>0.82519775811206453</v>
      </c>
      <c r="K16" s="5">
        <f>+SUM(J$10:J16)</f>
        <v>6.3230466132385725</v>
      </c>
      <c r="L16" s="1">
        <f t="shared" si="0"/>
        <v>54895.109934483975</v>
      </c>
      <c r="M16" s="24">
        <f t="shared" si="1"/>
        <v>172812.99033304388</v>
      </c>
      <c r="O16" s="3">
        <f t="shared" si="7"/>
        <v>6</v>
      </c>
      <c r="P16" s="3">
        <f t="shared" si="2"/>
        <v>0.83748425668365445</v>
      </c>
      <c r="Q16" s="1">
        <f t="shared" si="3"/>
        <v>12017.899083410441</v>
      </c>
      <c r="R16" s="2">
        <f>+SUM(Q$10:Q16)</f>
        <v>92086.697219652007</v>
      </c>
      <c r="S16">
        <f t="shared" si="4"/>
        <v>3.7833043427794866E-2</v>
      </c>
      <c r="T16" s="3">
        <f>+SUM(S$10:S16)</f>
        <v>0.28989426445113936</v>
      </c>
      <c r="U16" s="3">
        <f t="shared" si="5"/>
        <v>317656.15437063226</v>
      </c>
    </row>
    <row r="17" spans="2:27" x14ac:dyDescent="0.25">
      <c r="B17" s="9"/>
      <c r="I17" s="5">
        <f t="shared" si="6"/>
        <v>7.5</v>
      </c>
      <c r="J17" s="5">
        <f t="shared" si="8"/>
        <v>0.80116287195346081</v>
      </c>
      <c r="K17" s="5">
        <f>+SUM(J$10:J17)</f>
        <v>7.1242094851920337</v>
      </c>
      <c r="L17" s="1">
        <f t="shared" si="0"/>
        <v>61850.605698065934</v>
      </c>
      <c r="M17" s="24">
        <f t="shared" si="1"/>
        <v>194709.29445900297</v>
      </c>
      <c r="O17" s="3">
        <f t="shared" si="7"/>
        <v>7</v>
      </c>
      <c r="P17" s="3">
        <f t="shared" si="2"/>
        <v>0.81309151134335378</v>
      </c>
      <c r="Q17" s="1">
        <f t="shared" si="3"/>
        <v>11667.863187777126</v>
      </c>
      <c r="R17" s="2">
        <f>+SUM(Q$10:Q17)</f>
        <v>103754.56040742913</v>
      </c>
      <c r="S17">
        <f t="shared" si="4"/>
        <v>3.6731110124072687E-2</v>
      </c>
      <c r="T17" s="3">
        <f>+SUM(S$10:S17)</f>
        <v>0.32662537457521207</v>
      </c>
      <c r="U17" s="3">
        <f t="shared" si="5"/>
        <v>317656.1543706322</v>
      </c>
      <c r="V17" s="12"/>
      <c r="W17" s="12"/>
      <c r="X17" s="12"/>
      <c r="Y17" s="12"/>
      <c r="Z17" s="12"/>
      <c r="AA17" s="12"/>
    </row>
    <row r="18" spans="2:27" x14ac:dyDescent="0.25">
      <c r="I18" s="5">
        <f t="shared" si="6"/>
        <v>8.5</v>
      </c>
      <c r="J18" s="5">
        <f t="shared" si="8"/>
        <v>0.77782803102277731</v>
      </c>
      <c r="K18" s="5">
        <f>+SUM(J$10:J18)</f>
        <v>7.9020375162148113</v>
      </c>
      <c r="L18" s="1">
        <f t="shared" si="0"/>
        <v>68603.514206397929</v>
      </c>
      <c r="M18" s="24">
        <f t="shared" si="1"/>
        <v>215967.84215410883</v>
      </c>
      <c r="O18" s="3">
        <f t="shared" si="7"/>
        <v>8</v>
      </c>
      <c r="P18" s="3">
        <f t="shared" si="2"/>
        <v>0.78940923431393573</v>
      </c>
      <c r="Q18" s="1">
        <f t="shared" si="3"/>
        <v>11328.022512404978</v>
      </c>
      <c r="R18" s="2">
        <f>+SUM(Q$10:Q18)</f>
        <v>115082.58291983411</v>
      </c>
      <c r="S18">
        <f t="shared" si="4"/>
        <v>3.5661271965119111E-2</v>
      </c>
      <c r="T18" s="3">
        <f>+SUM(S$10:S18)</f>
        <v>0.36228664654033116</v>
      </c>
      <c r="U18" s="3">
        <f t="shared" si="5"/>
        <v>317656.15437063226</v>
      </c>
    </row>
    <row r="19" spans="2:27" x14ac:dyDescent="0.25">
      <c r="I19" s="5">
        <f t="shared" si="6"/>
        <v>9.5</v>
      </c>
      <c r="J19" s="5">
        <f t="shared" si="8"/>
        <v>0.75517284565318188</v>
      </c>
      <c r="K19" s="5">
        <f>+SUM(J$10:J19)</f>
        <v>8.6572103618679925</v>
      </c>
      <c r="L19" s="1">
        <f t="shared" si="0"/>
        <v>75159.736059147443</v>
      </c>
      <c r="M19" s="24">
        <f t="shared" si="1"/>
        <v>236607.20884838633</v>
      </c>
      <c r="O19" s="3">
        <f t="shared" si="7"/>
        <v>9</v>
      </c>
      <c r="P19" s="3">
        <f t="shared" si="2"/>
        <v>0.76641673234362695</v>
      </c>
      <c r="Q19" s="1">
        <f t="shared" si="3"/>
        <v>10998.080109131046</v>
      </c>
      <c r="R19" s="2">
        <f>+SUM(Q$10:Q19)</f>
        <v>126080.66302896515</v>
      </c>
      <c r="S19">
        <f t="shared" si="4"/>
        <v>3.4622594140892346E-2</v>
      </c>
      <c r="T19" s="3">
        <f>+SUM(S$10:S19)</f>
        <v>0.39690924068122352</v>
      </c>
      <c r="U19" s="3">
        <f t="shared" si="5"/>
        <v>317656.1543706322</v>
      </c>
    </row>
    <row r="20" spans="2:27" x14ac:dyDescent="0.25">
      <c r="I20" s="5">
        <f t="shared" si="6"/>
        <v>10.5</v>
      </c>
      <c r="J20" s="5">
        <f t="shared" si="8"/>
        <v>0.73317752005163295</v>
      </c>
      <c r="K20" s="5">
        <f>+SUM(J$10:J20)</f>
        <v>9.3903878819196258</v>
      </c>
      <c r="L20" s="1">
        <f t="shared" si="0"/>
        <v>81524.999993855716</v>
      </c>
      <c r="M20" s="24">
        <f t="shared" si="1"/>
        <v>256645.42893991794</v>
      </c>
      <c r="O20" s="3">
        <f t="shared" si="7"/>
        <v>10</v>
      </c>
      <c r="P20" s="3">
        <f t="shared" si="2"/>
        <v>0.74409391489672516</v>
      </c>
      <c r="Q20" s="1">
        <f t="shared" si="3"/>
        <v>10677.747678768006</v>
      </c>
      <c r="R20" s="2">
        <f>+SUM(Q$10:Q20)</f>
        <v>136758.41070773316</v>
      </c>
      <c r="S20">
        <f t="shared" si="4"/>
        <v>3.3614169068827519E-2</v>
      </c>
      <c r="T20" s="3">
        <f>+SUM(S$10:S20)</f>
        <v>0.43052340975005104</v>
      </c>
      <c r="U20" s="3">
        <f t="shared" si="5"/>
        <v>317656.1543706322</v>
      </c>
    </row>
    <row r="21" spans="2:27" x14ac:dyDescent="0.25">
      <c r="I21" s="5">
        <f t="shared" si="6"/>
        <v>11.5</v>
      </c>
      <c r="J21" s="5">
        <f t="shared" si="8"/>
        <v>0.71182283500158527</v>
      </c>
      <c r="K21" s="5">
        <f>+SUM(J$10:J21)</f>
        <v>10.102210716921212</v>
      </c>
      <c r="L21" s="1">
        <f t="shared" si="0"/>
        <v>87704.867891630725</v>
      </c>
      <c r="M21" s="24">
        <f t="shared" si="1"/>
        <v>276100.01155305543</v>
      </c>
      <c r="O21" s="3">
        <f t="shared" si="7"/>
        <v>11</v>
      </c>
      <c r="P21" s="3">
        <f t="shared" si="2"/>
        <v>0.72242127659876232</v>
      </c>
      <c r="Q21" s="1">
        <f t="shared" si="3"/>
        <v>10366.74531919224</v>
      </c>
      <c r="R21" s="2">
        <f>+SUM(Q$10:Q21)</f>
        <v>147125.1560269254</v>
      </c>
      <c r="S21">
        <f t="shared" si="4"/>
        <v>3.2635115600803413E-2</v>
      </c>
      <c r="T21" s="3">
        <f>+SUM(S$10:S21)</f>
        <v>0.46315852535085444</v>
      </c>
      <c r="U21" s="3">
        <f t="shared" si="5"/>
        <v>317656.1543706322</v>
      </c>
    </row>
    <row r="22" spans="2:27" x14ac:dyDescent="0.25">
      <c r="I22" s="5">
        <f t="shared" si="6"/>
        <v>12.5</v>
      </c>
      <c r="J22" s="5">
        <f t="shared" si="8"/>
        <v>0.69109013106950024</v>
      </c>
      <c r="K22" s="5">
        <f>+SUM(J$10:J22)</f>
        <v>10.793300847990713</v>
      </c>
      <c r="L22" s="1">
        <f t="shared" si="0"/>
        <v>93704.739637043385</v>
      </c>
      <c r="M22" s="24">
        <f t="shared" si="1"/>
        <v>294987.95583765494</v>
      </c>
      <c r="O22" s="3">
        <f t="shared" si="7"/>
        <v>12</v>
      </c>
      <c r="P22" s="3">
        <f t="shared" si="2"/>
        <v>0.70137988019297326</v>
      </c>
      <c r="Q22" s="1">
        <f t="shared" si="3"/>
        <v>10064.801280769167</v>
      </c>
      <c r="R22" s="2">
        <f>+SUM(Q$10:Q22)</f>
        <v>157189.95730769457</v>
      </c>
      <c r="S22">
        <f t="shared" si="4"/>
        <v>3.1684578253207203E-2</v>
      </c>
      <c r="T22" s="3">
        <f>+SUM(S$10:S22)</f>
        <v>0.49484310360406164</v>
      </c>
      <c r="U22" s="3">
        <f t="shared" si="5"/>
        <v>317656.15437063226</v>
      </c>
    </row>
    <row r="23" spans="2:27" x14ac:dyDescent="0.25">
      <c r="I23" s="5">
        <f t="shared" si="6"/>
        <v>13.5</v>
      </c>
      <c r="J23" s="5">
        <f t="shared" si="8"/>
        <v>0.67096129230048573</v>
      </c>
      <c r="K23" s="5">
        <f>+SUM(J$10:J23)</f>
        <v>11.464262140291199</v>
      </c>
      <c r="L23" s="1">
        <f t="shared" si="0"/>
        <v>99529.857836473107</v>
      </c>
      <c r="M23" s="24">
        <f t="shared" si="1"/>
        <v>313325.76582270296</v>
      </c>
      <c r="O23" s="3">
        <f t="shared" si="7"/>
        <v>13</v>
      </c>
      <c r="P23" s="3">
        <f t="shared" si="2"/>
        <v>0.68095133999317792</v>
      </c>
      <c r="Q23" s="1">
        <f t="shared" si="3"/>
        <v>9771.6517289021031</v>
      </c>
      <c r="R23" s="2">
        <f>+SUM(Q$10:Q23)</f>
        <v>166961.60903659667</v>
      </c>
      <c r="S23">
        <f t="shared" si="4"/>
        <v>3.076172645942447E-2</v>
      </c>
      <c r="T23" s="3">
        <f>+SUM(S$10:S23)</f>
        <v>0.52560483006348613</v>
      </c>
      <c r="U23" s="3">
        <f t="shared" si="5"/>
        <v>317656.1543706322</v>
      </c>
    </row>
    <row r="24" spans="2:27" x14ac:dyDescent="0.25">
      <c r="I24" s="5">
        <f t="shared" si="6"/>
        <v>14.5</v>
      </c>
      <c r="J24" s="5">
        <f t="shared" si="8"/>
        <v>0.65141873038882114</v>
      </c>
      <c r="K24" s="5">
        <f>+SUM(J$10:J24)</f>
        <v>12.11568087068002</v>
      </c>
      <c r="L24" s="1">
        <f t="shared" si="0"/>
        <v>105185.31239902625</v>
      </c>
      <c r="M24" s="24">
        <f t="shared" si="1"/>
        <v>331129.46483731276</v>
      </c>
      <c r="O24" s="3">
        <f t="shared" si="7"/>
        <v>14</v>
      </c>
      <c r="P24" s="3">
        <f t="shared" si="2"/>
        <v>0.66111780581861923</v>
      </c>
      <c r="Q24" s="1">
        <f t="shared" si="3"/>
        <v>9487.0405134971861</v>
      </c>
      <c r="R24" s="2">
        <f>+SUM(Q$10:Q24)</f>
        <v>176448.64955009386</v>
      </c>
      <c r="S24">
        <f t="shared" si="4"/>
        <v>2.9865753844101423E-2</v>
      </c>
      <c r="T24" s="3">
        <f>+SUM(S$10:S24)</f>
        <v>0.55547058390758752</v>
      </c>
      <c r="U24" s="3">
        <f t="shared" si="5"/>
        <v>317656.15437063226</v>
      </c>
    </row>
    <row r="25" spans="2:27" x14ac:dyDescent="0.25">
      <c r="I25" s="5">
        <f t="shared" si="6"/>
        <v>15.5</v>
      </c>
      <c r="J25" s="5">
        <f t="shared" si="8"/>
        <v>0.63244536930953499</v>
      </c>
      <c r="K25" s="5">
        <f>+SUM(J$10:J25)</f>
        <v>12.748126239989555</v>
      </c>
      <c r="L25" s="1">
        <f t="shared" si="0"/>
        <v>110676.04498402931</v>
      </c>
      <c r="M25" s="24">
        <f t="shared" si="1"/>
        <v>348414.60951169115</v>
      </c>
      <c r="O25" s="3">
        <f t="shared" si="7"/>
        <v>15</v>
      </c>
      <c r="P25" s="3">
        <f t="shared" si="2"/>
        <v>0.64186194739671765</v>
      </c>
      <c r="Q25" s="1">
        <f t="shared" si="3"/>
        <v>9210.7189451428985</v>
      </c>
      <c r="R25" s="2">
        <f>+SUM(Q$10:Q25)</f>
        <v>185659.36849523676</v>
      </c>
      <c r="S25">
        <f t="shared" si="4"/>
        <v>2.8995877518545068E-2</v>
      </c>
      <c r="T25" s="3">
        <f>+SUM(S$10:S25)</f>
        <v>0.58446646142613257</v>
      </c>
      <c r="U25" s="3">
        <f t="shared" si="5"/>
        <v>317656.15437063226</v>
      </c>
    </row>
    <row r="26" spans="2:27" x14ac:dyDescent="0.25">
      <c r="I26" s="5">
        <f t="shared" si="6"/>
        <v>16.5</v>
      </c>
      <c r="J26" s="5">
        <f t="shared" si="8"/>
        <v>0.6140246303976068</v>
      </c>
      <c r="K26" s="5">
        <f>+SUM(J$10:J26)</f>
        <v>13.362150870387161</v>
      </c>
      <c r="L26" s="1">
        <f t="shared" si="0"/>
        <v>116006.85331898373</v>
      </c>
      <c r="M26" s="24">
        <f t="shared" si="1"/>
        <v>365196.30337031092</v>
      </c>
      <c r="O26" s="3">
        <f t="shared" si="7"/>
        <v>16</v>
      </c>
      <c r="P26" s="3">
        <f t="shared" si="2"/>
        <v>0.62316693922011435</v>
      </c>
      <c r="Q26" s="1">
        <f t="shared" si="3"/>
        <v>8942.4455778086412</v>
      </c>
      <c r="R26" s="2">
        <f>+SUM(Q$10:Q26)</f>
        <v>194601.81407304539</v>
      </c>
      <c r="S26">
        <f t="shared" si="4"/>
        <v>2.8151337396645704E-2</v>
      </c>
      <c r="T26" s="3">
        <f>+SUM(S$10:S26)</f>
        <v>0.61261779882277823</v>
      </c>
      <c r="U26" s="3">
        <f t="shared" si="5"/>
        <v>317656.15437063226</v>
      </c>
    </row>
    <row r="27" spans="2:27" x14ac:dyDescent="0.25">
      <c r="I27" s="5">
        <f t="shared" si="6"/>
        <v>17.5</v>
      </c>
      <c r="J27" s="5">
        <f t="shared" si="8"/>
        <v>0.59614041786175409</v>
      </c>
      <c r="K27" s="5">
        <f>+SUM(J$10:J27)</f>
        <v>13.958291288248915</v>
      </c>
      <c r="L27" s="1">
        <f t="shared" si="0"/>
        <v>121182.39539175502</v>
      </c>
      <c r="M27" s="24">
        <f t="shared" si="1"/>
        <v>381489.21002916509</v>
      </c>
      <c r="O27" s="3">
        <f t="shared" si="7"/>
        <v>17</v>
      </c>
      <c r="P27" s="3">
        <f t="shared" si="2"/>
        <v>0.60501644584477121</v>
      </c>
      <c r="Q27" s="1">
        <f t="shared" si="3"/>
        <v>8681.9859978724671</v>
      </c>
      <c r="R27" s="2">
        <f>+SUM(Q$10:Q27)</f>
        <v>203283.80007091785</v>
      </c>
      <c r="S27">
        <f t="shared" si="4"/>
        <v>2.7331395530723984E-2</v>
      </c>
      <c r="T27" s="3">
        <f>+SUM(S$10:S27)</f>
        <v>0.63994919435350217</v>
      </c>
      <c r="U27" s="3">
        <f t="shared" si="5"/>
        <v>317656.15437063226</v>
      </c>
    </row>
    <row r="28" spans="2:27" x14ac:dyDescent="0.25">
      <c r="I28" s="5">
        <f t="shared" si="6"/>
        <v>18.5</v>
      </c>
      <c r="J28" s="5">
        <f t="shared" si="8"/>
        <v>0.57877710472014965</v>
      </c>
      <c r="K28" s="5">
        <f>+SUM(J$10:J28)</f>
        <v>14.537068392969065</v>
      </c>
      <c r="L28" s="1">
        <f t="shared" si="0"/>
        <v>126207.19352065917</v>
      </c>
      <c r="M28" s="24">
        <f t="shared" si="1"/>
        <v>397307.56600863516</v>
      </c>
      <c r="O28" s="3">
        <f t="shared" si="7"/>
        <v>18</v>
      </c>
      <c r="P28" s="3">
        <f t="shared" si="2"/>
        <v>0.5873946076162827</v>
      </c>
      <c r="Q28" s="1">
        <f t="shared" si="3"/>
        <v>8429.1126192936572</v>
      </c>
      <c r="R28" s="2">
        <f>+SUM(Q$10:Q28)</f>
        <v>211712.91269021149</v>
      </c>
      <c r="S28">
        <f t="shared" si="4"/>
        <v>2.6535335466722314E-2</v>
      </c>
      <c r="T28" s="3">
        <f>+SUM(S$10:S28)</f>
        <v>0.66648452982022444</v>
      </c>
      <c r="U28" s="3">
        <f t="shared" si="5"/>
        <v>317656.15437063231</v>
      </c>
    </row>
    <row r="29" spans="2:27" x14ac:dyDescent="0.25">
      <c r="I29" s="5">
        <f t="shared" si="6"/>
        <v>19.5</v>
      </c>
      <c r="J29" s="5">
        <f t="shared" si="8"/>
        <v>0.56191951914577642</v>
      </c>
      <c r="K29" s="5">
        <f>+SUM(J$10:J29)</f>
        <v>15.098987912114842</v>
      </c>
      <c r="L29" s="1">
        <f t="shared" si="0"/>
        <v>131085.63830600303</v>
      </c>
      <c r="M29" s="24">
        <f t="shared" si="1"/>
        <v>412665.19317316922</v>
      </c>
      <c r="O29" s="3">
        <f t="shared" si="7"/>
        <v>19</v>
      </c>
      <c r="P29" s="3">
        <f t="shared" si="2"/>
        <v>0.57028602681192497</v>
      </c>
      <c r="Q29" s="1">
        <f t="shared" si="3"/>
        <v>8183.604484751123</v>
      </c>
      <c r="R29" s="2">
        <f>+SUM(Q$10:Q29)</f>
        <v>219896.51717496262</v>
      </c>
      <c r="S29">
        <f t="shared" si="4"/>
        <v>2.5762461618177003E-2</v>
      </c>
      <c r="T29" s="3">
        <f>+SUM(S$10:S29)</f>
        <v>0.6922469914384014</v>
      </c>
      <c r="U29" s="3">
        <f t="shared" si="5"/>
        <v>317656.15437063231</v>
      </c>
    </row>
    <row r="30" spans="2:27" x14ac:dyDescent="0.25">
      <c r="I30" s="5">
        <f t="shared" si="6"/>
        <v>20.5</v>
      </c>
      <c r="J30" s="5">
        <f t="shared" si="8"/>
        <v>0.54555293120949155</v>
      </c>
      <c r="K30" s="5">
        <f>+SUM(J$10:J30)</f>
        <v>15.644540843324332</v>
      </c>
      <c r="L30" s="1">
        <f t="shared" si="0"/>
        <v>135821.99246653102</v>
      </c>
      <c r="M30" s="24">
        <f t="shared" si="1"/>
        <v>427575.51080863917</v>
      </c>
      <c r="O30" s="3">
        <f t="shared" si="7"/>
        <v>20</v>
      </c>
      <c r="P30" s="3">
        <f t="shared" si="2"/>
        <v>0.55367575418633497</v>
      </c>
      <c r="Q30" s="1">
        <f t="shared" si="3"/>
        <v>7945.2470725739067</v>
      </c>
      <c r="R30" s="2">
        <f>+SUM(Q$10:Q30)</f>
        <v>227841.76424753651</v>
      </c>
      <c r="S30">
        <f t="shared" si="4"/>
        <v>2.5012098658424277E-2</v>
      </c>
      <c r="T30" s="3">
        <f>+SUM(S$10:S30)</f>
        <v>0.71725909009682565</v>
      </c>
      <c r="U30" s="3">
        <f t="shared" si="5"/>
        <v>317656.15437063231</v>
      </c>
    </row>
    <row r="31" spans="2:27" x14ac:dyDescent="0.25">
      <c r="I31" s="5">
        <f t="shared" si="6"/>
        <v>21.5</v>
      </c>
      <c r="J31" s="5">
        <f t="shared" si="8"/>
        <v>0.52966304000921516</v>
      </c>
      <c r="K31" s="5">
        <f>+SUM(J$10:J31)</f>
        <v>16.174203883333547</v>
      </c>
      <c r="L31" s="1">
        <f t="shared" si="0"/>
        <v>140420.39456413101</v>
      </c>
      <c r="M31" s="24">
        <f t="shared" si="1"/>
        <v>442051.54734793038</v>
      </c>
      <c r="O31" s="3">
        <f t="shared" si="7"/>
        <v>21</v>
      </c>
      <c r="P31" s="3">
        <f t="shared" si="2"/>
        <v>0.5375492759090631</v>
      </c>
      <c r="Q31" s="1">
        <f t="shared" si="3"/>
        <v>7713.8321092950555</v>
      </c>
      <c r="R31" s="2">
        <f>+SUM(Q$10:Q31)</f>
        <v>235555.59635683158</v>
      </c>
      <c r="S31">
        <f t="shared" si="4"/>
        <v>2.4283590930509007E-2</v>
      </c>
      <c r="T31" s="3">
        <f>+SUM(S$10:S31)</f>
        <v>0.74154268102733467</v>
      </c>
      <c r="U31" s="3">
        <f t="shared" si="5"/>
        <v>317656.15437063231</v>
      </c>
    </row>
    <row r="32" spans="2:27" x14ac:dyDescent="0.25">
      <c r="I32" s="5">
        <f t="shared" si="6"/>
        <v>22.5</v>
      </c>
      <c r="J32" s="5">
        <f t="shared" si="8"/>
        <v>0.51423596117399528</v>
      </c>
      <c r="K32" s="5">
        <f>+SUM(J$10:J32)</f>
        <v>16.688439844507542</v>
      </c>
      <c r="L32" s="1">
        <f t="shared" si="0"/>
        <v>144884.86262005335</v>
      </c>
      <c r="M32" s="24">
        <f t="shared" si="1"/>
        <v>456105.95175500918</v>
      </c>
      <c r="O32" s="3">
        <f t="shared" si="7"/>
        <v>22</v>
      </c>
      <c r="P32" s="3">
        <f t="shared" si="2"/>
        <v>0.52189250088258554</v>
      </c>
      <c r="Q32" s="1">
        <f t="shared" si="3"/>
        <v>7489.1573876651028</v>
      </c>
      <c r="R32" s="2">
        <f>+SUM(Q$10:Q32)</f>
        <v>243044.75374449667</v>
      </c>
      <c r="S32">
        <f t="shared" si="4"/>
        <v>2.357630187428059E-2</v>
      </c>
      <c r="T32" s="3">
        <f>+SUM(S$10:S32)</f>
        <v>0.76511898290161529</v>
      </c>
      <c r="U32" s="3">
        <f t="shared" si="5"/>
        <v>317656.15437063231</v>
      </c>
    </row>
    <row r="33" spans="9:21" x14ac:dyDescent="0.25">
      <c r="I33" s="5">
        <f t="shared" si="6"/>
        <v>23.5</v>
      </c>
      <c r="J33" s="5">
        <f t="shared" si="8"/>
        <v>0.49925821473203419</v>
      </c>
      <c r="K33" s="5">
        <f>+SUM(J$10:J33)</f>
        <v>17.187698059239576</v>
      </c>
      <c r="L33" s="1">
        <f t="shared" si="0"/>
        <v>149219.29762580318</v>
      </c>
      <c r="M33" s="24">
        <f t="shared" si="1"/>
        <v>469751.00457741582</v>
      </c>
      <c r="O33" s="3">
        <f t="shared" si="7"/>
        <v>23</v>
      </c>
      <c r="P33" s="3">
        <f t="shared" si="2"/>
        <v>0.50669174842969467</v>
      </c>
      <c r="Q33" s="1">
        <f t="shared" si="3"/>
        <v>7271.0265899661181</v>
      </c>
      <c r="R33" s="2">
        <f>+SUM(Q$10:Q33)</f>
        <v>250315.78033446279</v>
      </c>
      <c r="S33">
        <f t="shared" si="4"/>
        <v>2.2889613470175329E-2</v>
      </c>
      <c r="T33" s="3">
        <f>+SUM(S$10:S33)</f>
        <v>0.78800859637179066</v>
      </c>
      <c r="U33" s="3">
        <f t="shared" si="5"/>
        <v>317656.15437063226</v>
      </c>
    </row>
    <row r="34" spans="9:21" x14ac:dyDescent="0.25">
      <c r="I34" s="5">
        <f t="shared" si="6"/>
        <v>24.5</v>
      </c>
      <c r="J34" s="5">
        <f t="shared" si="8"/>
        <v>0.484716713332072</v>
      </c>
      <c r="K34" s="5">
        <f>+SUM(J$10:J34)</f>
        <v>17.672414772571649</v>
      </c>
      <c r="L34" s="1">
        <f t="shared" si="0"/>
        <v>153427.48695177393</v>
      </c>
      <c r="M34" s="24">
        <f t="shared" si="1"/>
        <v>482998.62867683975</v>
      </c>
      <c r="O34" s="3">
        <f t="shared" si="7"/>
        <v>24</v>
      </c>
      <c r="P34" s="3">
        <f t="shared" si="2"/>
        <v>0.49193373633950943</v>
      </c>
      <c r="Q34" s="1">
        <f t="shared" si="3"/>
        <v>7059.2491164719604</v>
      </c>
      <c r="R34" s="2">
        <f>+SUM(Q$10:Q34)</f>
        <v>257375.02945093476</v>
      </c>
      <c r="S34">
        <f t="shared" si="4"/>
        <v>2.2222925699199352E-2</v>
      </c>
      <c r="T34" s="3">
        <f>+SUM(S$10:S34)</f>
        <v>0.81023152207099003</v>
      </c>
      <c r="U34" s="3">
        <f t="shared" si="5"/>
        <v>317656.15437063226</v>
      </c>
    </row>
    <row r="35" spans="9:21" x14ac:dyDescent="0.25">
      <c r="I35" s="5">
        <f t="shared" si="6"/>
        <v>25.5</v>
      </c>
      <c r="J35" s="5">
        <f t="shared" si="8"/>
        <v>0.47059875080783686</v>
      </c>
      <c r="K35" s="5">
        <f>+SUM(J$10:J35)</f>
        <v>18.143013523379487</v>
      </c>
      <c r="L35" s="1">
        <f t="shared" si="0"/>
        <v>157513.10765659987</v>
      </c>
      <c r="M35" s="24">
        <f t="shared" si="1"/>
        <v>495860.39964715432</v>
      </c>
      <c r="O35" s="3">
        <f t="shared" si="7"/>
        <v>25</v>
      </c>
      <c r="P35" s="3">
        <f t="shared" si="2"/>
        <v>0.47760556926165965</v>
      </c>
      <c r="Q35" s="1">
        <f t="shared" si="3"/>
        <v>6853.6399189048161</v>
      </c>
      <c r="R35" s="2">
        <f>+SUM(Q$10:Q35)</f>
        <v>264228.6693698396</v>
      </c>
      <c r="S35">
        <f t="shared" si="4"/>
        <v>2.1575656018640147E-2</v>
      </c>
      <c r="T35" s="3">
        <f>+SUM(S$10:S35)</f>
        <v>0.83180717808963023</v>
      </c>
      <c r="U35" s="3">
        <f t="shared" si="5"/>
        <v>317656.15437063226</v>
      </c>
    </row>
    <row r="36" spans="9:21" x14ac:dyDescent="0.25">
      <c r="I36" s="5">
        <f t="shared" si="6"/>
        <v>26.5</v>
      </c>
      <c r="J36" s="5">
        <f t="shared" si="8"/>
        <v>0.45689199107556977</v>
      </c>
      <c r="K36" s="5">
        <f>+SUM(J$10:J36)</f>
        <v>18.599905514455056</v>
      </c>
      <c r="L36" s="1">
        <f t="shared" si="0"/>
        <v>161479.72970012017</v>
      </c>
      <c r="M36" s="24">
        <f t="shared" si="1"/>
        <v>508347.555929013</v>
      </c>
      <c r="O36" s="3">
        <f t="shared" si="7"/>
        <v>26</v>
      </c>
      <c r="P36" s="3">
        <f t="shared" si="2"/>
        <v>0.46369472743850448</v>
      </c>
      <c r="Q36" s="1">
        <f t="shared" si="3"/>
        <v>6654.0193387425397</v>
      </c>
      <c r="R36" s="2">
        <f>+SUM(Q$10:Q36)</f>
        <v>270882.68870858214</v>
      </c>
      <c r="S36">
        <f t="shared" si="4"/>
        <v>2.0947238853048687E-2</v>
      </c>
      <c r="T36" s="3">
        <f>+SUM(S$10:S36)</f>
        <v>0.85275441694267895</v>
      </c>
      <c r="U36" s="3">
        <f t="shared" si="5"/>
        <v>317656.15437063226</v>
      </c>
    </row>
    <row r="37" spans="9:21" x14ac:dyDescent="0.25">
      <c r="I37" s="5">
        <f t="shared" si="6"/>
        <v>27.5</v>
      </c>
      <c r="J37" s="5">
        <f t="shared" si="8"/>
        <v>0.44358445735492213</v>
      </c>
      <c r="K37" s="5">
        <f>+SUM(J$10:J37)</f>
        <v>19.043489971809979</v>
      </c>
      <c r="L37" s="1">
        <f t="shared" si="0"/>
        <v>165330.81906276129</v>
      </c>
      <c r="M37" s="24">
        <f t="shared" si="1"/>
        <v>520471.00862984679</v>
      </c>
      <c r="O37" s="3">
        <f t="shared" si="7"/>
        <v>27</v>
      </c>
      <c r="P37" s="3">
        <f t="shared" si="2"/>
        <v>0.45018905576553836</v>
      </c>
      <c r="Q37" s="1">
        <f t="shared" si="3"/>
        <v>6460.2129502354755</v>
      </c>
      <c r="R37" s="2">
        <f>+SUM(Q$10:Q37)</f>
        <v>277342.9016588176</v>
      </c>
      <c r="S37">
        <f t="shared" si="4"/>
        <v>2.033712510004727E-2</v>
      </c>
      <c r="T37" s="3">
        <f>+SUM(S$10:S37)</f>
        <v>0.87309154204272621</v>
      </c>
      <c r="U37" s="3">
        <f t="shared" si="5"/>
        <v>317656.15437063226</v>
      </c>
    </row>
    <row r="38" spans="9:21" x14ac:dyDescent="0.25">
      <c r="I38" s="5">
        <f t="shared" ref="I38:I42" si="9">+I37+1</f>
        <v>28.5</v>
      </c>
      <c r="J38" s="5">
        <f t="shared" si="8"/>
        <v>0.43066452170380792</v>
      </c>
      <c r="K38" s="5">
        <f>+SUM(J$10:J38)</f>
        <v>19.474154493513787</v>
      </c>
      <c r="L38" s="1">
        <f t="shared" si="0"/>
        <v>169069.74077406331</v>
      </c>
      <c r="M38" s="24">
        <f t="shared" si="1"/>
        <v>532241.35105784063</v>
      </c>
      <c r="O38" s="3">
        <f t="shared" si="7"/>
        <v>28</v>
      </c>
      <c r="P38" s="3">
        <f t="shared" si="2"/>
        <v>0.4370767531704256</v>
      </c>
      <c r="Q38" s="1">
        <f t="shared" si="3"/>
        <v>6272.0514079956074</v>
      </c>
      <c r="R38" s="2">
        <f>+SUM(Q$10:Q38)</f>
        <v>283614.95306681324</v>
      </c>
      <c r="S38">
        <f t="shared" si="4"/>
        <v>1.974478165053133E-2</v>
      </c>
      <c r="T38" s="3">
        <f>+SUM(S$10:S38)</f>
        <v>0.89283632369325749</v>
      </c>
      <c r="U38" s="3">
        <f t="shared" si="5"/>
        <v>317656.15437063231</v>
      </c>
    </row>
    <row r="39" spans="9:21" x14ac:dyDescent="0.25">
      <c r="I39" s="5">
        <f t="shared" si="9"/>
        <v>29.5</v>
      </c>
      <c r="J39" s="5">
        <f t="shared" si="8"/>
        <v>0.41812089485806586</v>
      </c>
      <c r="K39" s="5">
        <f>+SUM(J$10:J39)</f>
        <v>19.892275388371853</v>
      </c>
      <c r="L39" s="1">
        <f t="shared" si="0"/>
        <v>172699.76185299736</v>
      </c>
      <c r="M39" s="24">
        <f t="shared" si="1"/>
        <v>543668.86797822313</v>
      </c>
      <c r="O39" s="3">
        <f t="shared" si="7"/>
        <v>29</v>
      </c>
      <c r="P39" s="3">
        <f t="shared" si="2"/>
        <v>0.42434636230138412</v>
      </c>
      <c r="Q39" s="1">
        <f t="shared" si="3"/>
        <v>6089.3702990248621</v>
      </c>
      <c r="R39" s="2">
        <f>+SUM(Q$10:Q39)</f>
        <v>289704.32336583809</v>
      </c>
      <c r="S39">
        <f t="shared" si="4"/>
        <v>1.9169690922845952E-2</v>
      </c>
      <c r="T39" s="3">
        <f>+SUM(S$10:S39)</f>
        <v>0.91200601461610342</v>
      </c>
      <c r="U39" s="3">
        <f t="shared" si="5"/>
        <v>317656.15437063231</v>
      </c>
    </row>
    <row r="40" spans="9:21" x14ac:dyDescent="0.25">
      <c r="I40" s="5">
        <f t="shared" si="9"/>
        <v>30.5</v>
      </c>
      <c r="J40" s="5">
        <f t="shared" si="8"/>
        <v>0.40594261636705425</v>
      </c>
      <c r="K40" s="5">
        <f>+SUM(J$10:J40)</f>
        <v>20.298218004738906</v>
      </c>
      <c r="L40" s="1">
        <f t="shared" si="0"/>
        <v>176224.05416264199</v>
      </c>
      <c r="M40" s="24">
        <f t="shared" si="1"/>
        <v>554763.54459995357</v>
      </c>
      <c r="O40" s="3">
        <f t="shared" si="7"/>
        <v>30</v>
      </c>
      <c r="P40" s="3">
        <f t="shared" si="2"/>
        <v>0.41198675951590691</v>
      </c>
      <c r="Q40" s="1">
        <f t="shared" si="3"/>
        <v>5912.0099990532644</v>
      </c>
      <c r="R40" s="2">
        <f>+SUM(Q$10:Q40)</f>
        <v>295616.33336489135</v>
      </c>
      <c r="S40">
        <f t="shared" si="4"/>
        <v>1.861135041053005E-2</v>
      </c>
      <c r="T40" s="3">
        <f>+SUM(S$10:S40)</f>
        <v>0.9306173650266335</v>
      </c>
      <c r="U40" s="3">
        <f t="shared" si="5"/>
        <v>317656.15437063231</v>
      </c>
    </row>
    <row r="41" spans="9:21" x14ac:dyDescent="0.25">
      <c r="I41" s="5">
        <f t="shared" si="9"/>
        <v>31.5</v>
      </c>
      <c r="J41" s="5">
        <f t="shared" si="8"/>
        <v>0.39411904501655753</v>
      </c>
      <c r="K41" s="5">
        <f>+SUM(J$10:J41)</f>
        <v>20.692337049755466</v>
      </c>
      <c r="L41" s="1">
        <f t="shared" si="0"/>
        <v>179645.69718171449</v>
      </c>
      <c r="M41" s="24">
        <f t="shared" si="1"/>
        <v>565535.07530066289</v>
      </c>
      <c r="O41" s="3">
        <f t="shared" si="7"/>
        <v>31</v>
      </c>
      <c r="P41" s="3">
        <f t="shared" si="2"/>
        <v>0.39998714516107459</v>
      </c>
      <c r="Q41" s="1">
        <f t="shared" si="3"/>
        <v>5739.81553306142</v>
      </c>
      <c r="R41" s="2">
        <f>+SUM(Q$10:Q41)</f>
        <v>301356.14889795275</v>
      </c>
      <c r="S41">
        <f t="shared" si="4"/>
        <v>1.8069272243233056E-2</v>
      </c>
      <c r="T41" s="3">
        <f>+SUM(S$10:S41)</f>
        <v>0.94868663726986657</v>
      </c>
      <c r="U41" s="3">
        <f t="shared" si="5"/>
        <v>317656.15437063226</v>
      </c>
    </row>
    <row r="42" spans="9:21" x14ac:dyDescent="0.25">
      <c r="I42" s="5">
        <f t="shared" si="9"/>
        <v>32.5</v>
      </c>
      <c r="J42" s="5">
        <f t="shared" si="8"/>
        <v>0.38263984953063834</v>
      </c>
      <c r="K42" s="5">
        <f>+SUM(J$10:J42)</f>
        <v>21.074976899286103</v>
      </c>
      <c r="L42" s="1">
        <f t="shared" si="0"/>
        <v>182967.68069537714</v>
      </c>
      <c r="M42" s="24">
        <f t="shared" si="1"/>
        <v>575992.87209746789</v>
      </c>
      <c r="O42" s="3">
        <f t="shared" si="7"/>
        <v>32</v>
      </c>
      <c r="P42" s="3">
        <f t="shared" ref="P42:P68" si="10">+(1+r_disc)^-O42</f>
        <v>0.38833703413696569</v>
      </c>
      <c r="Q42" s="1">
        <f t="shared" ref="Q42:Q68" si="11">+CostPerYr_PCSK9*P42</f>
        <v>5572.6364398654578</v>
      </c>
      <c r="R42" s="2">
        <f>+SUM(Q$10:Q42)</f>
        <v>306928.7853378182</v>
      </c>
      <c r="S42">
        <f t="shared" ref="S42:S68" si="12">+QALYsPerYr_PCSK9*P42</f>
        <v>1.7542982760420444E-2</v>
      </c>
      <c r="T42" s="3">
        <f>+SUM(S$10:S42)</f>
        <v>0.96622962003028701</v>
      </c>
      <c r="U42" s="3">
        <f t="shared" si="5"/>
        <v>317656.15437063226</v>
      </c>
    </row>
    <row r="43" spans="9:21" x14ac:dyDescent="0.25">
      <c r="I43" s="5">
        <f t="shared" ref="I43:I50" si="13">+I42+1</f>
        <v>33.5</v>
      </c>
      <c r="J43" s="5">
        <f t="shared" si="8"/>
        <v>0.37149499954430909</v>
      </c>
      <c r="K43" s="5">
        <f>+SUM(J$10:J43)</f>
        <v>21.446471898830413</v>
      </c>
      <c r="L43" s="1">
        <f t="shared" si="0"/>
        <v>186192.90740767095</v>
      </c>
      <c r="M43" s="24">
        <f t="shared" si="1"/>
        <v>586146.07287106512</v>
      </c>
      <c r="O43" s="3">
        <f t="shared" si="7"/>
        <v>33</v>
      </c>
      <c r="P43" s="3">
        <f t="shared" si="10"/>
        <v>0.37702624673491814</v>
      </c>
      <c r="Q43" s="1">
        <f t="shared" si="11"/>
        <v>5410.3266406460752</v>
      </c>
      <c r="R43" s="2">
        <f>+SUM(Q$10:Q43)</f>
        <v>312339.11197846429</v>
      </c>
      <c r="S43">
        <f t="shared" si="12"/>
        <v>1.7032022097495578E-2</v>
      </c>
      <c r="T43" s="3">
        <f>+SUM(S$10:S43)</f>
        <v>0.98326164212778255</v>
      </c>
      <c r="U43" s="3">
        <f t="shared" si="5"/>
        <v>317656.15437063231</v>
      </c>
    </row>
    <row r="44" spans="9:21" x14ac:dyDescent="0.25">
      <c r="I44" s="5">
        <f t="shared" si="13"/>
        <v>34.5</v>
      </c>
      <c r="J44" s="5">
        <f t="shared" si="8"/>
        <v>0.36067475683913502</v>
      </c>
      <c r="K44" s="5">
        <f>+SUM(J$10:J44)</f>
        <v>21.807146655669548</v>
      </c>
      <c r="L44" s="1">
        <f t="shared" si="0"/>
        <v>189324.19547785909</v>
      </c>
      <c r="M44" s="24">
        <f t="shared" si="1"/>
        <v>596003.54935028567</v>
      </c>
      <c r="O44" s="3">
        <f t="shared" si="7"/>
        <v>34</v>
      </c>
      <c r="P44" s="3">
        <f t="shared" si="10"/>
        <v>0.36604489974263904</v>
      </c>
      <c r="Q44" s="1">
        <f t="shared" si="11"/>
        <v>5252.7443113068703</v>
      </c>
      <c r="R44" s="2">
        <f>+SUM(Q$10:Q44)</f>
        <v>317591.85628977115</v>
      </c>
      <c r="S44">
        <f t="shared" si="12"/>
        <v>1.6535943783976291E-2</v>
      </c>
      <c r="T44" s="3">
        <f>+SUM(S$10:S44)</f>
        <v>0.99979758591175882</v>
      </c>
      <c r="U44" s="3">
        <f t="shared" si="5"/>
        <v>317656.15437063226</v>
      </c>
    </row>
    <row r="45" spans="9:21" x14ac:dyDescent="0.25">
      <c r="I45" s="5">
        <f t="shared" si="13"/>
        <v>35.5</v>
      </c>
      <c r="J45" s="5">
        <f t="shared" si="8"/>
        <v>0.35016966683411171</v>
      </c>
      <c r="K45" s="5">
        <f>+SUM(J$10:J45)</f>
        <v>22.157316322503661</v>
      </c>
      <c r="L45" s="1">
        <f t="shared" si="0"/>
        <v>192364.28098289616</v>
      </c>
      <c r="M45" s="24">
        <f t="shared" si="1"/>
        <v>605573.91486409213</v>
      </c>
      <c r="O45" s="3">
        <f t="shared" si="7"/>
        <v>35</v>
      </c>
      <c r="P45" s="3">
        <f t="shared" si="10"/>
        <v>0.35538339780838735</v>
      </c>
      <c r="Q45" s="1">
        <f t="shared" si="11"/>
        <v>5099.7517585503583</v>
      </c>
      <c r="R45" s="2">
        <f>+SUM(Q$10:Q45)</f>
        <v>322691.6080483215</v>
      </c>
      <c r="S45">
        <f t="shared" si="12"/>
        <v>1.6054314353375038E-2</v>
      </c>
      <c r="T45" s="3">
        <f>+SUM(S$10:S45)</f>
        <v>1.0158519002651338</v>
      </c>
      <c r="U45" s="3">
        <f t="shared" si="5"/>
        <v>317656.15437063231</v>
      </c>
    </row>
    <row r="46" spans="9:21" x14ac:dyDescent="0.25">
      <c r="I46" s="5">
        <f t="shared" si="13"/>
        <v>36.5</v>
      </c>
      <c r="J46" s="5">
        <f t="shared" si="8"/>
        <v>0.33997055032438023</v>
      </c>
      <c r="K46" s="5">
        <f>+SUM(J$10:J46)</f>
        <v>22.497286872828042</v>
      </c>
      <c r="L46" s="1">
        <f t="shared" si="0"/>
        <v>195315.82030817488</v>
      </c>
      <c r="M46" s="24">
        <f t="shared" si="1"/>
        <v>614865.53186778759</v>
      </c>
      <c r="O46" s="3">
        <f t="shared" si="7"/>
        <v>36</v>
      </c>
      <c r="P46" s="3">
        <f t="shared" si="10"/>
        <v>0.34503242505668674</v>
      </c>
      <c r="Q46" s="1">
        <f t="shared" si="11"/>
        <v>4951.2152995634551</v>
      </c>
      <c r="R46" s="2">
        <f>+SUM(Q$10:Q46)</f>
        <v>327642.82334788499</v>
      </c>
      <c r="S46">
        <f t="shared" si="12"/>
        <v>1.5586712964441784E-2</v>
      </c>
      <c r="T46" s="3">
        <f>+SUM(S$10:S46)</f>
        <v>1.0314386132295756</v>
      </c>
      <c r="U46" s="3">
        <f t="shared" si="5"/>
        <v>317656.15437063231</v>
      </c>
    </row>
    <row r="47" spans="9:21" x14ac:dyDescent="0.25">
      <c r="I47" s="5">
        <f t="shared" si="13"/>
        <v>37.5</v>
      </c>
      <c r="J47" s="5">
        <f t="shared" si="8"/>
        <v>0.33006849546056333</v>
      </c>
      <c r="K47" s="5">
        <f>+SUM(J$10:J47)</f>
        <v>22.827355368288604</v>
      </c>
      <c r="L47" s="1">
        <f t="shared" si="0"/>
        <v>198181.39246863956</v>
      </c>
      <c r="M47" s="24">
        <f t="shared" si="1"/>
        <v>623886.51925001619</v>
      </c>
      <c r="O47" s="3">
        <f t="shared" si="7"/>
        <v>37</v>
      </c>
      <c r="P47" s="3">
        <f t="shared" si="10"/>
        <v>0.33498293694823961</v>
      </c>
      <c r="Q47" s="1">
        <f t="shared" si="11"/>
        <v>4807.0051452072385</v>
      </c>
      <c r="R47" s="2">
        <f>+SUM(Q$10:Q47)</f>
        <v>332449.82849309221</v>
      </c>
      <c r="S47">
        <f t="shared" si="12"/>
        <v>1.5132731033438629E-2</v>
      </c>
      <c r="T47" s="3">
        <f>+SUM(S$10:S47)</f>
        <v>1.0465713442630142</v>
      </c>
      <c r="U47" s="3">
        <f t="shared" si="5"/>
        <v>317656.15437063231</v>
      </c>
    </row>
    <row r="48" spans="9:21" x14ac:dyDescent="0.25">
      <c r="I48" s="5">
        <f t="shared" si="13"/>
        <v>38.5</v>
      </c>
      <c r="J48" s="5">
        <f t="shared" si="8"/>
        <v>0.32045484996171203</v>
      </c>
      <c r="K48" s="5">
        <f>+SUM(J$10:J48)</f>
        <v>23.147810218250317</v>
      </c>
      <c r="L48" s="1">
        <f t="shared" si="0"/>
        <v>200963.50136229472</v>
      </c>
      <c r="M48" s="24">
        <f t="shared" si="1"/>
        <v>632644.75942693732</v>
      </c>
      <c r="O48" s="3">
        <f t="shared" si="7"/>
        <v>38</v>
      </c>
      <c r="P48" s="3">
        <f t="shared" si="10"/>
        <v>0.3252261523769317</v>
      </c>
      <c r="Q48" s="1">
        <f t="shared" si="11"/>
        <v>4666.9952866089698</v>
      </c>
      <c r="R48" s="2">
        <f>+SUM(Q$10:Q48)</f>
        <v>337116.8237797012</v>
      </c>
      <c r="S48">
        <f t="shared" si="12"/>
        <v>1.4691971877124883E-2</v>
      </c>
      <c r="T48" s="3">
        <f>+SUM(S$10:S48)</f>
        <v>1.061263316140139</v>
      </c>
      <c r="U48" s="3">
        <f t="shared" si="5"/>
        <v>317656.15437063237</v>
      </c>
    </row>
    <row r="49" spans="9:21" x14ac:dyDescent="0.25">
      <c r="I49" s="5">
        <f t="shared" si="13"/>
        <v>39.5</v>
      </c>
      <c r="J49" s="5">
        <f t="shared" si="8"/>
        <v>0.31112121355506017</v>
      </c>
      <c r="K49" s="5">
        <f>+SUM(J$10:J49)</f>
        <v>23.458931431805379</v>
      </c>
      <c r="L49" s="1">
        <f t="shared" si="0"/>
        <v>203664.57795807635</v>
      </c>
      <c r="M49" s="24">
        <f t="shared" si="1"/>
        <v>641147.90522977314</v>
      </c>
      <c r="O49" s="3">
        <f t="shared" si="7"/>
        <v>39</v>
      </c>
      <c r="P49" s="3">
        <f t="shared" si="10"/>
        <v>0.31575354599702099</v>
      </c>
      <c r="Q49" s="1">
        <f t="shared" si="11"/>
        <v>4531.0633850572513</v>
      </c>
      <c r="R49" s="2">
        <f>+SUM(Q$10:Q49)</f>
        <v>341647.88716475846</v>
      </c>
      <c r="S49">
        <f t="shared" si="12"/>
        <v>1.426405036614066E-2</v>
      </c>
      <c r="T49" s="3">
        <f>+SUM(S$10:S49)</f>
        <v>1.0755273665062797</v>
      </c>
      <c r="U49" s="3">
        <f t="shared" si="5"/>
        <v>317656.15437063237</v>
      </c>
    </row>
    <row r="50" spans="9:21" x14ac:dyDescent="0.25">
      <c r="I50" s="5">
        <f t="shared" si="13"/>
        <v>40.5</v>
      </c>
      <c r="J50" s="5">
        <f t="shared" si="8"/>
        <v>0.30205943063598073</v>
      </c>
      <c r="K50" s="5">
        <f>+SUM(J$10:J50)</f>
        <v>23.760990862441361</v>
      </c>
      <c r="L50" s="1">
        <f t="shared" si="0"/>
        <v>206286.98242000028</v>
      </c>
      <c r="M50" s="24">
        <f t="shared" si="1"/>
        <v>649403.38659174985</v>
      </c>
      <c r="O50" s="3">
        <f t="shared" si="7"/>
        <v>40</v>
      </c>
      <c r="P50" s="3">
        <f t="shared" si="10"/>
        <v>0.30655684077380685</v>
      </c>
      <c r="Q50" s="1">
        <f t="shared" si="11"/>
        <v>4399.0906651041287</v>
      </c>
      <c r="R50" s="14">
        <f>+SUM(Q$10:Q50)</f>
        <v>346046.97782986256</v>
      </c>
      <c r="S50">
        <f t="shared" si="12"/>
        <v>1.3848592588486081E-2</v>
      </c>
      <c r="T50" s="16">
        <f>+SUM(S$10:S50)</f>
        <v>1.0893759590947658</v>
      </c>
      <c r="U50" s="3">
        <f t="shared" si="5"/>
        <v>317656.15437063231</v>
      </c>
    </row>
    <row r="51" spans="9:21" x14ac:dyDescent="0.25">
      <c r="I51" s="5">
        <f t="shared" ref="I51:I52" si="14">+I50+1</f>
        <v>41.5</v>
      </c>
      <c r="J51" s="5">
        <f t="shared" si="8"/>
        <v>0.29326158314172884</v>
      </c>
      <c r="K51" s="5">
        <f>+SUM(J$10:J51)</f>
        <v>24.054252445583089</v>
      </c>
      <c r="L51" s="1">
        <f t="shared" si="0"/>
        <v>208833.00616944098</v>
      </c>
      <c r="M51" s="24">
        <f t="shared" si="1"/>
        <v>657418.41704027087</v>
      </c>
      <c r="O51" s="3">
        <f t="shared" si="7"/>
        <v>41</v>
      </c>
      <c r="P51" s="3">
        <f t="shared" si="10"/>
        <v>0.29762800075126877</v>
      </c>
      <c r="Q51" s="1">
        <f t="shared" si="11"/>
        <v>4270.9618107807073</v>
      </c>
      <c r="R51" s="2">
        <f>+SUM(Q$10:Q51)</f>
        <v>350317.93964064325</v>
      </c>
      <c r="S51">
        <f t="shared" si="12"/>
        <v>1.3445235522802019E-2</v>
      </c>
      <c r="T51" s="3">
        <f>+SUM(S$10:S51)</f>
        <v>1.1028211946175679</v>
      </c>
      <c r="U51" s="3">
        <f t="shared" si="5"/>
        <v>317656.15437063226</v>
      </c>
    </row>
    <row r="52" spans="9:21" x14ac:dyDescent="0.25">
      <c r="I52" s="5">
        <f t="shared" si="14"/>
        <v>42.5</v>
      </c>
      <c r="J52" s="5">
        <f t="shared" si="8"/>
        <v>0.28471998363274642</v>
      </c>
      <c r="K52" s="5">
        <f>+SUM(J$10:J52)</f>
        <v>24.338972429215836</v>
      </c>
      <c r="L52" s="1">
        <f t="shared" si="0"/>
        <v>211304.87388734461</v>
      </c>
      <c r="M52" s="24">
        <f t="shared" si="1"/>
        <v>665200</v>
      </c>
      <c r="O52" s="3">
        <f t="shared" si="7"/>
        <v>42</v>
      </c>
      <c r="P52" s="3">
        <f t="shared" si="10"/>
        <v>0.28895922403035801</v>
      </c>
      <c r="Q52" s="1">
        <f t="shared" si="11"/>
        <v>4146.5648648356373</v>
      </c>
      <c r="R52" s="2">
        <f>+SUM(Q$10:Q52)</f>
        <v>354464.50450547889</v>
      </c>
      <c r="S52">
        <f t="shared" si="12"/>
        <v>1.3053626721167009E-2</v>
      </c>
      <c r="T52" s="3">
        <f>+SUM(S$10:S52)</f>
        <v>1.1158748213387348</v>
      </c>
      <c r="U52" s="3">
        <f t="shared" si="5"/>
        <v>317656.15437063231</v>
      </c>
    </row>
    <row r="53" spans="9:21" x14ac:dyDescent="0.25">
      <c r="O53" s="3">
        <f t="shared" si="7"/>
        <v>43</v>
      </c>
      <c r="P53" s="3">
        <f t="shared" si="10"/>
        <v>0.28054293595180391</v>
      </c>
      <c r="Q53" s="1">
        <f t="shared" si="11"/>
        <v>4025.7911309083861</v>
      </c>
      <c r="R53" s="2">
        <f>+SUM(Q$10:Q53)</f>
        <v>358490.29563638725</v>
      </c>
      <c r="S53">
        <f t="shared" si="12"/>
        <v>1.2673424001133018E-2</v>
      </c>
      <c r="T53" s="3">
        <f>+SUM(S$10:S53)</f>
        <v>1.1285482453398679</v>
      </c>
      <c r="U53" s="3">
        <f t="shared" si="5"/>
        <v>317656.15437063226</v>
      </c>
    </row>
    <row r="54" spans="9:21" x14ac:dyDescent="0.25">
      <c r="N54">
        <f>+K54*8493</f>
        <v>0</v>
      </c>
      <c r="O54" s="3">
        <f t="shared" si="7"/>
        <v>44</v>
      </c>
      <c r="P54" s="3">
        <f t="shared" si="10"/>
        <v>0.27237178247747956</v>
      </c>
      <c r="Q54" s="1">
        <f t="shared" si="11"/>
        <v>3908.5350785518317</v>
      </c>
      <c r="R54" s="2">
        <f>+SUM(Q$10:Q54)</f>
        <v>362398.8307149391</v>
      </c>
      <c r="S54">
        <f t="shared" si="12"/>
        <v>1.2304295146731087E-2</v>
      </c>
      <c r="T54" s="3">
        <f>+SUM(S$10:S54)</f>
        <v>1.140852540486599</v>
      </c>
      <c r="U54" s="3">
        <f t="shared" si="5"/>
        <v>317656.15437063226</v>
      </c>
    </row>
    <row r="55" spans="9:21" x14ac:dyDescent="0.25">
      <c r="O55" s="3">
        <f t="shared" si="7"/>
        <v>45</v>
      </c>
      <c r="P55" s="3">
        <f t="shared" si="10"/>
        <v>0.26443862376454325</v>
      </c>
      <c r="Q55" s="1">
        <f t="shared" si="11"/>
        <v>3794.6942510211957</v>
      </c>
      <c r="R55" s="2">
        <f>+SUM(Q$10:Q55)</f>
        <v>366193.5249659603</v>
      </c>
      <c r="S55">
        <f t="shared" si="12"/>
        <v>1.194591761818552E-2</v>
      </c>
      <c r="T55" s="3">
        <f>+SUM(S$10:S55)</f>
        <v>1.1527984581047845</v>
      </c>
      <c r="U55" s="3">
        <f t="shared" si="5"/>
        <v>317656.15437063226</v>
      </c>
    </row>
    <row r="56" spans="9:21" x14ac:dyDescent="0.25">
      <c r="O56" s="3">
        <f t="shared" si="7"/>
        <v>46</v>
      </c>
      <c r="P56" s="3">
        <f t="shared" si="10"/>
        <v>0.25673652792674101</v>
      </c>
      <c r="Q56" s="1">
        <f t="shared" si="11"/>
        <v>3684.1691757487333</v>
      </c>
      <c r="R56" s="2">
        <f>+SUM(Q$10:Q56)</f>
        <v>369877.69414170901</v>
      </c>
      <c r="S56">
        <f t="shared" si="12"/>
        <v>1.1597978270083029E-2</v>
      </c>
      <c r="T56" s="3">
        <f>+SUM(S$10:S56)</f>
        <v>1.1643964363748676</v>
      </c>
      <c r="U56" s="3">
        <f t="shared" si="5"/>
        <v>317656.15437063226</v>
      </c>
    </row>
    <row r="57" spans="9:21" x14ac:dyDescent="0.25">
      <c r="O57" s="3">
        <f t="shared" si="7"/>
        <v>47</v>
      </c>
      <c r="P57" s="3">
        <f t="shared" si="10"/>
        <v>0.24925876497741845</v>
      </c>
      <c r="Q57" s="1">
        <f t="shared" si="11"/>
        <v>3576.8632774259545</v>
      </c>
      <c r="R57" s="2">
        <f>+SUM(Q$10:Q57)</f>
        <v>373454.55741913494</v>
      </c>
      <c r="S57">
        <f t="shared" si="12"/>
        <v>1.1260173077750514E-2</v>
      </c>
      <c r="T57" s="3">
        <f>+SUM(S$10:S57)</f>
        <v>1.1756566094526182</v>
      </c>
      <c r="U57" s="3">
        <f t="shared" si="5"/>
        <v>317656.1543706322</v>
      </c>
    </row>
    <row r="58" spans="9:21" x14ac:dyDescent="0.25">
      <c r="O58" s="3">
        <f t="shared" si="7"/>
        <v>48</v>
      </c>
      <c r="P58" s="3">
        <f t="shared" si="10"/>
        <v>0.24199880094894996</v>
      </c>
      <c r="Q58" s="1">
        <f t="shared" si="11"/>
        <v>3472.6827936174318</v>
      </c>
      <c r="R58" s="2">
        <f>+SUM(Q$10:Q58)</f>
        <v>376927.24021275237</v>
      </c>
      <c r="S58">
        <f t="shared" si="12"/>
        <v>1.0932206871602441E-2</v>
      </c>
      <c r="T58" s="3">
        <f>+SUM(S$10:S58)</f>
        <v>1.1865888163242206</v>
      </c>
      <c r="U58" s="3">
        <f t="shared" si="5"/>
        <v>317656.1543706322</v>
      </c>
    </row>
    <row r="59" spans="9:21" x14ac:dyDescent="0.25">
      <c r="O59" s="3">
        <f t="shared" si="7"/>
        <v>49</v>
      </c>
      <c r="P59" s="3">
        <f t="shared" si="10"/>
        <v>0.2349502921834466</v>
      </c>
      <c r="Q59" s="1">
        <f t="shared" si="11"/>
        <v>3371.5366928324588</v>
      </c>
      <c r="R59" s="2">
        <f>+SUM(Q$10:Q59)</f>
        <v>380298.77690558485</v>
      </c>
      <c r="S59">
        <f t="shared" si="12"/>
        <v>1.0613793079225673E-2</v>
      </c>
      <c r="T59" s="3">
        <f>+SUM(S$10:S59)</f>
        <v>1.1972026094034462</v>
      </c>
      <c r="U59" s="3">
        <f t="shared" si="5"/>
        <v>317656.15437063226</v>
      </c>
    </row>
    <row r="60" spans="9:21" x14ac:dyDescent="0.25">
      <c r="O60" s="3">
        <f t="shared" si="7"/>
        <v>50</v>
      </c>
      <c r="P60" s="3">
        <f t="shared" si="10"/>
        <v>0.22810707978975397</v>
      </c>
      <c r="Q60" s="1">
        <f t="shared" si="11"/>
        <v>3273.3365949829695</v>
      </c>
      <c r="R60" s="2">
        <f>+SUM(Q$10:Q60)</f>
        <v>383572.11350056779</v>
      </c>
      <c r="S60">
        <f t="shared" si="12"/>
        <v>1.0304653474976382E-2</v>
      </c>
      <c r="T60" s="3">
        <f>+SUM(S$10:S60)</f>
        <v>1.2075072628784227</v>
      </c>
      <c r="U60" s="3">
        <f t="shared" si="5"/>
        <v>317656.1543706322</v>
      </c>
    </row>
    <row r="61" spans="9:21" x14ac:dyDescent="0.25">
      <c r="O61" s="3">
        <f t="shared" si="7"/>
        <v>51</v>
      </c>
      <c r="P61" s="3">
        <f t="shared" si="10"/>
        <v>0.22146318426189707</v>
      </c>
      <c r="Q61" s="1">
        <f t="shared" si="11"/>
        <v>3177.9966941582229</v>
      </c>
      <c r="R61" s="2">
        <f>+SUM(Q$10:Q61)</f>
        <v>386750.11019472603</v>
      </c>
      <c r="S61">
        <f t="shared" si="12"/>
        <v>1.0004517936870273E-2</v>
      </c>
      <c r="T61" s="3">
        <f>+SUM(S$10:S61)</f>
        <v>1.2175117808152929</v>
      </c>
      <c r="U61" s="3">
        <f t="shared" si="5"/>
        <v>317656.15437063226</v>
      </c>
    </row>
    <row r="62" spans="9:21" x14ac:dyDescent="0.25">
      <c r="O62" s="3">
        <f t="shared" si="7"/>
        <v>52</v>
      </c>
      <c r="P62" s="3">
        <f t="shared" si="10"/>
        <v>0.215012800254269</v>
      </c>
      <c r="Q62" s="1">
        <f t="shared" si="11"/>
        <v>3085.4336836487601</v>
      </c>
      <c r="R62" s="2">
        <f>+SUM(Q$10:Q62)</f>
        <v>389835.5438783748</v>
      </c>
      <c r="S62">
        <f t="shared" si="12"/>
        <v>9.7131242105536631E-3</v>
      </c>
      <c r="T62" s="3">
        <f>+SUM(S$10:S62)</f>
        <v>1.2272249050258466</v>
      </c>
      <c r="U62" s="3">
        <f t="shared" si="5"/>
        <v>317656.15437063226</v>
      </c>
    </row>
    <row r="63" spans="9:21" x14ac:dyDescent="0.25">
      <c r="O63" s="3">
        <f t="shared" si="7"/>
        <v>53</v>
      </c>
      <c r="P63" s="3">
        <f t="shared" si="10"/>
        <v>0.20875029150899907</v>
      </c>
      <c r="Q63" s="1">
        <f t="shared" si="11"/>
        <v>2995.5666831541366</v>
      </c>
      <c r="R63" s="2">
        <f>+SUM(Q$10:Q63)</f>
        <v>392831.11056152894</v>
      </c>
      <c r="S63">
        <f t="shared" si="12"/>
        <v>9.4302176801491899E-3</v>
      </c>
      <c r="T63" s="3">
        <f>+SUM(S$10:S63)</f>
        <v>1.2366551227059959</v>
      </c>
      <c r="U63" s="3">
        <f t="shared" si="5"/>
        <v>317656.1543706322</v>
      </c>
    </row>
    <row r="64" spans="9:21" x14ac:dyDescent="0.25">
      <c r="O64" s="3">
        <f t="shared" si="7"/>
        <v>54</v>
      </c>
      <c r="P64" s="3">
        <f t="shared" si="10"/>
        <v>0.20267018593106703</v>
      </c>
      <c r="Q64" s="1">
        <f t="shared" si="11"/>
        <v>2908.317168110812</v>
      </c>
      <c r="R64" s="2">
        <f>+SUM(Q$10:Q64)</f>
        <v>395739.42772963975</v>
      </c>
      <c r="S64">
        <f t="shared" si="12"/>
        <v>9.1555511457759101E-3</v>
      </c>
      <c r="T64" s="3">
        <f>+SUM(S$10:S64)</f>
        <v>1.2458106738517718</v>
      </c>
      <c r="U64" s="3">
        <f t="shared" si="5"/>
        <v>317656.1543706322</v>
      </c>
    </row>
    <row r="65" spans="15:21" x14ac:dyDescent="0.25">
      <c r="O65" s="3">
        <f t="shared" si="7"/>
        <v>55</v>
      </c>
      <c r="P65" s="3">
        <f t="shared" si="10"/>
        <v>0.19676717080686118</v>
      </c>
      <c r="Q65" s="1">
        <f t="shared" si="11"/>
        <v>2823.6089010784581</v>
      </c>
      <c r="R65" s="2">
        <f>+SUM(Q$10:Q65)</f>
        <v>398563.03663071821</v>
      </c>
      <c r="S65">
        <f t="shared" si="12"/>
        <v>8.8888846075494271E-3</v>
      </c>
      <c r="T65" s="3">
        <f>+SUM(S$10:S65)</f>
        <v>1.2546995584593212</v>
      </c>
      <c r="U65" s="3">
        <f t="shared" si="5"/>
        <v>317656.1543706322</v>
      </c>
    </row>
    <row r="66" spans="15:21" x14ac:dyDescent="0.25">
      <c r="O66" s="3">
        <f t="shared" si="7"/>
        <v>56</v>
      </c>
      <c r="P66" s="3">
        <f t="shared" si="10"/>
        <v>0.19103608816200118</v>
      </c>
      <c r="Q66" s="1">
        <f t="shared" si="11"/>
        <v>2741.3678651247169</v>
      </c>
      <c r="R66" s="2">
        <f>+SUM(Q$10:Q66)</f>
        <v>401304.40449584293</v>
      </c>
      <c r="S66">
        <f t="shared" si="12"/>
        <v>8.6299850558732329E-3</v>
      </c>
      <c r="T66" s="3">
        <f>+SUM(S$10:S66)</f>
        <v>1.2633295435151946</v>
      </c>
      <c r="U66" s="3">
        <f t="shared" si="5"/>
        <v>317656.1543706322</v>
      </c>
    </row>
    <row r="67" spans="15:21" x14ac:dyDescent="0.25">
      <c r="O67" s="3">
        <f t="shared" si="7"/>
        <v>57</v>
      </c>
      <c r="P67" s="3">
        <f t="shared" si="10"/>
        <v>0.18547193025437006</v>
      </c>
      <c r="Q67" s="1">
        <f t="shared" si="11"/>
        <v>2661.5221991502103</v>
      </c>
      <c r="R67" s="2">
        <f>+SUM(Q$10:Q67)</f>
        <v>403965.92669499316</v>
      </c>
      <c r="S67">
        <f t="shared" si="12"/>
        <v>8.3786262678380886E-3</v>
      </c>
      <c r="T67" s="3">
        <f>+SUM(S$10:S67)</f>
        <v>1.2717081697830326</v>
      </c>
      <c r="U67" s="3">
        <f t="shared" si="5"/>
        <v>317656.1543706322</v>
      </c>
    </row>
    <row r="68" spans="15:21" x14ac:dyDescent="0.25">
      <c r="O68" s="3">
        <f t="shared" si="7"/>
        <v>58</v>
      </c>
      <c r="P68" s="3">
        <f t="shared" si="10"/>
        <v>0.18006983519841754</v>
      </c>
      <c r="Q68" s="1">
        <f t="shared" si="11"/>
        <v>2584.0021350972916</v>
      </c>
      <c r="R68" s="2">
        <f>+SUM(Q$10:Q68)</f>
        <v>406549.92883009044</v>
      </c>
      <c r="S68">
        <f t="shared" si="12"/>
        <v>8.1345886095515428E-3</v>
      </c>
      <c r="T68" s="3">
        <f>+SUM(S$10:S68)</f>
        <v>1.2798427583925842</v>
      </c>
      <c r="U68" s="3">
        <f t="shared" si="5"/>
        <v>317656.1543706322</v>
      </c>
    </row>
    <row r="78" spans="15:21" x14ac:dyDescent="0.25">
      <c r="Q78" s="2"/>
    </row>
  </sheetData>
  <mergeCells count="2">
    <mergeCell ref="B10:C10"/>
    <mergeCell ref="E10:F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2"/>
  <sheetViews>
    <sheetView zoomScale="80" zoomScaleNormal="80" workbookViewId="0">
      <selection activeCell="C21" sqref="C21"/>
    </sheetView>
  </sheetViews>
  <sheetFormatPr defaultRowHeight="15" x14ac:dyDescent="0.25"/>
  <cols>
    <col min="1" max="1" width="27.5703125" customWidth="1"/>
    <col min="2" max="2" width="12.5703125" customWidth="1"/>
    <col min="3" max="3" width="36.85546875" customWidth="1"/>
    <col min="4" max="4" width="9.140625" style="28"/>
    <col min="8" max="8" width="11.5703125" bestFit="1" customWidth="1"/>
    <col min="9" max="9" width="10.85546875" customWidth="1"/>
    <col min="10" max="10" width="11.5703125" customWidth="1"/>
    <col min="12" max="12" width="11.5703125" customWidth="1"/>
    <col min="16" max="16" width="12.5703125" bestFit="1" customWidth="1"/>
    <col min="17" max="17" width="11.7109375" customWidth="1"/>
    <col min="18" max="18" width="12.7109375" customWidth="1"/>
  </cols>
  <sheetData>
    <row r="1" spans="1:18" ht="30" x14ac:dyDescent="0.25">
      <c r="A1" t="s">
        <v>23</v>
      </c>
      <c r="D1" s="4" t="s">
        <v>0</v>
      </c>
      <c r="E1" s="4" t="s">
        <v>24</v>
      </c>
      <c r="F1" s="4" t="s">
        <v>25</v>
      </c>
      <c r="G1" s="4" t="s">
        <v>63</v>
      </c>
      <c r="H1" s="4" t="s">
        <v>2</v>
      </c>
      <c r="I1" s="4" t="s">
        <v>26</v>
      </c>
      <c r="J1" s="4" t="s">
        <v>27</v>
      </c>
      <c r="K1" s="4" t="s">
        <v>22</v>
      </c>
      <c r="L1" s="4" t="s">
        <v>28</v>
      </c>
      <c r="P1" s="34" t="s">
        <v>40</v>
      </c>
      <c r="Q1" s="34"/>
      <c r="R1" s="34"/>
    </row>
    <row r="2" spans="1:18" x14ac:dyDescent="0.25">
      <c r="A2" t="s">
        <v>66</v>
      </c>
      <c r="B2" s="15">
        <f>+'Estimate parameters'!G14</f>
        <v>4.5174632389639847E-2</v>
      </c>
      <c r="C2" t="s">
        <v>58</v>
      </c>
      <c r="D2" s="28">
        <v>0</v>
      </c>
      <c r="E2">
        <f t="shared" ref="E2:E33" si="0">+(1+r_discount_v2)^-(D2+offset_v2)</f>
        <v>0.98532927816429317</v>
      </c>
      <c r="F2" t="b">
        <f t="shared" ref="F2:F33" si="1">+D2&lt;=TimeHorizon_v2</f>
        <v>1</v>
      </c>
      <c r="G2" t="b">
        <f t="shared" ref="G2:G33" si="2">+D2&gt;=Year_Generic_v2</f>
        <v>0</v>
      </c>
      <c r="H2" s="1">
        <f t="shared" ref="H2:H33" si="3">+(IF(G2,PCSK9_CostPerYear_Gen_v2,PCSK9_CostPerYear_v2)*E2*F2)</f>
        <v>6404.6403080679056</v>
      </c>
      <c r="I2" s="17">
        <f t="shared" ref="I2:I33" si="4">+E2*F2*PCSK9_QALYPerYear_FH_v2</f>
        <v>4.4511887923821131E-2</v>
      </c>
      <c r="J2" s="2">
        <f>+SUM(H$2:H2)</f>
        <v>6404.6403080679056</v>
      </c>
      <c r="K2" s="17">
        <f>+SUM(I$2:I2)</f>
        <v>4.4511887923821131E-2</v>
      </c>
      <c r="L2" s="1">
        <f>+J2/K2</f>
        <v>143886.06295533865</v>
      </c>
      <c r="O2" t="s">
        <v>30</v>
      </c>
      <c r="P2" s="28" t="s">
        <v>35</v>
      </c>
      <c r="Q2" s="28" t="s">
        <v>33</v>
      </c>
      <c r="R2" s="28" t="s">
        <v>34</v>
      </c>
    </row>
    <row r="3" spans="1:18" x14ac:dyDescent="0.25">
      <c r="A3" t="s">
        <v>67</v>
      </c>
      <c r="B3" s="6">
        <v>6500</v>
      </c>
      <c r="C3" t="s">
        <v>58</v>
      </c>
      <c r="D3" s="28">
        <f>+D2+1</f>
        <v>1</v>
      </c>
      <c r="E3">
        <f t="shared" si="0"/>
        <v>0.9566303671497991</v>
      </c>
      <c r="F3" t="b">
        <f t="shared" si="1"/>
        <v>1</v>
      </c>
      <c r="G3" t="b">
        <f t="shared" si="2"/>
        <v>0</v>
      </c>
      <c r="H3" s="1">
        <f t="shared" si="3"/>
        <v>6218.0973864736943</v>
      </c>
      <c r="I3" s="17">
        <f t="shared" si="4"/>
        <v>4.321542516875837E-2</v>
      </c>
      <c r="J3" s="2">
        <f>+SUM(H$2:H3)</f>
        <v>12622.7376945416</v>
      </c>
      <c r="K3" s="17">
        <f>+SUM(I$2:I3)</f>
        <v>8.7727313092579501E-2</v>
      </c>
      <c r="L3" s="1">
        <f t="shared" ref="L3:L66" si="5">+J3/K3</f>
        <v>143886.06295533865</v>
      </c>
      <c r="O3">
        <v>10</v>
      </c>
      <c r="P3" s="1">
        <v>69260.875192494423</v>
      </c>
      <c r="Q3" s="1">
        <v>59526.52948320211</v>
      </c>
      <c r="R3" s="1">
        <v>79100.002493711145</v>
      </c>
    </row>
    <row r="4" spans="1:18" x14ac:dyDescent="0.25">
      <c r="A4" t="s">
        <v>68</v>
      </c>
      <c r="B4" s="6">
        <f>+PCSK9_CostPerYear_v2*(1-GenericPriceDrop_v2)</f>
        <v>1299.9999999999998</v>
      </c>
      <c r="C4" t="s">
        <v>62</v>
      </c>
      <c r="D4" s="28">
        <f t="shared" ref="D4:D67" si="6">+D3+1</f>
        <v>2</v>
      </c>
      <c r="E4">
        <f t="shared" si="0"/>
        <v>0.92876734674737782</v>
      </c>
      <c r="F4" t="b">
        <f t="shared" si="1"/>
        <v>1</v>
      </c>
      <c r="G4" t="b">
        <f t="shared" si="2"/>
        <v>0</v>
      </c>
      <c r="H4" s="1">
        <f t="shared" si="3"/>
        <v>6036.9877538579558</v>
      </c>
      <c r="I4" s="17">
        <f t="shared" si="4"/>
        <v>4.1956723464813959E-2</v>
      </c>
      <c r="J4" s="2">
        <f>+SUM(H$2:H4)</f>
        <v>18659.725448399557</v>
      </c>
      <c r="K4" s="17">
        <f>+SUM(I$2:I4)</f>
        <v>0.12968403655739347</v>
      </c>
      <c r="L4" s="1">
        <f t="shared" si="5"/>
        <v>143886.06295533865</v>
      </c>
      <c r="O4">
        <v>12</v>
      </c>
      <c r="P4" s="1">
        <v>76018.121971501168</v>
      </c>
      <c r="Q4" s="1">
        <v>65317.68521084766</v>
      </c>
      <c r="R4" s="1">
        <v>86539.302852609646</v>
      </c>
    </row>
    <row r="5" spans="1:18" x14ac:dyDescent="0.25">
      <c r="A5" t="s">
        <v>69</v>
      </c>
      <c r="B5" s="11">
        <v>0.8</v>
      </c>
      <c r="C5" t="s">
        <v>62</v>
      </c>
      <c r="D5" s="28">
        <f t="shared" si="6"/>
        <v>3</v>
      </c>
      <c r="E5">
        <f t="shared" si="0"/>
        <v>0.9017158706285221</v>
      </c>
      <c r="F5" t="b">
        <f t="shared" si="1"/>
        <v>1</v>
      </c>
      <c r="G5" t="b">
        <f t="shared" si="2"/>
        <v>0</v>
      </c>
      <c r="H5" s="1">
        <f t="shared" si="3"/>
        <v>5861.1531590853938</v>
      </c>
      <c r="I5" s="17">
        <f t="shared" si="4"/>
        <v>4.0734682975547526E-2</v>
      </c>
      <c r="J5" s="2">
        <f>+SUM(H$2:H5)</f>
        <v>24520.878607484949</v>
      </c>
      <c r="K5" s="17">
        <f>+SUM(I$2:I5)</f>
        <v>0.17041871953294099</v>
      </c>
      <c r="L5" s="1">
        <f t="shared" si="5"/>
        <v>143886.06295533865</v>
      </c>
      <c r="O5">
        <v>14</v>
      </c>
      <c r="P5" s="1">
        <v>82387.475142400144</v>
      </c>
      <c r="Q5" s="1">
        <v>70994.732292158864</v>
      </c>
      <c r="R5" s="1">
        <v>93286.967577234085</v>
      </c>
    </row>
    <row r="6" spans="1:18" x14ac:dyDescent="0.25">
      <c r="A6" t="s">
        <v>70</v>
      </c>
      <c r="B6">
        <v>15</v>
      </c>
      <c r="C6" t="s">
        <v>62</v>
      </c>
      <c r="D6" s="28">
        <f t="shared" si="6"/>
        <v>4</v>
      </c>
      <c r="E6">
        <f t="shared" si="0"/>
        <v>0.87545230158108933</v>
      </c>
      <c r="F6" t="b">
        <f t="shared" si="1"/>
        <v>1</v>
      </c>
      <c r="G6" t="b">
        <f t="shared" si="2"/>
        <v>0</v>
      </c>
      <c r="H6" s="1">
        <f t="shared" si="3"/>
        <v>5690.4399602770809</v>
      </c>
      <c r="I6" s="17">
        <f t="shared" si="4"/>
        <v>3.9548235898589829E-2</v>
      </c>
      <c r="J6" s="2">
        <f>+SUM(H$2:H6)</f>
        <v>30211.318567762028</v>
      </c>
      <c r="K6" s="17">
        <f>+SUM(I$2:I6)</f>
        <v>0.20996695543153082</v>
      </c>
      <c r="L6" s="1">
        <f t="shared" si="5"/>
        <v>143886.06295533865</v>
      </c>
      <c r="O6">
        <v>16</v>
      </c>
      <c r="P6" s="1">
        <v>88391.201385117645</v>
      </c>
      <c r="Q6" s="1">
        <v>76559.919118265316</v>
      </c>
      <c r="R6" s="1">
        <v>99407.29839322</v>
      </c>
    </row>
    <row r="7" spans="1:18" x14ac:dyDescent="0.25">
      <c r="D7" s="28">
        <f t="shared" si="6"/>
        <v>5</v>
      </c>
      <c r="E7">
        <f t="shared" si="0"/>
        <v>0.84995369085542649</v>
      </c>
      <c r="F7" t="b">
        <f t="shared" si="1"/>
        <v>1</v>
      </c>
      <c r="G7" t="b">
        <f t="shared" si="2"/>
        <v>0</v>
      </c>
      <c r="H7" s="1">
        <f t="shared" si="3"/>
        <v>5524.6989905602723</v>
      </c>
      <c r="I7" s="17">
        <f t="shared" si="4"/>
        <v>3.8396345532611481E-2</v>
      </c>
      <c r="J7" s="2">
        <f>+SUM(H$2:H7)</f>
        <v>35736.017558322303</v>
      </c>
      <c r="K7" s="17">
        <f>+SUM(I$2:I7)</f>
        <v>0.2483633009641423</v>
      </c>
      <c r="L7" s="1">
        <f t="shared" si="5"/>
        <v>143886.06295533865</v>
      </c>
      <c r="O7">
        <v>18</v>
      </c>
      <c r="P7" s="1">
        <v>94050.289181062137</v>
      </c>
      <c r="Q7" s="1">
        <v>82015.449778108916</v>
      </c>
      <c r="R7" s="1">
        <v>104958.61886123444</v>
      </c>
    </row>
    <row r="8" spans="1:18" x14ac:dyDescent="0.25">
      <c r="A8" t="s">
        <v>71</v>
      </c>
      <c r="B8" s="20">
        <v>0.03</v>
      </c>
      <c r="C8" t="s">
        <v>58</v>
      </c>
      <c r="D8" s="28">
        <f t="shared" si="6"/>
        <v>6</v>
      </c>
      <c r="E8">
        <f t="shared" si="0"/>
        <v>0.82519775811206453</v>
      </c>
      <c r="F8" t="b">
        <f t="shared" si="1"/>
        <v>1</v>
      </c>
      <c r="G8" t="b">
        <f t="shared" si="2"/>
        <v>0</v>
      </c>
      <c r="H8" s="1">
        <f t="shared" si="3"/>
        <v>5363.7854277284196</v>
      </c>
      <c r="I8" s="17">
        <f t="shared" si="4"/>
        <v>3.7278005371467457E-2</v>
      </c>
      <c r="J8" s="2">
        <f>+SUM(H$2:H8)</f>
        <v>41099.802986050723</v>
      </c>
      <c r="K8" s="17">
        <f>+SUM(I$2:I8)</f>
        <v>0.28564130633560975</v>
      </c>
      <c r="L8" s="1">
        <f t="shared" si="5"/>
        <v>143886.06295533868</v>
      </c>
      <c r="O8">
        <v>20</v>
      </c>
      <c r="P8" s="1">
        <v>99384.522186948161</v>
      </c>
      <c r="Q8" s="1">
        <v>87363.484931371902</v>
      </c>
      <c r="R8" s="1">
        <v>109993.83017009108</v>
      </c>
    </row>
    <row r="9" spans="1:18" x14ac:dyDescent="0.25">
      <c r="A9" t="s">
        <v>72</v>
      </c>
      <c r="B9">
        <v>0.5</v>
      </c>
      <c r="C9" t="s">
        <v>59</v>
      </c>
      <c r="D9" s="28">
        <f t="shared" si="6"/>
        <v>7</v>
      </c>
      <c r="E9">
        <f t="shared" si="0"/>
        <v>0.80116287195346081</v>
      </c>
      <c r="F9" t="b">
        <f t="shared" si="1"/>
        <v>1</v>
      </c>
      <c r="G9" t="b">
        <f t="shared" si="2"/>
        <v>0</v>
      </c>
      <c r="H9" s="1">
        <f t="shared" si="3"/>
        <v>5207.5586676974954</v>
      </c>
      <c r="I9" s="17">
        <f t="shared" si="4"/>
        <v>3.6192238224725691E-2</v>
      </c>
      <c r="J9" s="2">
        <f>+SUM(H$2:H9)</f>
        <v>46307.361653748216</v>
      </c>
      <c r="K9" s="17">
        <f>+SUM(I$2:I9)</f>
        <v>0.32183354456033542</v>
      </c>
      <c r="L9" s="1">
        <f t="shared" si="5"/>
        <v>143886.06295533868</v>
      </c>
      <c r="O9">
        <v>22</v>
      </c>
      <c r="P9" s="1">
        <v>104412.54839666258</v>
      </c>
      <c r="Q9" s="1">
        <v>92606.142664205006</v>
      </c>
      <c r="R9" s="1">
        <v>114560.91525748938</v>
      </c>
    </row>
    <row r="10" spans="1:18" x14ac:dyDescent="0.25">
      <c r="A10" t="s">
        <v>73</v>
      </c>
      <c r="B10">
        <v>70</v>
      </c>
      <c r="C10" t="s">
        <v>61</v>
      </c>
      <c r="D10" s="28">
        <f t="shared" si="6"/>
        <v>8</v>
      </c>
      <c r="E10">
        <f t="shared" si="0"/>
        <v>0.77782803102277731</v>
      </c>
      <c r="F10" t="b">
        <f t="shared" si="1"/>
        <v>1</v>
      </c>
      <c r="G10" t="b">
        <f t="shared" si="2"/>
        <v>0</v>
      </c>
      <c r="H10" s="1">
        <f t="shared" si="3"/>
        <v>5055.8822016480526</v>
      </c>
      <c r="I10" s="17">
        <f t="shared" si="4"/>
        <v>3.5138095363811343E-2</v>
      </c>
      <c r="J10" s="2">
        <f>+SUM(H$2:H10)</f>
        <v>51363.243855396271</v>
      </c>
      <c r="K10" s="17">
        <f>+SUM(I$2:I10)</f>
        <v>0.35697163992414677</v>
      </c>
      <c r="L10" s="1">
        <f t="shared" si="5"/>
        <v>143886.06295533868</v>
      </c>
      <c r="O10">
        <v>24</v>
      </c>
      <c r="P10" s="1">
        <v>109151.94533295667</v>
      </c>
      <c r="Q10" s="1">
        <v>97745.499328093894</v>
      </c>
      <c r="R10" s="1">
        <v>118703.3960623858</v>
      </c>
    </row>
    <row r="11" spans="1:18" x14ac:dyDescent="0.25">
      <c r="A11" t="s">
        <v>85</v>
      </c>
      <c r="B11" s="2">
        <f>+SUM(H2:H102)</f>
        <v>101587.47624921503</v>
      </c>
      <c r="D11" s="28">
        <f t="shared" si="6"/>
        <v>9</v>
      </c>
      <c r="E11">
        <f t="shared" si="0"/>
        <v>0.75517284565318188</v>
      </c>
      <c r="F11" t="b">
        <f t="shared" si="1"/>
        <v>1</v>
      </c>
      <c r="G11" t="b">
        <f t="shared" si="2"/>
        <v>0</v>
      </c>
      <c r="H11" s="1">
        <f t="shared" si="3"/>
        <v>4908.6234967456821</v>
      </c>
      <c r="I11" s="17">
        <f t="shared" si="4"/>
        <v>3.4114655693020725E-2</v>
      </c>
      <c r="J11" s="2">
        <f>+SUM(H$2:H11)</f>
        <v>56271.867352141955</v>
      </c>
      <c r="K11" s="17">
        <f>+SUM(I$2:I11)</f>
        <v>0.39108629561716751</v>
      </c>
      <c r="L11" s="1">
        <f t="shared" si="5"/>
        <v>143886.06295533868</v>
      </c>
    </row>
    <row r="12" spans="1:18" x14ac:dyDescent="0.25">
      <c r="A12" t="s">
        <v>44</v>
      </c>
      <c r="B12" s="33">
        <f>+SUM(I2:I102)</f>
        <v>1.3408503551054771</v>
      </c>
      <c r="D12" s="28">
        <f t="shared" si="6"/>
        <v>10</v>
      </c>
      <c r="E12">
        <f t="shared" si="0"/>
        <v>0.73317752005163295</v>
      </c>
      <c r="F12" t="b">
        <f t="shared" si="1"/>
        <v>1</v>
      </c>
      <c r="G12" t="b">
        <f t="shared" si="2"/>
        <v>0</v>
      </c>
      <c r="H12" s="1">
        <f t="shared" si="3"/>
        <v>4765.6538803356143</v>
      </c>
      <c r="I12" s="17">
        <f t="shared" si="4"/>
        <v>3.3121024944680319E-2</v>
      </c>
      <c r="J12" s="2">
        <f>+SUM(H$2:H12)</f>
        <v>61037.521232477571</v>
      </c>
      <c r="K12" s="17">
        <f>+SUM(I$2:I12)</f>
        <v>0.42420732056184784</v>
      </c>
      <c r="L12" s="1">
        <f t="shared" si="5"/>
        <v>143886.06295533868</v>
      </c>
      <c r="P12" s="34" t="s">
        <v>39</v>
      </c>
      <c r="Q12" s="34"/>
      <c r="R12" s="34"/>
    </row>
    <row r="13" spans="1:18" x14ac:dyDescent="0.25">
      <c r="A13" t="s">
        <v>74</v>
      </c>
      <c r="B13" s="1">
        <f>B11/B12</f>
        <v>75763.47044426424</v>
      </c>
      <c r="C13" t="s">
        <v>60</v>
      </c>
      <c r="D13" s="28">
        <f t="shared" si="6"/>
        <v>11</v>
      </c>
      <c r="E13">
        <f t="shared" si="0"/>
        <v>0.71182283500158527</v>
      </c>
      <c r="F13" t="b">
        <f t="shared" si="1"/>
        <v>1</v>
      </c>
      <c r="G13" t="b">
        <f t="shared" si="2"/>
        <v>0</v>
      </c>
      <c r="H13" s="1">
        <f t="shared" si="3"/>
        <v>4626.8484275103046</v>
      </c>
      <c r="I13" s="17">
        <f t="shared" si="4"/>
        <v>3.2156334897747878E-2</v>
      </c>
      <c r="J13" s="2">
        <f>+SUM(H$2:H13)</f>
        <v>65664.369659987875</v>
      </c>
      <c r="K13" s="17">
        <f>+SUM(I$2:I13)</f>
        <v>0.45636365545959573</v>
      </c>
      <c r="L13" s="1">
        <f t="shared" si="5"/>
        <v>143886.06295533865</v>
      </c>
      <c r="O13" t="s">
        <v>31</v>
      </c>
      <c r="P13" s="28" t="s">
        <v>36</v>
      </c>
      <c r="Q13" s="28" t="s">
        <v>37</v>
      </c>
      <c r="R13" s="28" t="s">
        <v>38</v>
      </c>
    </row>
    <row r="14" spans="1:18" x14ac:dyDescent="0.25">
      <c r="D14" s="28">
        <f t="shared" si="6"/>
        <v>12</v>
      </c>
      <c r="E14">
        <f t="shared" si="0"/>
        <v>0.69109013106950024</v>
      </c>
      <c r="F14" t="b">
        <f t="shared" si="1"/>
        <v>1</v>
      </c>
      <c r="G14" t="b">
        <f t="shared" si="2"/>
        <v>0</v>
      </c>
      <c r="H14" s="1">
        <f t="shared" si="3"/>
        <v>4492.0858519517515</v>
      </c>
      <c r="I14" s="17">
        <f t="shared" si="4"/>
        <v>3.1219742619172694E-2</v>
      </c>
      <c r="J14" s="2">
        <f>+SUM(H$2:H14)</f>
        <v>70156.455511939625</v>
      </c>
      <c r="K14" s="17">
        <f>+SUM(I$2:I14)</f>
        <v>0.48758339807876844</v>
      </c>
      <c r="L14" s="1">
        <f t="shared" si="5"/>
        <v>143886.06295533865</v>
      </c>
      <c r="O14" s="11">
        <v>0.01</v>
      </c>
      <c r="P14" s="1">
        <v>73791.169453535738</v>
      </c>
      <c r="Q14" s="1">
        <v>59526.52948320211</v>
      </c>
      <c r="R14" s="1">
        <v>97745.499328093894</v>
      </c>
    </row>
    <row r="15" spans="1:18" x14ac:dyDescent="0.25">
      <c r="D15" s="28">
        <f t="shared" si="6"/>
        <v>13</v>
      </c>
      <c r="E15">
        <f t="shared" si="0"/>
        <v>0.67096129230048573</v>
      </c>
      <c r="F15" t="b">
        <f t="shared" si="1"/>
        <v>1</v>
      </c>
      <c r="G15" t="b">
        <f t="shared" si="2"/>
        <v>0</v>
      </c>
      <c r="H15" s="1">
        <f t="shared" si="3"/>
        <v>4361.2483999531569</v>
      </c>
      <c r="I15" s="17">
        <f t="shared" si="4"/>
        <v>3.0310429727352133E-2</v>
      </c>
      <c r="J15" s="2">
        <f>+SUM(H$2:H15)</f>
        <v>74517.703911892779</v>
      </c>
      <c r="K15" s="17">
        <f>+SUM(I$2:I15)</f>
        <v>0.51789382780612059</v>
      </c>
      <c r="L15" s="1">
        <f t="shared" si="5"/>
        <v>143886.06295533865</v>
      </c>
      <c r="O15" s="18">
        <v>1.4999999999999999E-2</v>
      </c>
      <c r="P15" s="1">
        <v>76713.991103594817</v>
      </c>
      <c r="Q15" s="1">
        <v>61908.749607972633</v>
      </c>
      <c r="R15" s="1">
        <v>100738.26619254018</v>
      </c>
    </row>
    <row r="16" spans="1:18" x14ac:dyDescent="0.25">
      <c r="B16" t="s">
        <v>85</v>
      </c>
      <c r="C16" t="s">
        <v>44</v>
      </c>
      <c r="D16" s="28">
        <f t="shared" si="6"/>
        <v>14</v>
      </c>
      <c r="E16">
        <f t="shared" si="0"/>
        <v>0.65141873038882114</v>
      </c>
      <c r="F16" t="b">
        <f t="shared" si="1"/>
        <v>1</v>
      </c>
      <c r="G16" t="b">
        <f t="shared" si="2"/>
        <v>0</v>
      </c>
      <c r="H16" s="1">
        <f t="shared" si="3"/>
        <v>4234.2217475273374</v>
      </c>
      <c r="I16" s="17">
        <f t="shared" si="4"/>
        <v>2.9427601677040907E-2</v>
      </c>
      <c r="J16" s="2">
        <f>+SUM(H$2:H16)</f>
        <v>78751.925659420114</v>
      </c>
      <c r="K16" s="17">
        <f>+SUM(I$2:I16)</f>
        <v>0.54732142948316154</v>
      </c>
      <c r="L16" s="1">
        <f t="shared" si="5"/>
        <v>143886.06295533862</v>
      </c>
      <c r="O16" s="11">
        <v>0.02</v>
      </c>
      <c r="P16" s="1">
        <v>79639.173657419</v>
      </c>
      <c r="Q16" s="1">
        <v>64333.483099667079</v>
      </c>
      <c r="R16" s="1">
        <v>103645.26612515634</v>
      </c>
    </row>
    <row r="17" spans="2:18" x14ac:dyDescent="0.25">
      <c r="D17" s="28">
        <f t="shared" si="6"/>
        <v>15</v>
      </c>
      <c r="E17">
        <f t="shared" si="0"/>
        <v>0.63244536930953499</v>
      </c>
      <c r="F17" t="b">
        <f t="shared" si="1"/>
        <v>1</v>
      </c>
      <c r="G17" t="b">
        <f t="shared" si="2"/>
        <v>1</v>
      </c>
      <c r="H17" s="1">
        <f t="shared" si="3"/>
        <v>822.17898010239537</v>
      </c>
      <c r="I17" s="17">
        <f t="shared" si="4"/>
        <v>2.8570487065088253E-2</v>
      </c>
      <c r="J17" s="2">
        <f>+SUM(H$2:H17)</f>
        <v>79574.104639522513</v>
      </c>
      <c r="K17" s="17">
        <f>+SUM(I$2:I17)</f>
        <v>0.57589191654824978</v>
      </c>
      <c r="L17" s="1">
        <f t="shared" si="5"/>
        <v>138175.41513079318</v>
      </c>
      <c r="O17" s="18">
        <v>2.5000000000000001E-2</v>
      </c>
      <c r="P17" s="1">
        <v>82550.765695465336</v>
      </c>
      <c r="Q17" s="1">
        <v>66788.29544173571</v>
      </c>
      <c r="R17" s="1">
        <v>106453.48228323692</v>
      </c>
    </row>
    <row r="18" spans="2:18" x14ac:dyDescent="0.25">
      <c r="D18" s="28">
        <f t="shared" si="6"/>
        <v>16</v>
      </c>
      <c r="E18">
        <f t="shared" si="0"/>
        <v>0.6140246303976068</v>
      </c>
      <c r="F18" t="b">
        <f t="shared" si="1"/>
        <v>1</v>
      </c>
      <c r="G18" t="b">
        <f t="shared" si="2"/>
        <v>1</v>
      </c>
      <c r="H18" s="1">
        <f t="shared" si="3"/>
        <v>798.23201951688873</v>
      </c>
      <c r="I18" s="17">
        <f t="shared" si="4"/>
        <v>2.7738336956396364E-2</v>
      </c>
      <c r="J18" s="2">
        <f>+SUM(H$2:H18)</f>
        <v>80372.3366590394</v>
      </c>
      <c r="K18" s="17">
        <f>+SUM(I$2:I18)</f>
        <v>0.60363025350464616</v>
      </c>
      <c r="L18" s="1">
        <f t="shared" si="5"/>
        <v>133148.29101490814</v>
      </c>
      <c r="O18" s="11">
        <v>0.03</v>
      </c>
      <c r="P18" s="1">
        <v>85433.700772941535</v>
      </c>
      <c r="Q18" s="1">
        <v>69260.875192494423</v>
      </c>
      <c r="R18" s="1">
        <v>109151.94533295667</v>
      </c>
    </row>
    <row r="19" spans="2:18" x14ac:dyDescent="0.25">
      <c r="B19" s="2">
        <f>+B11/B12</f>
        <v>75763.47044426424</v>
      </c>
      <c r="D19" s="28">
        <f t="shared" si="6"/>
        <v>17</v>
      </c>
      <c r="E19">
        <f t="shared" si="0"/>
        <v>0.59614041786175409</v>
      </c>
      <c r="F19" t="b">
        <f t="shared" si="1"/>
        <v>1</v>
      </c>
      <c r="G19" t="b">
        <f t="shared" si="2"/>
        <v>1</v>
      </c>
      <c r="H19" s="1">
        <f t="shared" si="3"/>
        <v>774.98254322028015</v>
      </c>
      <c r="I19" s="17">
        <f t="shared" si="4"/>
        <v>2.693042422951103E-2</v>
      </c>
      <c r="J19" s="2">
        <f>+SUM(H$2:H19)</f>
        <v>81147.319202259678</v>
      </c>
      <c r="K19" s="17">
        <f>+SUM(I$2:I19)</f>
        <v>0.63056067773415725</v>
      </c>
      <c r="L19" s="1">
        <f t="shared" si="5"/>
        <v>128690.73836613576</v>
      </c>
      <c r="O19" s="18">
        <v>3.5000000000000003E-2</v>
      </c>
      <c r="P19" s="1">
        <v>88274.064952942528</v>
      </c>
      <c r="Q19" s="1">
        <v>71739.284837929954</v>
      </c>
      <c r="R19" s="1">
        <v>111731.82235889006</v>
      </c>
    </row>
    <row r="20" spans="2:18" x14ac:dyDescent="0.25">
      <c r="D20" s="28">
        <f t="shared" si="6"/>
        <v>18</v>
      </c>
      <c r="E20">
        <f t="shared" si="0"/>
        <v>0.57877710472014965</v>
      </c>
      <c r="F20" t="b">
        <f t="shared" si="1"/>
        <v>1</v>
      </c>
      <c r="G20" t="b">
        <f t="shared" si="2"/>
        <v>1</v>
      </c>
      <c r="H20" s="1">
        <f t="shared" si="3"/>
        <v>752.41023613619438</v>
      </c>
      <c r="I20" s="17">
        <f t="shared" si="4"/>
        <v>2.6146042941272846E-2</v>
      </c>
      <c r="J20" s="2">
        <f>+SUM(H$2:H20)</f>
        <v>81899.729438395865</v>
      </c>
      <c r="K20" s="17">
        <f>+SUM(I$2:I20)</f>
        <v>0.65670672067543012</v>
      </c>
      <c r="L20" s="1">
        <f t="shared" si="5"/>
        <v>124712.79318439301</v>
      </c>
      <c r="O20" s="11">
        <v>0.04</v>
      </c>
      <c r="P20" s="1">
        <v>91059.303198535505</v>
      </c>
      <c r="Q20" s="1">
        <v>74212.177770996597</v>
      </c>
      <c r="R20" s="1">
        <v>114186.4273404792</v>
      </c>
    </row>
    <row r="21" spans="2:18" x14ac:dyDescent="0.25">
      <c r="D21" s="28">
        <f t="shared" si="6"/>
        <v>19</v>
      </c>
      <c r="E21">
        <f t="shared" si="0"/>
        <v>0.56191951914577642</v>
      </c>
      <c r="F21" t="b">
        <f t="shared" si="1"/>
        <v>1</v>
      </c>
      <c r="G21" t="b">
        <f t="shared" si="2"/>
        <v>1</v>
      </c>
      <c r="H21" s="1">
        <f t="shared" si="3"/>
        <v>730.49537488950921</v>
      </c>
      <c r="I21" s="17">
        <f t="shared" si="4"/>
        <v>2.538450770997364E-2</v>
      </c>
      <c r="J21" s="2">
        <f>+SUM(H$2:H21)</f>
        <v>82630.224813285371</v>
      </c>
      <c r="K21" s="17">
        <f>+SUM(I$2:I21)</f>
        <v>0.68209122838540381</v>
      </c>
      <c r="L21" s="1">
        <f t="shared" si="5"/>
        <v>121142.48266889689</v>
      </c>
      <c r="O21" s="18">
        <v>4.4999999999999998E-2</v>
      </c>
      <c r="P21" s="1">
        <v>93778.362189536259</v>
      </c>
      <c r="Q21" s="1">
        <v>76668.975526675553</v>
      </c>
      <c r="R21" s="1">
        <v>116511.16165961695</v>
      </c>
    </row>
    <row r="22" spans="2:18" x14ac:dyDescent="0.25">
      <c r="B22" s="1">
        <f>+PCSK9_CostPerYear_v2/PCSK9_QALYPerYear_FH_v2</f>
        <v>143886.06295533865</v>
      </c>
      <c r="D22" s="28">
        <f t="shared" si="6"/>
        <v>20</v>
      </c>
      <c r="E22">
        <f t="shared" si="0"/>
        <v>0.54555293120949155</v>
      </c>
      <c r="F22" t="b">
        <f t="shared" si="1"/>
        <v>1</v>
      </c>
      <c r="G22" t="b">
        <f t="shared" si="2"/>
        <v>1</v>
      </c>
      <c r="H22" s="1">
        <f t="shared" si="3"/>
        <v>709.21881057233895</v>
      </c>
      <c r="I22" s="17">
        <f t="shared" si="4"/>
        <v>2.4645153116479256E-2</v>
      </c>
      <c r="J22" s="2">
        <f>+SUM(H$2:H22)</f>
        <v>83339.443623857704</v>
      </c>
      <c r="K22" s="17">
        <f>+SUM(I$2:I22)</f>
        <v>0.70673638150188312</v>
      </c>
      <c r="L22" s="1">
        <f t="shared" si="5"/>
        <v>117921.54161747458</v>
      </c>
      <c r="O22" s="11">
        <v>0.05</v>
      </c>
      <c r="P22" s="1">
        <v>96421.771165909799</v>
      </c>
      <c r="Q22" s="1">
        <v>79100.002493711145</v>
      </c>
      <c r="R22" s="1">
        <v>118703.3960623858</v>
      </c>
    </row>
    <row r="23" spans="2:18" x14ac:dyDescent="0.25">
      <c r="D23" s="28">
        <f t="shared" si="6"/>
        <v>21</v>
      </c>
      <c r="E23">
        <f t="shared" si="0"/>
        <v>0.52966304000921516</v>
      </c>
      <c r="F23" t="b">
        <f t="shared" si="1"/>
        <v>1</v>
      </c>
      <c r="G23" t="b">
        <f t="shared" si="2"/>
        <v>1</v>
      </c>
      <c r="H23" s="1">
        <f t="shared" si="3"/>
        <v>688.56195201197954</v>
      </c>
      <c r="I23" s="17">
        <f t="shared" si="4"/>
        <v>2.3927333122795397E-2</v>
      </c>
      <c r="J23" s="2">
        <f>+SUM(H$2:H23)</f>
        <v>84028.005575869684</v>
      </c>
      <c r="K23" s="17">
        <f>+SUM(I$2:I23)</f>
        <v>0.7306637146246785</v>
      </c>
      <c r="L23" s="1">
        <f t="shared" si="5"/>
        <v>115002.29708140429</v>
      </c>
    </row>
    <row r="24" spans="2:18" x14ac:dyDescent="0.25">
      <c r="D24" s="28">
        <f t="shared" si="6"/>
        <v>22</v>
      </c>
      <c r="E24">
        <f t="shared" si="0"/>
        <v>0.51423596117399528</v>
      </c>
      <c r="F24" t="b">
        <f t="shared" si="1"/>
        <v>1</v>
      </c>
      <c r="G24" t="b">
        <f t="shared" si="2"/>
        <v>1</v>
      </c>
      <c r="H24" s="1">
        <f t="shared" si="3"/>
        <v>668.50674952619374</v>
      </c>
      <c r="I24" s="17">
        <f t="shared" si="4"/>
        <v>2.3230420507568347E-2</v>
      </c>
      <c r="J24" s="2">
        <f>+SUM(H$2:H24)</f>
        <v>84696.512325395874</v>
      </c>
      <c r="K24" s="17">
        <f>+SUM(I$2:I24)</f>
        <v>0.75389413513224679</v>
      </c>
      <c r="L24" s="1">
        <f t="shared" si="5"/>
        <v>112345.36571973539</v>
      </c>
      <c r="P24" s="34" t="s">
        <v>41</v>
      </c>
      <c r="Q24" s="34"/>
      <c r="R24" s="34"/>
    </row>
    <row r="25" spans="2:18" x14ac:dyDescent="0.25">
      <c r="D25" s="28">
        <f t="shared" si="6"/>
        <v>23</v>
      </c>
      <c r="E25">
        <f t="shared" si="0"/>
        <v>0.49925821473203419</v>
      </c>
      <c r="F25" t="b">
        <f t="shared" si="1"/>
        <v>1</v>
      </c>
      <c r="G25" t="b">
        <f t="shared" si="2"/>
        <v>1</v>
      </c>
      <c r="H25" s="1">
        <f t="shared" si="3"/>
        <v>649.03567915164433</v>
      </c>
      <c r="I25" s="17">
        <f t="shared" si="4"/>
        <v>2.2553806318027517E-2</v>
      </c>
      <c r="J25" s="2">
        <f>+SUM(H$2:H25)</f>
        <v>85345.548004547512</v>
      </c>
      <c r="K25" s="17">
        <f>+SUM(I$2:I25)</f>
        <v>0.77644794145027429</v>
      </c>
      <c r="L25" s="1">
        <f t="shared" si="5"/>
        <v>109917.92681571977</v>
      </c>
      <c r="O25" t="s">
        <v>30</v>
      </c>
      <c r="P25" s="28">
        <v>42</v>
      </c>
      <c r="Q25" s="28">
        <v>70</v>
      </c>
      <c r="R25" s="28">
        <v>20</v>
      </c>
    </row>
    <row r="26" spans="2:18" x14ac:dyDescent="0.25">
      <c r="B26" s="31">
        <f>+B22/B19</f>
        <v>1.8991482585422104</v>
      </c>
      <c r="D26" s="28">
        <f t="shared" si="6"/>
        <v>24</v>
      </c>
      <c r="E26">
        <f t="shared" si="0"/>
        <v>0.484716713332072</v>
      </c>
      <c r="F26" t="b">
        <f t="shared" si="1"/>
        <v>1</v>
      </c>
      <c r="G26" t="b">
        <f t="shared" si="2"/>
        <v>1</v>
      </c>
      <c r="H26" s="1">
        <f t="shared" si="3"/>
        <v>630.13172733169347</v>
      </c>
      <c r="I26" s="17">
        <f t="shared" si="4"/>
        <v>2.1896899337890793E-2</v>
      </c>
      <c r="J26" s="2">
        <f>+SUM(H$2:H26)</f>
        <v>85975.679731879209</v>
      </c>
      <c r="K26" s="17">
        <f>+SUM(I$2:I26)</f>
        <v>0.79834484078816503</v>
      </c>
      <c r="L26" s="1">
        <f t="shared" si="5"/>
        <v>107692.40976994329</v>
      </c>
      <c r="O26">
        <v>10</v>
      </c>
      <c r="P26" s="1">
        <v>69260.875192494423</v>
      </c>
      <c r="Q26" s="1">
        <v>62351.051543567599</v>
      </c>
      <c r="R26" s="1">
        <v>92474.929391845741</v>
      </c>
    </row>
    <row r="27" spans="2:18" x14ac:dyDescent="0.25">
      <c r="B27" s="31"/>
      <c r="D27" s="28">
        <f t="shared" si="6"/>
        <v>25</v>
      </c>
      <c r="E27">
        <f t="shared" si="0"/>
        <v>0.47059875080783686</v>
      </c>
      <c r="F27" t="b">
        <f t="shared" si="1"/>
        <v>1</v>
      </c>
      <c r="G27" t="b">
        <f t="shared" si="2"/>
        <v>1</v>
      </c>
      <c r="H27" s="1">
        <f t="shared" si="3"/>
        <v>611.77837605018783</v>
      </c>
      <c r="I27" s="17">
        <f t="shared" si="4"/>
        <v>2.125912557076776E-2</v>
      </c>
      <c r="J27" s="2">
        <f>+SUM(H$2:H27)</f>
        <v>86587.4581079294</v>
      </c>
      <c r="K27" s="17">
        <f>+SUM(I$2:I27)</f>
        <v>0.81960396635893285</v>
      </c>
      <c r="L27" s="1">
        <f t="shared" si="5"/>
        <v>105645.48448025661</v>
      </c>
      <c r="O27">
        <v>12</v>
      </c>
      <c r="P27" s="1">
        <v>76018.121971501168</v>
      </c>
      <c r="Q27" s="1">
        <v>67954.959405221292</v>
      </c>
      <c r="R27" s="1">
        <v>103106.90199570228</v>
      </c>
    </row>
    <row r="28" spans="2:18" x14ac:dyDescent="0.25">
      <c r="B28" s="31">
        <f>+B19/B22</f>
        <v>0.5265518347512278</v>
      </c>
      <c r="D28" s="28">
        <f t="shared" si="6"/>
        <v>26</v>
      </c>
      <c r="E28">
        <f t="shared" si="0"/>
        <v>0.45689199107556977</v>
      </c>
      <c r="F28" t="b">
        <f t="shared" si="1"/>
        <v>1</v>
      </c>
      <c r="G28" t="b">
        <f t="shared" si="2"/>
        <v>1</v>
      </c>
      <c r="H28" s="1">
        <f t="shared" si="3"/>
        <v>593.95958839824061</v>
      </c>
      <c r="I28" s="17">
        <f t="shared" si="4"/>
        <v>2.0639927738609475E-2</v>
      </c>
      <c r="J28" s="2">
        <f>+SUM(H$2:H28)</f>
        <v>87181.41769632764</v>
      </c>
      <c r="K28" s="17">
        <f>+SUM(I$2:I28)</f>
        <v>0.8402438940975423</v>
      </c>
      <c r="L28" s="1">
        <f t="shared" si="5"/>
        <v>103757.27608227869</v>
      </c>
      <c r="O28">
        <v>14</v>
      </c>
      <c r="P28" s="1">
        <v>82387.475142400144</v>
      </c>
      <c r="Q28" s="1">
        <v>73237.180030778545</v>
      </c>
      <c r="R28" s="1">
        <v>113128.5558781196</v>
      </c>
    </row>
    <row r="29" spans="2:18" x14ac:dyDescent="0.25">
      <c r="D29" s="28">
        <f t="shared" si="6"/>
        <v>27</v>
      </c>
      <c r="E29">
        <f t="shared" si="0"/>
        <v>0.44358445735492213</v>
      </c>
      <c r="F29" t="b">
        <f t="shared" si="1"/>
        <v>1</v>
      </c>
      <c r="G29" t="b">
        <f t="shared" si="2"/>
        <v>1</v>
      </c>
      <c r="H29" s="1">
        <f t="shared" si="3"/>
        <v>576.65979456139871</v>
      </c>
      <c r="I29" s="17">
        <f t="shared" si="4"/>
        <v>2.0038764794766482E-2</v>
      </c>
      <c r="J29" s="2">
        <f>+SUM(H$2:H29)</f>
        <v>87758.077490889045</v>
      </c>
      <c r="K29" s="17">
        <f>+SUM(I$2:I29)</f>
        <v>0.86028265889230882</v>
      </c>
      <c r="L29" s="1">
        <f t="shared" si="5"/>
        <v>102010.74796031046</v>
      </c>
      <c r="O29">
        <v>16</v>
      </c>
      <c r="P29" s="1">
        <v>88391.201385117645</v>
      </c>
      <c r="Q29" s="1">
        <v>78216.17958357076</v>
      </c>
      <c r="R29" s="1">
        <v>122574.92583044058</v>
      </c>
    </row>
    <row r="30" spans="2:18" x14ac:dyDescent="0.25">
      <c r="D30" s="28">
        <f t="shared" si="6"/>
        <v>28</v>
      </c>
      <c r="E30">
        <f t="shared" si="0"/>
        <v>0.43066452170380792</v>
      </c>
      <c r="F30" t="b">
        <f t="shared" si="1"/>
        <v>1</v>
      </c>
      <c r="G30" t="b">
        <f t="shared" si="2"/>
        <v>1</v>
      </c>
      <c r="H30" s="1">
        <f t="shared" si="3"/>
        <v>559.8638782149502</v>
      </c>
      <c r="I30" s="17">
        <f t="shared" si="4"/>
        <v>1.9455111451229596E-2</v>
      </c>
      <c r="J30" s="2">
        <f>+SUM(H$2:H30)</f>
        <v>88317.941369103995</v>
      </c>
      <c r="K30" s="17">
        <f>+SUM(I$2:I30)</f>
        <v>0.87973777034353839</v>
      </c>
      <c r="L30" s="1">
        <f t="shared" si="5"/>
        <v>100391.2124116437</v>
      </c>
      <c r="O30">
        <v>18</v>
      </c>
      <c r="P30" s="1">
        <v>94050.289181062137</v>
      </c>
      <c r="Q30" s="1">
        <v>82909.364193611487</v>
      </c>
      <c r="R30" s="1">
        <v>131479.0355036624</v>
      </c>
    </row>
    <row r="31" spans="2:18" x14ac:dyDescent="0.25">
      <c r="D31" s="28">
        <f t="shared" si="6"/>
        <v>29</v>
      </c>
      <c r="E31">
        <f t="shared" si="0"/>
        <v>0.41812089485806586</v>
      </c>
      <c r="F31" t="b">
        <f t="shared" si="1"/>
        <v>1</v>
      </c>
      <c r="G31" t="b">
        <f t="shared" si="2"/>
        <v>1</v>
      </c>
      <c r="H31" s="1">
        <f t="shared" si="3"/>
        <v>543.55716331548547</v>
      </c>
      <c r="I31" s="17">
        <f t="shared" si="4"/>
        <v>1.8888457719640379E-2</v>
      </c>
      <c r="J31" s="2">
        <f>+SUM(H$2:H31)</f>
        <v>88861.498532419486</v>
      </c>
      <c r="K31" s="17">
        <f>+SUM(I$2:I31)</f>
        <v>0.89862622806317882</v>
      </c>
      <c r="L31" s="1">
        <f t="shared" si="5"/>
        <v>98885.939178454501</v>
      </c>
      <c r="O31">
        <v>20</v>
      </c>
      <c r="P31" s="1">
        <v>99384.522186948161</v>
      </c>
      <c r="Q31" s="1">
        <v>87333.140807845382</v>
      </c>
      <c r="R31" s="1">
        <v>139872.01285611952</v>
      </c>
    </row>
    <row r="32" spans="2:18" x14ac:dyDescent="0.25">
      <c r="D32" s="28">
        <f t="shared" si="6"/>
        <v>30</v>
      </c>
      <c r="E32">
        <f t="shared" si="0"/>
        <v>0.40594261636705425</v>
      </c>
      <c r="F32" t="b">
        <f t="shared" si="1"/>
        <v>1</v>
      </c>
      <c r="G32" t="b">
        <f t="shared" si="2"/>
        <v>1</v>
      </c>
      <c r="H32" s="1">
        <f t="shared" si="3"/>
        <v>527.72540127717048</v>
      </c>
      <c r="I32" s="17">
        <f t="shared" si="4"/>
        <v>1.8338308465670271E-2</v>
      </c>
      <c r="J32" s="2">
        <f>+SUM(H$2:H32)</f>
        <v>89389.22393369666</v>
      </c>
      <c r="K32" s="17">
        <f>+SUM(I$2:I32)</f>
        <v>0.91696453652884913</v>
      </c>
      <c r="L32" s="1">
        <f t="shared" si="5"/>
        <v>97483.839748130034</v>
      </c>
      <c r="O32">
        <v>22</v>
      </c>
      <c r="P32" s="1">
        <v>104412.54839666258</v>
      </c>
      <c r="Q32" s="1">
        <v>91502.974547343823</v>
      </c>
      <c r="R32" s="1">
        <v>143886.0629553386</v>
      </c>
    </row>
    <row r="33" spans="4:18" x14ac:dyDescent="0.25">
      <c r="D33" s="28">
        <f t="shared" si="6"/>
        <v>31</v>
      </c>
      <c r="E33">
        <f t="shared" si="0"/>
        <v>0.39411904501655753</v>
      </c>
      <c r="F33" t="b">
        <f t="shared" si="1"/>
        <v>1</v>
      </c>
      <c r="G33" t="b">
        <f t="shared" si="2"/>
        <v>1</v>
      </c>
      <c r="H33" s="1">
        <f t="shared" si="3"/>
        <v>512.35475852152467</v>
      </c>
      <c r="I33" s="17">
        <f t="shared" si="4"/>
        <v>1.7804182976378907E-2</v>
      </c>
      <c r="J33" s="2">
        <f>+SUM(H$2:H33)</f>
        <v>89901.578692218187</v>
      </c>
      <c r="K33" s="17">
        <f>+SUM(I$2:I33)</f>
        <v>0.934768719505228</v>
      </c>
      <c r="L33" s="1">
        <f t="shared" si="5"/>
        <v>96175.210847666138</v>
      </c>
      <c r="O33">
        <v>24</v>
      </c>
      <c r="P33" s="1">
        <v>109151.94533295667</v>
      </c>
      <c r="Q33" s="1">
        <v>95433.44277196296</v>
      </c>
      <c r="R33" s="1">
        <v>143886.0629553386</v>
      </c>
    </row>
    <row r="34" spans="4:18" x14ac:dyDescent="0.25">
      <c r="D34" s="28">
        <f t="shared" si="6"/>
        <v>32</v>
      </c>
      <c r="E34">
        <f t="shared" ref="E34:E65" si="7">+(1+r_discount_v2)^-(D34+offset_v2)</f>
        <v>0.38263984953063834</v>
      </c>
      <c r="F34" t="b">
        <f t="shared" ref="F34:F65" si="8">+D34&lt;=TimeHorizon_v2</f>
        <v>1</v>
      </c>
      <c r="G34" t="b">
        <f t="shared" ref="G34:G65" si="9">+D34&gt;=Year_Generic_v2</f>
        <v>1</v>
      </c>
      <c r="H34" s="1">
        <f t="shared" ref="H34:H65" si="10">+(IF(G34,PCSK9_CostPerYear_Gen_v2,PCSK9_CostPerYear_v2)*E34*F34)</f>
        <v>497.43180438982978</v>
      </c>
      <c r="I34" s="17">
        <f t="shared" ref="I34:I65" si="11">+E34*F34*PCSK9_QALYPerYear_FH_v2</f>
        <v>1.7285614540173692E-2</v>
      </c>
      <c r="J34" s="2">
        <f>+SUM(H$2:H34)</f>
        <v>90399.010496608011</v>
      </c>
      <c r="K34" s="17">
        <f>+SUM(I$2:I34)</f>
        <v>0.95205433404540174</v>
      </c>
      <c r="L34" s="1">
        <f t="shared" si="5"/>
        <v>94951.524575799107</v>
      </c>
    </row>
    <row r="35" spans="4:18" x14ac:dyDescent="0.25">
      <c r="D35" s="28">
        <f t="shared" si="6"/>
        <v>33</v>
      </c>
      <c r="E35">
        <f t="shared" si="7"/>
        <v>0.37149499954430909</v>
      </c>
      <c r="F35" t="b">
        <f t="shared" si="8"/>
        <v>1</v>
      </c>
      <c r="G35" t="b">
        <f t="shared" si="9"/>
        <v>1</v>
      </c>
      <c r="H35" s="1">
        <f t="shared" si="10"/>
        <v>482.94349940760173</v>
      </c>
      <c r="I35" s="17">
        <f t="shared" si="11"/>
        <v>1.6782150039003584E-2</v>
      </c>
      <c r="J35" s="2">
        <f>+SUM(H$2:H35)</f>
        <v>90881.953996015611</v>
      </c>
      <c r="K35" s="17">
        <f>+SUM(I$2:I35)</f>
        <v>0.96883648408440537</v>
      </c>
      <c r="L35" s="1">
        <f t="shared" si="5"/>
        <v>93805.255570967885</v>
      </c>
    </row>
    <row r="36" spans="4:18" x14ac:dyDescent="0.25">
      <c r="D36" s="28">
        <f t="shared" si="6"/>
        <v>34</v>
      </c>
      <c r="E36">
        <f t="shared" si="7"/>
        <v>0.36067475683913502</v>
      </c>
      <c r="F36" t="b">
        <f t="shared" si="8"/>
        <v>1</v>
      </c>
      <c r="G36" t="b">
        <f t="shared" si="9"/>
        <v>1</v>
      </c>
      <c r="H36" s="1">
        <f t="shared" si="10"/>
        <v>468.87718389087547</v>
      </c>
      <c r="I36" s="17">
        <f t="shared" si="11"/>
        <v>1.6293349552430666E-2</v>
      </c>
      <c r="J36" s="2">
        <f>+SUM(H$2:H36)</f>
        <v>91350.831179906483</v>
      </c>
      <c r="K36" s="17">
        <f>+SUM(I$2:I36)</f>
        <v>0.98512983363683604</v>
      </c>
      <c r="L36" s="1">
        <f t="shared" si="5"/>
        <v>92729.737807922866</v>
      </c>
      <c r="P36" s="28"/>
      <c r="Q36" s="28"/>
      <c r="R36" s="28"/>
    </row>
    <row r="37" spans="4:18" x14ac:dyDescent="0.25">
      <c r="D37" s="28">
        <f t="shared" si="6"/>
        <v>35</v>
      </c>
      <c r="E37">
        <f t="shared" si="7"/>
        <v>0.35016966683411171</v>
      </c>
      <c r="F37" t="b">
        <f t="shared" si="8"/>
        <v>1</v>
      </c>
      <c r="G37" t="b">
        <f t="shared" si="9"/>
        <v>1</v>
      </c>
      <c r="H37" s="1">
        <f t="shared" si="10"/>
        <v>455.22056688434515</v>
      </c>
      <c r="I37" s="17">
        <f t="shared" si="11"/>
        <v>1.5818785973233659E-2</v>
      </c>
      <c r="J37" s="2">
        <f>+SUM(H$2:H37)</f>
        <v>91806.051746790821</v>
      </c>
      <c r="K37" s="17">
        <f>+SUM(I$2:I37)</f>
        <v>1.0009486196100696</v>
      </c>
      <c r="L37" s="1">
        <f t="shared" si="5"/>
        <v>91719.045261838575</v>
      </c>
      <c r="P37" s="1"/>
      <c r="Q37" s="1"/>
      <c r="R37" s="1"/>
    </row>
    <row r="38" spans="4:18" x14ac:dyDescent="0.25">
      <c r="D38" s="28">
        <f t="shared" si="6"/>
        <v>36</v>
      </c>
      <c r="E38">
        <f t="shared" si="7"/>
        <v>0.33997055032438023</v>
      </c>
      <c r="F38" t="b">
        <f t="shared" si="8"/>
        <v>1</v>
      </c>
      <c r="G38" t="b">
        <f t="shared" si="9"/>
        <v>1</v>
      </c>
      <c r="H38" s="1">
        <f t="shared" si="10"/>
        <v>441.96171542169424</v>
      </c>
      <c r="I38" s="17">
        <f t="shared" si="11"/>
        <v>1.5358044634207431E-2</v>
      </c>
      <c r="J38" s="2">
        <f>+SUM(H$2:H38)</f>
        <v>92248.013462212519</v>
      </c>
      <c r="K38" s="17">
        <f>+SUM(I$2:I38)</f>
        <v>1.0163066642442771</v>
      </c>
      <c r="L38" s="1">
        <f t="shared" si="5"/>
        <v>90767.891924439857</v>
      </c>
      <c r="O38" t="s">
        <v>32</v>
      </c>
      <c r="P38" s="1"/>
      <c r="Q38" s="1"/>
      <c r="R38" s="1"/>
    </row>
    <row r="39" spans="4:18" x14ac:dyDescent="0.25">
      <c r="D39" s="28">
        <f t="shared" si="6"/>
        <v>37</v>
      </c>
      <c r="E39">
        <f t="shared" si="7"/>
        <v>0.33006849546056333</v>
      </c>
      <c r="F39" t="b">
        <f t="shared" si="8"/>
        <v>1</v>
      </c>
      <c r="G39" t="b">
        <f t="shared" si="9"/>
        <v>1</v>
      </c>
      <c r="H39" s="1">
        <f t="shared" si="10"/>
        <v>429.08904409873224</v>
      </c>
      <c r="I39" s="17">
        <f t="shared" si="11"/>
        <v>1.4910722945832457E-2</v>
      </c>
      <c r="J39" s="2">
        <f>+SUM(H$2:H39)</f>
        <v>92677.102506311247</v>
      </c>
      <c r="K39" s="17">
        <f>+SUM(I$2:I39)</f>
        <v>1.0312173871901096</v>
      </c>
      <c r="L39" s="1">
        <f t="shared" si="5"/>
        <v>89871.547607280401</v>
      </c>
      <c r="O39" s="19">
        <v>1000</v>
      </c>
      <c r="P39" s="1"/>
      <c r="Q39" s="1"/>
      <c r="R39" s="1"/>
    </row>
    <row r="40" spans="4:18" x14ac:dyDescent="0.25">
      <c r="D40" s="28">
        <f t="shared" si="6"/>
        <v>38</v>
      </c>
      <c r="E40">
        <f t="shared" si="7"/>
        <v>0.32045484996171203</v>
      </c>
      <c r="F40" t="b">
        <f t="shared" si="8"/>
        <v>1</v>
      </c>
      <c r="G40" t="b">
        <f t="shared" si="9"/>
        <v>1</v>
      </c>
      <c r="H40" s="1">
        <f t="shared" si="10"/>
        <v>416.59130495022555</v>
      </c>
      <c r="I40" s="17">
        <f t="shared" si="11"/>
        <v>1.4476430044497534E-2</v>
      </c>
      <c r="J40" s="2">
        <f>+SUM(H$2:H40)</f>
        <v>93093.693811261473</v>
      </c>
      <c r="K40" s="17">
        <f>+SUM(I$2:I40)</f>
        <v>1.0456938172346071</v>
      </c>
      <c r="L40" s="1">
        <f t="shared" si="5"/>
        <v>89025.766698566411</v>
      </c>
      <c r="O40" s="19">
        <v>1500</v>
      </c>
      <c r="P40" s="1"/>
      <c r="Q40" s="1"/>
      <c r="R40" s="1"/>
    </row>
    <row r="41" spans="4:18" x14ac:dyDescent="0.25">
      <c r="D41" s="28">
        <f t="shared" si="6"/>
        <v>39</v>
      </c>
      <c r="E41">
        <f t="shared" si="7"/>
        <v>0.31112121355506017</v>
      </c>
      <c r="F41" t="b">
        <f t="shared" si="8"/>
        <v>1</v>
      </c>
      <c r="G41" t="b">
        <f t="shared" si="9"/>
        <v>1</v>
      </c>
      <c r="H41" s="1">
        <f t="shared" si="10"/>
        <v>404.45757762157814</v>
      </c>
      <c r="I41" s="17">
        <f t="shared" si="11"/>
        <v>1.4054786450968478E-2</v>
      </c>
      <c r="J41" s="2">
        <f>+SUM(H$2:H41)</f>
        <v>93498.151388883052</v>
      </c>
      <c r="K41" s="17">
        <f>+SUM(I$2:I41)</f>
        <v>1.0597486036855757</v>
      </c>
      <c r="L41" s="1">
        <f t="shared" si="5"/>
        <v>88226.727606638757</v>
      </c>
      <c r="O41" s="19">
        <v>2000</v>
      </c>
      <c r="P41" s="1"/>
      <c r="Q41" s="1"/>
      <c r="R41" s="1"/>
    </row>
    <row r="42" spans="4:18" x14ac:dyDescent="0.25">
      <c r="D42" s="28">
        <f t="shared" si="6"/>
        <v>40</v>
      </c>
      <c r="E42">
        <f t="shared" si="7"/>
        <v>0.30205943063598073</v>
      </c>
      <c r="F42" t="b">
        <f t="shared" si="8"/>
        <v>1</v>
      </c>
      <c r="G42" t="b">
        <f t="shared" si="9"/>
        <v>1</v>
      </c>
      <c r="H42" s="1">
        <f t="shared" si="10"/>
        <v>392.6772598267749</v>
      </c>
      <c r="I42" s="17">
        <f t="shared" si="11"/>
        <v>1.3645423738804346E-2</v>
      </c>
      <c r="J42" s="2">
        <f>+SUM(H$2:H42)</f>
        <v>93890.828648709823</v>
      </c>
      <c r="K42" s="17">
        <f>+SUM(I$2:I42)</f>
        <v>1.0733940274243801</v>
      </c>
      <c r="L42" s="1">
        <f t="shared" si="5"/>
        <v>87470.981065547589</v>
      </c>
      <c r="O42" s="19">
        <v>2500</v>
      </c>
      <c r="P42" s="1"/>
      <c r="Q42" s="1"/>
      <c r="R42" s="1"/>
    </row>
    <row r="43" spans="4:18" x14ac:dyDescent="0.25">
      <c r="D43" s="28">
        <f t="shared" si="6"/>
        <v>41</v>
      </c>
      <c r="E43">
        <f t="shared" si="7"/>
        <v>0.29326158314172884</v>
      </c>
      <c r="F43" t="b">
        <f t="shared" si="8"/>
        <v>1</v>
      </c>
      <c r="G43" t="b">
        <f t="shared" si="9"/>
        <v>1</v>
      </c>
      <c r="H43" s="1">
        <f t="shared" si="10"/>
        <v>381.24005808424744</v>
      </c>
      <c r="I43" s="17">
        <f t="shared" si="11"/>
        <v>1.3247984212431403E-2</v>
      </c>
      <c r="J43" s="2">
        <f>+SUM(H$2:H43)</f>
        <v>94272.068706794074</v>
      </c>
      <c r="K43" s="17">
        <f>+SUM(I$2:I43)</f>
        <v>1.0866420116368114</v>
      </c>
      <c r="L43" s="1">
        <f t="shared" si="5"/>
        <v>86755.405825688475</v>
      </c>
      <c r="O43" s="19">
        <v>3000</v>
      </c>
      <c r="P43" s="1"/>
      <c r="Q43" s="1"/>
      <c r="R43" s="1"/>
    </row>
    <row r="44" spans="4:18" x14ac:dyDescent="0.25">
      <c r="D44" s="28">
        <f t="shared" si="6"/>
        <v>42</v>
      </c>
      <c r="E44">
        <f t="shared" si="7"/>
        <v>0.28471998363274642</v>
      </c>
      <c r="F44" t="b">
        <f t="shared" si="8"/>
        <v>1</v>
      </c>
      <c r="G44" t="b">
        <f t="shared" si="9"/>
        <v>1</v>
      </c>
      <c r="H44" s="1">
        <f t="shared" si="10"/>
        <v>370.13597872257026</v>
      </c>
      <c r="I44" s="17">
        <f t="shared" si="11"/>
        <v>1.2862120594593594E-2</v>
      </c>
      <c r="J44" s="2">
        <f>+SUM(H$2:H44)</f>
        <v>94642.204685516641</v>
      </c>
      <c r="K44" s="17">
        <f>+SUM(I$2:I44)</f>
        <v>1.099504132231405</v>
      </c>
      <c r="L44" s="1">
        <f t="shared" si="5"/>
        <v>86077.170527266338</v>
      </c>
      <c r="O44" s="19">
        <v>3500</v>
      </c>
      <c r="P44" s="1"/>
      <c r="Q44" s="1"/>
      <c r="R44" s="1"/>
    </row>
    <row r="45" spans="4:18" x14ac:dyDescent="0.25">
      <c r="D45" s="28">
        <f t="shared" si="6"/>
        <v>43</v>
      </c>
      <c r="E45">
        <f t="shared" si="7"/>
        <v>0.27642716857548194</v>
      </c>
      <c r="F45" t="b">
        <f t="shared" si="8"/>
        <v>1</v>
      </c>
      <c r="G45" t="b">
        <f t="shared" si="9"/>
        <v>1</v>
      </c>
      <c r="H45" s="1">
        <f t="shared" si="10"/>
        <v>359.35531914812645</v>
      </c>
      <c r="I45" s="17">
        <f t="shared" si="11"/>
        <v>1.2487495722906401E-2</v>
      </c>
      <c r="J45" s="2">
        <f>+SUM(H$2:H45)</f>
        <v>95001.560004664774</v>
      </c>
      <c r="K45" s="17">
        <f>+SUM(I$2:I45)</f>
        <v>1.1119916279543114</v>
      </c>
      <c r="L45" s="1">
        <f t="shared" si="5"/>
        <v>85433.700772941535</v>
      </c>
      <c r="O45" s="19">
        <v>4000</v>
      </c>
    </row>
    <row r="46" spans="4:18" x14ac:dyDescent="0.25">
      <c r="D46" s="28">
        <f t="shared" si="6"/>
        <v>44</v>
      </c>
      <c r="E46">
        <f t="shared" si="7"/>
        <v>0.2683758918208563</v>
      </c>
      <c r="F46" t="b">
        <f t="shared" si="8"/>
        <v>1</v>
      </c>
      <c r="G46" t="b">
        <f t="shared" si="9"/>
        <v>1</v>
      </c>
      <c r="H46" s="1">
        <f t="shared" si="10"/>
        <v>348.88865936711312</v>
      </c>
      <c r="I46" s="17">
        <f t="shared" si="11"/>
        <v>1.2123782255248934E-2</v>
      </c>
      <c r="J46" s="2">
        <f>+SUM(H$2:H46)</f>
        <v>95350.448664031894</v>
      </c>
      <c r="K46" s="17">
        <f>+SUM(I$2:I46)</f>
        <v>1.1241154102095603</v>
      </c>
      <c r="L46" s="1">
        <f t="shared" si="5"/>
        <v>84822.650590882331</v>
      </c>
      <c r="O46" s="19">
        <v>4500</v>
      </c>
    </row>
    <row r="47" spans="4:18" x14ac:dyDescent="0.25">
      <c r="D47" s="28">
        <f t="shared" si="6"/>
        <v>45</v>
      </c>
      <c r="E47">
        <f t="shared" si="7"/>
        <v>0.26055911827267597</v>
      </c>
      <c r="F47" t="b">
        <f t="shared" si="8"/>
        <v>1</v>
      </c>
      <c r="G47" t="b">
        <f t="shared" si="9"/>
        <v>1</v>
      </c>
      <c r="H47" s="1">
        <f t="shared" si="10"/>
        <v>338.72685375447873</v>
      </c>
      <c r="I47" s="17">
        <f t="shared" si="11"/>
        <v>1.1770662383736828E-2</v>
      </c>
      <c r="J47" s="2">
        <f>+SUM(H$2:H47)</f>
        <v>95689.175517786367</v>
      </c>
      <c r="K47" s="17">
        <f>+SUM(I$2:I47)</f>
        <v>1.1358860725932971</v>
      </c>
      <c r="L47" s="1">
        <f t="shared" si="5"/>
        <v>84241.877620105108</v>
      </c>
      <c r="O47" s="19">
        <v>5000</v>
      </c>
    </row>
    <row r="48" spans="4:18" x14ac:dyDescent="0.25">
      <c r="D48" s="28">
        <f t="shared" si="6"/>
        <v>46</v>
      </c>
      <c r="E48">
        <f t="shared" si="7"/>
        <v>0.25297001774046213</v>
      </c>
      <c r="F48" t="b">
        <f t="shared" si="8"/>
        <v>1</v>
      </c>
      <c r="G48" t="b">
        <f t="shared" si="9"/>
        <v>1</v>
      </c>
      <c r="H48" s="1">
        <f t="shared" si="10"/>
        <v>328.86102306260074</v>
      </c>
      <c r="I48" s="17">
        <f t="shared" si="11"/>
        <v>1.1427827557026047E-2</v>
      </c>
      <c r="J48" s="2">
        <f>+SUM(H$2:H48)</f>
        <v>96018.036540848974</v>
      </c>
      <c r="K48" s="17">
        <f>+SUM(I$2:I48)</f>
        <v>1.1473139001503232</v>
      </c>
      <c r="L48" s="1">
        <f t="shared" si="5"/>
        <v>83689.42146370624</v>
      </c>
    </row>
    <row r="49" spans="4:12" x14ac:dyDescent="0.25">
      <c r="D49" s="28">
        <f t="shared" si="6"/>
        <v>47</v>
      </c>
      <c r="E49">
        <f t="shared" si="7"/>
        <v>0.24560195897132245</v>
      </c>
      <c r="F49" t="b">
        <f t="shared" si="8"/>
        <v>1</v>
      </c>
      <c r="G49" t="b">
        <f t="shared" si="9"/>
        <v>1</v>
      </c>
      <c r="H49" s="1">
        <f t="shared" si="10"/>
        <v>319.28254666271914</v>
      </c>
      <c r="I49" s="17">
        <f t="shared" si="11"/>
        <v>1.10949782107049E-2</v>
      </c>
      <c r="J49" s="2">
        <f>+SUM(H$2:H49)</f>
        <v>96337.3190875117</v>
      </c>
      <c r="K49" s="17">
        <f>+SUM(I$2:I49)</f>
        <v>1.158408878361028</v>
      </c>
      <c r="L49" s="1">
        <f t="shared" si="5"/>
        <v>83163.48474798839</v>
      </c>
    </row>
    <row r="50" spans="4:12" x14ac:dyDescent="0.25">
      <c r="D50" s="28">
        <f t="shared" si="6"/>
        <v>48</v>
      </c>
      <c r="E50">
        <f t="shared" si="7"/>
        <v>0.23844850385565286</v>
      </c>
      <c r="F50" t="b">
        <f t="shared" si="8"/>
        <v>1</v>
      </c>
      <c r="G50" t="b">
        <f t="shared" si="9"/>
        <v>1</v>
      </c>
      <c r="H50" s="1">
        <f t="shared" si="10"/>
        <v>309.98305501234864</v>
      </c>
      <c r="I50" s="17">
        <f t="shared" si="11"/>
        <v>1.0771823505538737E-2</v>
      </c>
      <c r="J50" s="2">
        <f>+SUM(H$2:H50)</f>
        <v>96647.302142524044</v>
      </c>
      <c r="K50" s="17">
        <f>+SUM(I$2:I50)</f>
        <v>1.1691807018665668</v>
      </c>
      <c r="L50" s="1">
        <f t="shared" si="5"/>
        <v>82662.416500913096</v>
      </c>
    </row>
    <row r="51" spans="4:12" x14ac:dyDescent="0.25">
      <c r="D51" s="28">
        <f t="shared" si="6"/>
        <v>49</v>
      </c>
      <c r="E51">
        <f t="shared" si="7"/>
        <v>0.2315034018016047</v>
      </c>
      <c r="F51" t="b">
        <f t="shared" si="8"/>
        <v>1</v>
      </c>
      <c r="G51" t="b">
        <f t="shared" si="9"/>
        <v>1</v>
      </c>
      <c r="H51" s="1">
        <f t="shared" si="10"/>
        <v>300.95442234208605</v>
      </c>
      <c r="I51" s="17">
        <f t="shared" si="11"/>
        <v>1.0458081073338579E-2</v>
      </c>
      <c r="J51" s="2">
        <f>+SUM(H$2:H51)</f>
        <v>96948.256564866126</v>
      </c>
      <c r="K51" s="17">
        <f>+SUM(I$2:I51)</f>
        <v>1.1796387829399053</v>
      </c>
      <c r="L51" s="1">
        <f t="shared" si="5"/>
        <v>82184.697525161813</v>
      </c>
    </row>
    <row r="52" spans="4:12" x14ac:dyDescent="0.25">
      <c r="D52" s="28">
        <f t="shared" si="6"/>
        <v>50</v>
      </c>
      <c r="E52">
        <f t="shared" si="7"/>
        <v>0.22476058427340265</v>
      </c>
      <c r="F52" t="b">
        <f t="shared" si="8"/>
        <v>1</v>
      </c>
      <c r="G52" t="b">
        <f t="shared" si="9"/>
        <v>1</v>
      </c>
      <c r="H52" s="1">
        <f t="shared" si="10"/>
        <v>292.18875955542342</v>
      </c>
      <c r="I52" s="17">
        <f t="shared" si="11"/>
        <v>1.0153476770231632E-2</v>
      </c>
      <c r="J52" s="2">
        <f>+SUM(H$2:H52)</f>
        <v>97240.445324421555</v>
      </c>
      <c r="K52" s="17">
        <f>+SUM(I$2:I52)</f>
        <v>1.1897922597101369</v>
      </c>
      <c r="L52" s="1">
        <f t="shared" si="5"/>
        <v>81728.927492024319</v>
      </c>
    </row>
    <row r="53" spans="4:12" x14ac:dyDescent="0.25">
      <c r="D53" s="28">
        <f t="shared" si="6"/>
        <v>51</v>
      </c>
      <c r="E53">
        <f t="shared" si="7"/>
        <v>0.2182141594887404</v>
      </c>
      <c r="F53" t="b">
        <f t="shared" si="8"/>
        <v>1</v>
      </c>
      <c r="G53" t="b">
        <f t="shared" si="9"/>
        <v>1</v>
      </c>
      <c r="H53" s="1">
        <f t="shared" si="10"/>
        <v>283.67840733536246</v>
      </c>
      <c r="I53" s="17">
        <f t="shared" si="11"/>
        <v>9.8577444371180881E-3</v>
      </c>
      <c r="J53" s="2">
        <f>+SUM(H$2:H53)</f>
        <v>97524.123731756918</v>
      </c>
      <c r="K53" s="17">
        <f>+SUM(I$2:I53)</f>
        <v>1.1996500041472551</v>
      </c>
      <c r="L53" s="1">
        <f t="shared" si="5"/>
        <v>81293.813524453581</v>
      </c>
    </row>
    <row r="54" spans="4:12" x14ac:dyDescent="0.25">
      <c r="D54" s="28">
        <f t="shared" si="6"/>
        <v>52</v>
      </c>
      <c r="E54">
        <f t="shared" si="7"/>
        <v>0.21185840727062175</v>
      </c>
      <c r="F54" t="b">
        <f t="shared" si="8"/>
        <v>1</v>
      </c>
      <c r="G54" t="b">
        <f t="shared" si="9"/>
        <v>1</v>
      </c>
      <c r="H54" s="1">
        <f t="shared" si="10"/>
        <v>275.41592945180821</v>
      </c>
      <c r="I54" s="17">
        <f t="shared" si="11"/>
        <v>9.57062566710494E-3</v>
      </c>
      <c r="J54" s="2">
        <f>+SUM(H$2:H54)</f>
        <v>97799.539661208721</v>
      </c>
      <c r="K54" s="17">
        <f>+SUM(I$2:I54)</f>
        <v>1.20922062981436</v>
      </c>
      <c r="L54" s="1">
        <f t="shared" si="5"/>
        <v>80878.160072593979</v>
      </c>
    </row>
    <row r="55" spans="4:12" x14ac:dyDescent="0.25">
      <c r="D55" s="28">
        <f t="shared" si="6"/>
        <v>53</v>
      </c>
      <c r="E55">
        <f t="shared" si="7"/>
        <v>0.20568777404914737</v>
      </c>
      <c r="F55" t="b">
        <f t="shared" si="8"/>
        <v>1</v>
      </c>
      <c r="G55" t="b">
        <f t="shared" si="9"/>
        <v>1</v>
      </c>
      <c r="H55" s="1">
        <f t="shared" si="10"/>
        <v>267.39410626389156</v>
      </c>
      <c r="I55" s="17">
        <f t="shared" si="11"/>
        <v>9.2918695797135353E-3</v>
      </c>
      <c r="J55" s="2">
        <f>+SUM(H$2:H55)</f>
        <v>98066.933767472612</v>
      </c>
      <c r="K55" s="17">
        <f>+SUM(I$2:I55)</f>
        <v>1.2185124993940735</v>
      </c>
      <c r="L55" s="1">
        <f t="shared" si="5"/>
        <v>80480.859914229935</v>
      </c>
    </row>
    <row r="56" spans="4:12" x14ac:dyDescent="0.25">
      <c r="D56" s="28">
        <f t="shared" si="6"/>
        <v>54</v>
      </c>
      <c r="E56">
        <f t="shared" si="7"/>
        <v>0.19969686800888092</v>
      </c>
      <c r="F56" t="b">
        <f t="shared" si="8"/>
        <v>1</v>
      </c>
      <c r="G56" t="b">
        <f t="shared" si="9"/>
        <v>1</v>
      </c>
      <c r="H56" s="1">
        <f t="shared" si="10"/>
        <v>259.60592841154516</v>
      </c>
      <c r="I56" s="17">
        <f t="shared" si="11"/>
        <v>9.0212326016636257E-3</v>
      </c>
      <c r="J56" s="2">
        <f>+SUM(H$2:H56)</f>
        <v>98326.539695884159</v>
      </c>
      <c r="K56" s="17">
        <f>+SUM(I$2:I56)</f>
        <v>1.2275337319957371</v>
      </c>
      <c r="L56" s="1">
        <f t="shared" si="5"/>
        <v>80100.886136973073</v>
      </c>
    </row>
    <row r="57" spans="4:12" x14ac:dyDescent="0.25">
      <c r="D57" s="28">
        <f t="shared" si="6"/>
        <v>55</v>
      </c>
      <c r="E57">
        <f t="shared" si="7"/>
        <v>0.19388045437755425</v>
      </c>
      <c r="F57" t="b">
        <f t="shared" si="8"/>
        <v>1</v>
      </c>
      <c r="G57" t="b">
        <f t="shared" si="9"/>
        <v>1</v>
      </c>
      <c r="H57" s="1">
        <f t="shared" si="10"/>
        <v>252.04459069082048</v>
      </c>
      <c r="I57" s="17">
        <f t="shared" si="11"/>
        <v>8.7584782540423532E-3</v>
      </c>
      <c r="J57" s="2">
        <f>+SUM(H$2:H57)</f>
        <v>98578.584286574973</v>
      </c>
      <c r="K57" s="17">
        <f>+SUM(I$2:I57)</f>
        <v>1.2362922102497795</v>
      </c>
      <c r="L57" s="1">
        <f t="shared" si="5"/>
        <v>79737.284979461474</v>
      </c>
    </row>
    <row r="58" spans="4:12" x14ac:dyDescent="0.25">
      <c r="D58" s="28">
        <f t="shared" si="6"/>
        <v>56</v>
      </c>
      <c r="E58">
        <f t="shared" si="7"/>
        <v>0.18823345085199444</v>
      </c>
      <c r="F58" t="b">
        <f t="shared" si="8"/>
        <v>1</v>
      </c>
      <c r="G58" t="b">
        <f t="shared" si="9"/>
        <v>1</v>
      </c>
      <c r="H58" s="1">
        <f t="shared" si="10"/>
        <v>244.70348610759274</v>
      </c>
      <c r="I58" s="17">
        <f t="shared" si="11"/>
        <v>8.5033769456721881E-3</v>
      </c>
      <c r="J58" s="2">
        <f>+SUM(H$2:H58)</f>
        <v>98823.287772682568</v>
      </c>
      <c r="K58" s="17">
        <f>+SUM(I$2:I58)</f>
        <v>1.2447955871954517</v>
      </c>
      <c r="L58" s="1">
        <f t="shared" si="5"/>
        <v>79389.169426068838</v>
      </c>
    </row>
    <row r="59" spans="4:12" x14ac:dyDescent="0.25">
      <c r="D59" s="28">
        <f t="shared" si="6"/>
        <v>57</v>
      </c>
      <c r="E59">
        <f t="shared" si="7"/>
        <v>0.18275092315727612</v>
      </c>
      <c r="F59" t="b">
        <f t="shared" si="8"/>
        <v>1</v>
      </c>
      <c r="G59" t="b">
        <f t="shared" si="9"/>
        <v>1</v>
      </c>
      <c r="H59" s="1">
        <f t="shared" si="10"/>
        <v>237.57620010445891</v>
      </c>
      <c r="I59" s="17">
        <f t="shared" si="11"/>
        <v>8.2557057724972679E-3</v>
      </c>
      <c r="J59" s="2">
        <f>+SUM(H$2:H59)</f>
        <v>99060.863972787032</v>
      </c>
      <c r="K59" s="17">
        <f>+SUM(I$2:I59)</f>
        <v>1.2530512929679489</v>
      </c>
      <c r="L59" s="1">
        <f t="shared" si="5"/>
        <v>79055.713464174085</v>
      </c>
    </row>
    <row r="60" spans="4:12" x14ac:dyDescent="0.25">
      <c r="D60" s="28">
        <f t="shared" si="6"/>
        <v>58</v>
      </c>
      <c r="E60">
        <f t="shared" si="7"/>
        <v>0.17742808073521951</v>
      </c>
      <c r="F60" t="b">
        <f t="shared" si="8"/>
        <v>1</v>
      </c>
      <c r="G60" t="b">
        <f t="shared" si="9"/>
        <v>1</v>
      </c>
      <c r="H60" s="1">
        <f t="shared" si="10"/>
        <v>230.65650495578532</v>
      </c>
      <c r="I60" s="17">
        <f t="shared" si="11"/>
        <v>8.0152483228128815E-3</v>
      </c>
      <c r="J60" s="2">
        <f>+SUM(H$2:H60)</f>
        <v>99291.520477742815</v>
      </c>
      <c r="K60" s="17">
        <f>+SUM(I$2:I60)</f>
        <v>1.2610665412907618</v>
      </c>
      <c r="L60" s="1">
        <f t="shared" si="5"/>
        <v>78736.146925374138</v>
      </c>
    </row>
    <row r="61" spans="4:12" x14ac:dyDescent="0.25">
      <c r="D61" s="28">
        <f t="shared" si="6"/>
        <v>59</v>
      </c>
      <c r="E61">
        <f t="shared" si="7"/>
        <v>0.1722602725584656</v>
      </c>
      <c r="F61" t="b">
        <f t="shared" si="8"/>
        <v>1</v>
      </c>
      <c r="G61" t="b">
        <f t="shared" si="9"/>
        <v>1</v>
      </c>
      <c r="H61" s="1">
        <f t="shared" si="10"/>
        <v>223.93835432600525</v>
      </c>
      <c r="I61" s="17">
        <f t="shared" si="11"/>
        <v>7.781794488167848E-3</v>
      </c>
      <c r="J61" s="2">
        <f>+SUM(H$2:H61)</f>
        <v>99515.45883206882</v>
      </c>
      <c r="K61" s="17">
        <f>+SUM(I$2:I61)</f>
        <v>1.2688483357789297</v>
      </c>
      <c r="L61" s="1">
        <f t="shared" si="5"/>
        <v>78429.750842505193</v>
      </c>
    </row>
    <row r="62" spans="4:12" x14ac:dyDescent="0.25">
      <c r="D62" s="28">
        <f t="shared" si="6"/>
        <v>60</v>
      </c>
      <c r="E62">
        <f t="shared" si="7"/>
        <v>0.16724298306647142</v>
      </c>
      <c r="F62" t="b">
        <f t="shared" si="8"/>
        <v>1</v>
      </c>
      <c r="G62" t="b">
        <f t="shared" si="9"/>
        <v>1</v>
      </c>
      <c r="H62" s="1">
        <f t="shared" si="10"/>
        <v>217.41587798641282</v>
      </c>
      <c r="I62" s="17">
        <f t="shared" si="11"/>
        <v>7.5551402797746081E-3</v>
      </c>
      <c r="J62" s="2">
        <f>+SUM(H$2:H62)</f>
        <v>99732.874710055228</v>
      </c>
      <c r="K62" s="17">
        <f>+SUM(I$2:I62)</f>
        <v>1.2764034760587044</v>
      </c>
      <c r="L62" s="1">
        <f t="shared" si="5"/>
        <v>78135.853263273559</v>
      </c>
    </row>
    <row r="63" spans="4:12" x14ac:dyDescent="0.25">
      <c r="D63" s="28">
        <f t="shared" si="6"/>
        <v>61</v>
      </c>
      <c r="E63">
        <f t="shared" si="7"/>
        <v>0.16237182821987517</v>
      </c>
      <c r="F63" t="b">
        <f t="shared" si="8"/>
        <v>1</v>
      </c>
      <c r="G63" t="b">
        <f t="shared" si="9"/>
        <v>1</v>
      </c>
      <c r="H63" s="1">
        <f t="shared" si="10"/>
        <v>211.08337668583769</v>
      </c>
      <c r="I63" s="17">
        <f t="shared" si="11"/>
        <v>7.3350876502666102E-3</v>
      </c>
      <c r="J63" s="2">
        <f>+SUM(H$2:H63)</f>
        <v>99943.95808674107</v>
      </c>
      <c r="K63" s="17">
        <f>+SUM(I$2:I63)</f>
        <v>1.2837385637089711</v>
      </c>
      <c r="L63" s="1">
        <f t="shared" si="5"/>
        <v>77853.825468936193</v>
      </c>
    </row>
    <row r="64" spans="4:12" x14ac:dyDescent="0.25">
      <c r="D64" s="28">
        <f t="shared" si="6"/>
        <v>62</v>
      </c>
      <c r="E64">
        <f t="shared" si="7"/>
        <v>0.15764255166978172</v>
      </c>
      <c r="F64" t="b">
        <f t="shared" si="8"/>
        <v>1</v>
      </c>
      <c r="G64" t="b">
        <f t="shared" si="9"/>
        <v>1</v>
      </c>
      <c r="H64" s="1">
        <f t="shared" si="10"/>
        <v>204.93531717071619</v>
      </c>
      <c r="I64" s="17">
        <f t="shared" si="11"/>
        <v>7.1214443206471948E-3</v>
      </c>
      <c r="J64" s="2">
        <f>+SUM(H$2:H64)</f>
        <v>100148.89340391179</v>
      </c>
      <c r="K64" s="17">
        <f>+SUM(I$2:I64)</f>
        <v>1.2908600080296182</v>
      </c>
      <c r="L64" s="1">
        <f t="shared" si="5"/>
        <v>77583.078553018364</v>
      </c>
    </row>
    <row r="65" spans="4:12" x14ac:dyDescent="0.25">
      <c r="D65" s="28">
        <f t="shared" si="6"/>
        <v>63</v>
      </c>
      <c r="E65">
        <f t="shared" si="7"/>
        <v>0.15305102103862303</v>
      </c>
      <c r="F65" t="b">
        <f t="shared" si="8"/>
        <v>1</v>
      </c>
      <c r="G65" t="b">
        <f t="shared" si="9"/>
        <v>1</v>
      </c>
      <c r="H65" s="1">
        <f t="shared" si="10"/>
        <v>198.96632735020989</v>
      </c>
      <c r="I65" s="17">
        <f t="shared" si="11"/>
        <v>6.9140236122788301E-3</v>
      </c>
      <c r="J65" s="2">
        <f>+SUM(H$2:H65)</f>
        <v>100347.859731262</v>
      </c>
      <c r="K65" s="17">
        <f>+SUM(I$2:I65)</f>
        <v>1.2977740316418971</v>
      </c>
      <c r="L65" s="1">
        <f t="shared" si="5"/>
        <v>77323.060320682707</v>
      </c>
    </row>
    <row r="66" spans="4:12" x14ac:dyDescent="0.25">
      <c r="D66" s="28">
        <f t="shared" si="6"/>
        <v>64</v>
      </c>
      <c r="E66">
        <f t="shared" ref="E66:E97" si="12">+(1+r_discount_v2)^-(D66+offset_v2)</f>
        <v>0.14859322430934271</v>
      </c>
      <c r="F66" t="b">
        <f t="shared" ref="F66:F102" si="13">+D66&lt;=TimeHorizon_v2</f>
        <v>1</v>
      </c>
      <c r="G66" t="b">
        <f t="shared" ref="G66:G102" si="14">+D66&gt;=Year_Generic_v2</f>
        <v>1</v>
      </c>
      <c r="H66" s="1">
        <f t="shared" ref="H66:H97" si="15">+(IF(G66,PCSK9_CostPerYear_Gen_v2,PCSK9_CostPerYear_v2)*E66*F66)</f>
        <v>193.17119160214548</v>
      </c>
      <c r="I66" s="17">
        <f t="shared" ref="I66:I102" si="16">+E66*F66*PCSK9_QALYPerYear_FH_v2</f>
        <v>6.7126442837658522E-3</v>
      </c>
      <c r="J66" s="2">
        <f>+SUM(H$2:H66)</f>
        <v>100541.03092286414</v>
      </c>
      <c r="K66" s="17">
        <f>+SUM(I$2:I66)</f>
        <v>1.304486675925663</v>
      </c>
      <c r="L66" s="1">
        <f t="shared" si="5"/>
        <v>77073.252474211957</v>
      </c>
    </row>
    <row r="67" spans="4:12" x14ac:dyDescent="0.25">
      <c r="D67" s="28">
        <f t="shared" si="6"/>
        <v>65</v>
      </c>
      <c r="E67">
        <f t="shared" si="12"/>
        <v>0.1442652663197502</v>
      </c>
      <c r="F67" t="b">
        <f t="shared" si="13"/>
        <v>1</v>
      </c>
      <c r="G67" t="b">
        <f t="shared" si="14"/>
        <v>1</v>
      </c>
      <c r="H67" s="1">
        <f t="shared" si="15"/>
        <v>187.54484621567522</v>
      </c>
      <c r="I67" s="17">
        <f t="shared" si="16"/>
        <v>6.5171303725882063E-3</v>
      </c>
      <c r="J67" s="2">
        <f>+SUM(H$2:H67)</f>
        <v>100728.57576907982</v>
      </c>
      <c r="K67" s="17">
        <f>+SUM(I$2:I67)</f>
        <v>1.3110038062982512</v>
      </c>
      <c r="L67" s="1">
        <f t="shared" ref="L67:L102" si="17">+J67/K67</f>
        <v>76833.168054253721</v>
      </c>
    </row>
    <row r="68" spans="4:12" x14ac:dyDescent="0.25">
      <c r="D68" s="28">
        <f t="shared" ref="D68:D102" si="18">+D67+1</f>
        <v>66</v>
      </c>
      <c r="E68">
        <f t="shared" si="12"/>
        <v>0.14006336535898078</v>
      </c>
      <c r="F68" t="b">
        <f t="shared" si="13"/>
        <v>1</v>
      </c>
      <c r="G68" t="b">
        <f t="shared" si="14"/>
        <v>1</v>
      </c>
      <c r="H68" s="1">
        <f t="shared" si="15"/>
        <v>182.08237496667499</v>
      </c>
      <c r="I68" s="17">
        <f t="shared" si="16"/>
        <v>6.3273110413477728E-3</v>
      </c>
      <c r="J68" s="2">
        <f>+SUM(H$2:H68)</f>
        <v>100910.65814404649</v>
      </c>
      <c r="K68" s="17">
        <f>+SUM(I$2:I68)</f>
        <v>1.317331117339599</v>
      </c>
      <c r="L68" s="1">
        <f t="shared" si="17"/>
        <v>76602.349110100331</v>
      </c>
    </row>
    <row r="69" spans="4:12" x14ac:dyDescent="0.25">
      <c r="D69" s="28">
        <f t="shared" si="18"/>
        <v>67</v>
      </c>
      <c r="E69">
        <f t="shared" si="12"/>
        <v>0.13598384986308815</v>
      </c>
      <c r="F69" t="b">
        <f t="shared" si="13"/>
        <v>1</v>
      </c>
      <c r="G69" t="b">
        <f t="shared" si="14"/>
        <v>1</v>
      </c>
      <c r="H69" s="1">
        <f t="shared" si="15"/>
        <v>176.77900482201457</v>
      </c>
      <c r="I69" s="17">
        <f t="shared" si="16"/>
        <v>6.1430204284929841E-3</v>
      </c>
      <c r="J69" s="2">
        <f>+SUM(H$2:H69)</f>
        <v>101087.43714886851</v>
      </c>
      <c r="K69" s="17">
        <f>+SUM(I$2:I69)</f>
        <v>1.3234741377680919</v>
      </c>
      <c r="L69" s="1">
        <f t="shared" si="17"/>
        <v>76380.364575421525</v>
      </c>
    </row>
    <row r="70" spans="4:12" x14ac:dyDescent="0.25">
      <c r="D70" s="28">
        <f t="shared" si="18"/>
        <v>68</v>
      </c>
      <c r="E70">
        <f t="shared" si="12"/>
        <v>0.13202315520688171</v>
      </c>
      <c r="F70" t="b">
        <f t="shared" si="13"/>
        <v>1</v>
      </c>
      <c r="G70" t="b">
        <f t="shared" si="14"/>
        <v>1</v>
      </c>
      <c r="H70" s="1">
        <f t="shared" si="15"/>
        <v>171.63010176894619</v>
      </c>
      <c r="I70" s="17">
        <f t="shared" si="16"/>
        <v>5.9640975033912469E-3</v>
      </c>
      <c r="J70" s="2">
        <f>+SUM(H$2:H70)</f>
        <v>101259.06725063745</v>
      </c>
      <c r="K70" s="17">
        <f>+SUM(I$2:I70)</f>
        <v>1.3294382352714831</v>
      </c>
      <c r="L70" s="1">
        <f t="shared" si="17"/>
        <v>76166.808328601634</v>
      </c>
    </row>
    <row r="71" spans="4:12" x14ac:dyDescent="0.25">
      <c r="D71" s="28">
        <f t="shared" si="18"/>
        <v>69</v>
      </c>
      <c r="E71">
        <f t="shared" si="12"/>
        <v>0.12817782058920552</v>
      </c>
      <c r="F71" t="b">
        <f t="shared" si="13"/>
        <v>1</v>
      </c>
      <c r="G71" t="b">
        <f t="shared" si="14"/>
        <v>1</v>
      </c>
      <c r="H71" s="1">
        <f t="shared" si="15"/>
        <v>166.63116676596715</v>
      </c>
      <c r="I71" s="17">
        <f t="shared" si="16"/>
        <v>5.7903859256225685E-3</v>
      </c>
      <c r="J71" s="2">
        <f>+SUM(H$2:H71)</f>
        <v>101425.69841740342</v>
      </c>
      <c r="K71" s="17">
        <f>+SUM(I$2:I71)</f>
        <v>1.3352286211971056</v>
      </c>
      <c r="L71" s="1">
        <f t="shared" si="17"/>
        <v>75961.29741921628</v>
      </c>
    </row>
    <row r="72" spans="4:12" x14ac:dyDescent="0.25">
      <c r="D72" s="28">
        <f t="shared" si="18"/>
        <v>70</v>
      </c>
      <c r="E72">
        <f t="shared" si="12"/>
        <v>0.12444448600893739</v>
      </c>
      <c r="F72" t="b">
        <f t="shared" si="13"/>
        <v>1</v>
      </c>
      <c r="G72" t="b">
        <f t="shared" si="14"/>
        <v>1</v>
      </c>
      <c r="H72" s="1">
        <f t="shared" si="15"/>
        <v>161.77783181161857</v>
      </c>
      <c r="I72" s="17">
        <f t="shared" si="16"/>
        <v>5.6217339083714252E-3</v>
      </c>
      <c r="J72" s="2">
        <f>+SUM(H$2:H72)</f>
        <v>101587.47624921503</v>
      </c>
      <c r="K72" s="17">
        <f>+SUM(I$2:I72)</f>
        <v>1.3408503551054771</v>
      </c>
      <c r="L72" s="1">
        <f t="shared" si="17"/>
        <v>75763.47044426424</v>
      </c>
    </row>
    <row r="73" spans="4:12" x14ac:dyDescent="0.25">
      <c r="D73" s="28">
        <f t="shared" si="18"/>
        <v>71</v>
      </c>
      <c r="E73">
        <f t="shared" si="12"/>
        <v>0.1208198893290654</v>
      </c>
      <c r="F73" t="b">
        <f t="shared" si="13"/>
        <v>0</v>
      </c>
      <c r="G73" t="b">
        <f t="shared" si="14"/>
        <v>1</v>
      </c>
      <c r="H73" s="1">
        <f t="shared" si="15"/>
        <v>0</v>
      </c>
      <c r="I73" s="17">
        <f t="shared" si="16"/>
        <v>0</v>
      </c>
      <c r="J73" s="2">
        <f>+SUM(H$2:H73)</f>
        <v>101587.47624921503</v>
      </c>
      <c r="K73" s="17">
        <f>+SUM(I$2:I73)</f>
        <v>1.3408503551054771</v>
      </c>
      <c r="L73" s="1">
        <f t="shared" si="17"/>
        <v>75763.47044426424</v>
      </c>
    </row>
    <row r="74" spans="4:12" x14ac:dyDescent="0.25">
      <c r="D74" s="28">
        <f t="shared" si="18"/>
        <v>72</v>
      </c>
      <c r="E74">
        <f t="shared" si="12"/>
        <v>0.11730086342627709</v>
      </c>
      <c r="F74" t="b">
        <f t="shared" si="13"/>
        <v>0</v>
      </c>
      <c r="G74" t="b">
        <f t="shared" si="14"/>
        <v>1</v>
      </c>
      <c r="H74" s="1">
        <f t="shared" si="15"/>
        <v>0</v>
      </c>
      <c r="I74" s="17">
        <f t="shared" si="16"/>
        <v>0</v>
      </c>
      <c r="J74" s="2">
        <f>+SUM(H$2:H74)</f>
        <v>101587.47624921503</v>
      </c>
      <c r="K74" s="17">
        <f>+SUM(I$2:I74)</f>
        <v>1.3408503551054771</v>
      </c>
      <c r="L74" s="1">
        <f t="shared" si="17"/>
        <v>75763.47044426424</v>
      </c>
    </row>
    <row r="75" spans="4:12" x14ac:dyDescent="0.25">
      <c r="D75" s="28">
        <f t="shared" si="18"/>
        <v>73</v>
      </c>
      <c r="E75">
        <f t="shared" si="12"/>
        <v>0.11388433342357003</v>
      </c>
      <c r="F75" t="b">
        <f t="shared" si="13"/>
        <v>0</v>
      </c>
      <c r="G75" t="b">
        <f t="shared" si="14"/>
        <v>1</v>
      </c>
      <c r="H75" s="1">
        <f t="shared" si="15"/>
        <v>0</v>
      </c>
      <c r="I75" s="17">
        <f t="shared" si="16"/>
        <v>0</v>
      </c>
      <c r="J75" s="2">
        <f>+SUM(H$2:H75)</f>
        <v>101587.47624921503</v>
      </c>
      <c r="K75" s="17">
        <f>+SUM(I$2:I75)</f>
        <v>1.3408503551054771</v>
      </c>
      <c r="L75" s="1">
        <f t="shared" si="17"/>
        <v>75763.47044426424</v>
      </c>
    </row>
    <row r="76" spans="4:12" x14ac:dyDescent="0.25">
      <c r="D76" s="28">
        <f t="shared" si="18"/>
        <v>74</v>
      </c>
      <c r="E76">
        <f t="shared" si="12"/>
        <v>0.11056731400346605</v>
      </c>
      <c r="F76" t="b">
        <f t="shared" si="13"/>
        <v>0</v>
      </c>
      <c r="G76" t="b">
        <f t="shared" si="14"/>
        <v>1</v>
      </c>
      <c r="H76" s="1">
        <f t="shared" si="15"/>
        <v>0</v>
      </c>
      <c r="I76" s="17">
        <f t="shared" si="16"/>
        <v>0</v>
      </c>
      <c r="J76" s="2">
        <f>+SUM(H$2:H76)</f>
        <v>101587.47624921503</v>
      </c>
      <c r="K76" s="17">
        <f>+SUM(I$2:I76)</f>
        <v>1.3408503551054771</v>
      </c>
      <c r="L76" s="1">
        <f t="shared" si="17"/>
        <v>75763.47044426424</v>
      </c>
    </row>
    <row r="77" spans="4:12" x14ac:dyDescent="0.25">
      <c r="D77" s="28">
        <f t="shared" si="18"/>
        <v>75</v>
      </c>
      <c r="E77">
        <f t="shared" si="12"/>
        <v>0.10734690679948158</v>
      </c>
      <c r="F77" t="b">
        <f t="shared" si="13"/>
        <v>0</v>
      </c>
      <c r="G77" t="b">
        <f t="shared" si="14"/>
        <v>1</v>
      </c>
      <c r="H77" s="1">
        <f t="shared" si="15"/>
        <v>0</v>
      </c>
      <c r="I77" s="17">
        <f t="shared" si="16"/>
        <v>0</v>
      </c>
      <c r="J77" s="2">
        <f>+SUM(H$2:H77)</f>
        <v>101587.47624921503</v>
      </c>
      <c r="K77" s="17">
        <f>+SUM(I$2:I77)</f>
        <v>1.3408503551054771</v>
      </c>
      <c r="L77" s="1">
        <f t="shared" si="17"/>
        <v>75763.47044426424</v>
      </c>
    </row>
    <row r="78" spans="4:12" x14ac:dyDescent="0.25">
      <c r="D78" s="28">
        <f t="shared" si="18"/>
        <v>76</v>
      </c>
      <c r="E78">
        <f t="shared" si="12"/>
        <v>0.10422029786357433</v>
      </c>
      <c r="F78" t="b">
        <f t="shared" si="13"/>
        <v>0</v>
      </c>
      <c r="G78" t="b">
        <f t="shared" si="14"/>
        <v>1</v>
      </c>
      <c r="H78" s="1">
        <f t="shared" si="15"/>
        <v>0</v>
      </c>
      <c r="I78" s="17">
        <f t="shared" si="16"/>
        <v>0</v>
      </c>
      <c r="J78" s="2">
        <f>+SUM(H$2:H78)</f>
        <v>101587.47624921503</v>
      </c>
      <c r="K78" s="17">
        <f>+SUM(I$2:I78)</f>
        <v>1.3408503551054771</v>
      </c>
      <c r="L78" s="1">
        <f t="shared" si="17"/>
        <v>75763.47044426424</v>
      </c>
    </row>
    <row r="79" spans="4:12" x14ac:dyDescent="0.25">
      <c r="D79" s="28">
        <f t="shared" si="18"/>
        <v>77</v>
      </c>
      <c r="E79">
        <f t="shared" si="12"/>
        <v>0.1011847552073537</v>
      </c>
      <c r="F79" t="b">
        <f t="shared" si="13"/>
        <v>0</v>
      </c>
      <c r="G79" t="b">
        <f t="shared" si="14"/>
        <v>1</v>
      </c>
      <c r="H79" s="1">
        <f t="shared" si="15"/>
        <v>0</v>
      </c>
      <c r="I79" s="17">
        <f t="shared" si="16"/>
        <v>0</v>
      </c>
      <c r="J79" s="2">
        <f>+SUM(H$2:H79)</f>
        <v>101587.47624921503</v>
      </c>
      <c r="K79" s="17">
        <f>+SUM(I$2:I79)</f>
        <v>1.3408503551054771</v>
      </c>
      <c r="L79" s="1">
        <f t="shared" si="17"/>
        <v>75763.47044426424</v>
      </c>
    </row>
    <row r="80" spans="4:12" x14ac:dyDescent="0.25">
      <c r="D80" s="28">
        <f t="shared" si="18"/>
        <v>78</v>
      </c>
      <c r="E80">
        <f t="shared" si="12"/>
        <v>9.8237626414906506E-2</v>
      </c>
      <c r="F80" t="b">
        <f t="shared" si="13"/>
        <v>0</v>
      </c>
      <c r="G80" t="b">
        <f t="shared" si="14"/>
        <v>1</v>
      </c>
      <c r="H80" s="1">
        <f t="shared" si="15"/>
        <v>0</v>
      </c>
      <c r="I80" s="17">
        <f t="shared" si="16"/>
        <v>0</v>
      </c>
      <c r="J80" s="2">
        <f>+SUM(H$2:H80)</f>
        <v>101587.47624921503</v>
      </c>
      <c r="K80" s="17">
        <f>+SUM(I$2:I80)</f>
        <v>1.3408503551054771</v>
      </c>
      <c r="L80" s="1">
        <f t="shared" si="17"/>
        <v>75763.47044426424</v>
      </c>
    </row>
    <row r="81" spans="4:12" x14ac:dyDescent="0.25">
      <c r="D81" s="28">
        <f t="shared" si="18"/>
        <v>79</v>
      </c>
      <c r="E81">
        <f t="shared" si="12"/>
        <v>9.5376336325151981E-2</v>
      </c>
      <c r="F81" t="b">
        <f t="shared" si="13"/>
        <v>0</v>
      </c>
      <c r="G81" t="b">
        <f t="shared" si="14"/>
        <v>1</v>
      </c>
      <c r="H81" s="1">
        <f t="shared" si="15"/>
        <v>0</v>
      </c>
      <c r="I81" s="17">
        <f t="shared" si="16"/>
        <v>0</v>
      </c>
      <c r="J81" s="2">
        <f>+SUM(H$2:H81)</f>
        <v>101587.47624921503</v>
      </c>
      <c r="K81" s="17">
        <f>+SUM(I$2:I81)</f>
        <v>1.3408503551054771</v>
      </c>
      <c r="L81" s="1">
        <f t="shared" si="17"/>
        <v>75763.47044426424</v>
      </c>
    </row>
    <row r="82" spans="4:12" x14ac:dyDescent="0.25">
      <c r="D82" s="28">
        <f t="shared" si="18"/>
        <v>80</v>
      </c>
      <c r="E82">
        <f t="shared" si="12"/>
        <v>9.2598384781700946E-2</v>
      </c>
      <c r="F82" t="b">
        <f t="shared" si="13"/>
        <v>0</v>
      </c>
      <c r="G82" t="b">
        <f t="shared" si="14"/>
        <v>1</v>
      </c>
      <c r="H82" s="1">
        <f t="shared" si="15"/>
        <v>0</v>
      </c>
      <c r="I82" s="17">
        <f t="shared" si="16"/>
        <v>0</v>
      </c>
      <c r="J82" s="2">
        <f>+SUM(H$2:H82)</f>
        <v>101587.47624921503</v>
      </c>
      <c r="K82" s="17">
        <f>+SUM(I$2:I82)</f>
        <v>1.3408503551054771</v>
      </c>
      <c r="L82" s="1">
        <f t="shared" si="17"/>
        <v>75763.47044426424</v>
      </c>
    </row>
    <row r="83" spans="4:12" x14ac:dyDescent="0.25">
      <c r="D83" s="28">
        <f t="shared" si="18"/>
        <v>81</v>
      </c>
      <c r="E83">
        <f t="shared" si="12"/>
        <v>8.9901344448253345E-2</v>
      </c>
      <c r="F83" t="b">
        <f t="shared" si="13"/>
        <v>0</v>
      </c>
      <c r="G83" t="b">
        <f t="shared" si="14"/>
        <v>1</v>
      </c>
      <c r="H83" s="1">
        <f t="shared" si="15"/>
        <v>0</v>
      </c>
      <c r="I83" s="17">
        <f t="shared" si="16"/>
        <v>0</v>
      </c>
      <c r="J83" s="2">
        <f>+SUM(H$2:H83)</f>
        <v>101587.47624921503</v>
      </c>
      <c r="K83" s="17">
        <f>+SUM(I$2:I83)</f>
        <v>1.3408503551054771</v>
      </c>
      <c r="L83" s="1">
        <f t="shared" si="17"/>
        <v>75763.47044426424</v>
      </c>
    </row>
    <row r="84" spans="4:12" x14ac:dyDescent="0.25">
      <c r="D84" s="28">
        <f t="shared" si="18"/>
        <v>82</v>
      </c>
      <c r="E84">
        <f t="shared" si="12"/>
        <v>8.7282858687624601E-2</v>
      </c>
      <c r="F84" t="b">
        <f t="shared" si="13"/>
        <v>0</v>
      </c>
      <c r="G84" t="b">
        <f t="shared" si="14"/>
        <v>1</v>
      </c>
      <c r="H84" s="1">
        <f t="shared" si="15"/>
        <v>0</v>
      </c>
      <c r="I84" s="17">
        <f t="shared" si="16"/>
        <v>0</v>
      </c>
      <c r="J84" s="2">
        <f>+SUM(H$2:H84)</f>
        <v>101587.47624921503</v>
      </c>
      <c r="K84" s="17">
        <f>+SUM(I$2:I84)</f>
        <v>1.3408503551054771</v>
      </c>
      <c r="L84" s="1">
        <f t="shared" si="17"/>
        <v>75763.47044426424</v>
      </c>
    </row>
    <row r="85" spans="4:12" x14ac:dyDescent="0.25">
      <c r="D85" s="28">
        <f t="shared" si="18"/>
        <v>83</v>
      </c>
      <c r="E85">
        <f t="shared" si="12"/>
        <v>8.4740639502548135E-2</v>
      </c>
      <c r="F85" t="b">
        <f t="shared" si="13"/>
        <v>0</v>
      </c>
      <c r="G85" t="b">
        <f t="shared" si="14"/>
        <v>1</v>
      </c>
      <c r="H85" s="1">
        <f t="shared" si="15"/>
        <v>0</v>
      </c>
      <c r="I85" s="17">
        <f t="shared" si="16"/>
        <v>0</v>
      </c>
      <c r="J85" s="2">
        <f>+SUM(H$2:H85)</f>
        <v>101587.47624921503</v>
      </c>
      <c r="K85" s="17">
        <f>+SUM(I$2:I85)</f>
        <v>1.3408503551054771</v>
      </c>
      <c r="L85" s="1">
        <f t="shared" si="17"/>
        <v>75763.47044426424</v>
      </c>
    </row>
    <row r="86" spans="4:12" x14ac:dyDescent="0.25">
      <c r="D86" s="28">
        <f t="shared" si="18"/>
        <v>84</v>
      </c>
      <c r="E86">
        <f t="shared" si="12"/>
        <v>8.2272465536454495E-2</v>
      </c>
      <c r="F86" t="b">
        <f t="shared" si="13"/>
        <v>0</v>
      </c>
      <c r="G86" t="b">
        <f t="shared" si="14"/>
        <v>1</v>
      </c>
      <c r="H86" s="1">
        <f t="shared" si="15"/>
        <v>0</v>
      </c>
      <c r="I86" s="17">
        <f t="shared" si="16"/>
        <v>0</v>
      </c>
      <c r="J86" s="2">
        <f>+SUM(H$2:H86)</f>
        <v>101587.47624921503</v>
      </c>
      <c r="K86" s="17">
        <f>+SUM(I$2:I86)</f>
        <v>1.3408503551054771</v>
      </c>
      <c r="L86" s="1">
        <f t="shared" si="17"/>
        <v>75763.47044426424</v>
      </c>
    </row>
    <row r="87" spans="4:12" x14ac:dyDescent="0.25">
      <c r="D87" s="28">
        <f t="shared" si="18"/>
        <v>85</v>
      </c>
      <c r="E87">
        <f t="shared" si="12"/>
        <v>7.9876180132480115E-2</v>
      </c>
      <c r="F87" t="b">
        <f t="shared" si="13"/>
        <v>0</v>
      </c>
      <c r="G87" t="b">
        <f t="shared" si="14"/>
        <v>1</v>
      </c>
      <c r="H87" s="1">
        <f t="shared" si="15"/>
        <v>0</v>
      </c>
      <c r="I87" s="17">
        <f t="shared" si="16"/>
        <v>0</v>
      </c>
      <c r="J87" s="2">
        <f>+SUM(H$2:H87)</f>
        <v>101587.47624921503</v>
      </c>
      <c r="K87" s="17">
        <f>+SUM(I$2:I87)</f>
        <v>1.3408503551054771</v>
      </c>
      <c r="L87" s="1">
        <f t="shared" si="17"/>
        <v>75763.47044426424</v>
      </c>
    </row>
    <row r="88" spans="4:12" x14ac:dyDescent="0.25">
      <c r="D88" s="28">
        <f t="shared" si="18"/>
        <v>86</v>
      </c>
      <c r="E88">
        <f t="shared" si="12"/>
        <v>7.754968944900982E-2</v>
      </c>
      <c r="F88" t="b">
        <f t="shared" si="13"/>
        <v>0</v>
      </c>
      <c r="G88" t="b">
        <f t="shared" si="14"/>
        <v>1</v>
      </c>
      <c r="H88" s="1">
        <f t="shared" si="15"/>
        <v>0</v>
      </c>
      <c r="I88" s="17">
        <f t="shared" si="16"/>
        <v>0</v>
      </c>
      <c r="J88" s="2">
        <f>+SUM(H$2:H88)</f>
        <v>101587.47624921503</v>
      </c>
      <c r="K88" s="17">
        <f>+SUM(I$2:I88)</f>
        <v>1.3408503551054771</v>
      </c>
      <c r="L88" s="1">
        <f t="shared" si="17"/>
        <v>75763.47044426424</v>
      </c>
    </row>
    <row r="89" spans="4:12" x14ac:dyDescent="0.25">
      <c r="D89" s="28">
        <f t="shared" si="18"/>
        <v>87</v>
      </c>
      <c r="E89">
        <f t="shared" si="12"/>
        <v>7.529096063010661E-2</v>
      </c>
      <c r="F89" t="b">
        <f t="shared" si="13"/>
        <v>0</v>
      </c>
      <c r="G89" t="b">
        <f t="shared" si="14"/>
        <v>1</v>
      </c>
      <c r="H89" s="1">
        <f t="shared" si="15"/>
        <v>0</v>
      </c>
      <c r="I89" s="17">
        <f t="shared" si="16"/>
        <v>0</v>
      </c>
      <c r="J89" s="2">
        <f>+SUM(H$2:H89)</f>
        <v>101587.47624921503</v>
      </c>
      <c r="K89" s="17">
        <f>+SUM(I$2:I89)</f>
        <v>1.3408503551054771</v>
      </c>
      <c r="L89" s="1">
        <f t="shared" si="17"/>
        <v>75763.47044426424</v>
      </c>
    </row>
    <row r="90" spans="4:12" x14ac:dyDescent="0.25">
      <c r="D90" s="28">
        <f t="shared" si="18"/>
        <v>88</v>
      </c>
      <c r="E90">
        <f t="shared" si="12"/>
        <v>7.3098020029229716E-2</v>
      </c>
      <c r="F90" t="b">
        <f t="shared" si="13"/>
        <v>0</v>
      </c>
      <c r="G90" t="b">
        <f t="shared" si="14"/>
        <v>1</v>
      </c>
      <c r="H90" s="1">
        <f t="shared" si="15"/>
        <v>0</v>
      </c>
      <c r="I90" s="17">
        <f t="shared" si="16"/>
        <v>0</v>
      </c>
      <c r="J90" s="2">
        <f>+SUM(H$2:H90)</f>
        <v>101587.47624921503</v>
      </c>
      <c r="K90" s="17">
        <f>+SUM(I$2:I90)</f>
        <v>1.3408503551054771</v>
      </c>
      <c r="L90" s="1">
        <f t="shared" si="17"/>
        <v>75763.47044426424</v>
      </c>
    </row>
    <row r="91" spans="4:12" x14ac:dyDescent="0.25">
      <c r="D91" s="28">
        <f t="shared" si="18"/>
        <v>89</v>
      </c>
      <c r="E91">
        <f t="shared" si="12"/>
        <v>7.0968951484689041E-2</v>
      </c>
      <c r="F91" t="b">
        <f t="shared" si="13"/>
        <v>0</v>
      </c>
      <c r="G91" t="b">
        <f t="shared" si="14"/>
        <v>1</v>
      </c>
      <c r="H91" s="1">
        <f t="shared" si="15"/>
        <v>0</v>
      </c>
      <c r="I91" s="17">
        <f t="shared" si="16"/>
        <v>0</v>
      </c>
      <c r="J91" s="2">
        <f>+SUM(H$2:H91)</f>
        <v>101587.47624921503</v>
      </c>
      <c r="K91" s="17">
        <f>+SUM(I$2:I91)</f>
        <v>1.3408503551054771</v>
      </c>
      <c r="L91" s="1">
        <f t="shared" si="17"/>
        <v>75763.47044426424</v>
      </c>
    </row>
    <row r="92" spans="4:12" x14ac:dyDescent="0.25">
      <c r="D92" s="28">
        <f t="shared" si="18"/>
        <v>90</v>
      </c>
      <c r="E92">
        <f t="shared" si="12"/>
        <v>6.8901894645329156E-2</v>
      </c>
      <c r="F92" t="b">
        <f t="shared" si="13"/>
        <v>0</v>
      </c>
      <c r="G92" t="b">
        <f t="shared" si="14"/>
        <v>1</v>
      </c>
      <c r="H92" s="1">
        <f t="shared" si="15"/>
        <v>0</v>
      </c>
      <c r="I92" s="17">
        <f t="shared" si="16"/>
        <v>0</v>
      </c>
      <c r="J92" s="2">
        <f>+SUM(H$2:H92)</f>
        <v>101587.47624921503</v>
      </c>
      <c r="K92" s="17">
        <f>+SUM(I$2:I92)</f>
        <v>1.3408503551054771</v>
      </c>
      <c r="L92" s="1">
        <f t="shared" si="17"/>
        <v>75763.47044426424</v>
      </c>
    </row>
    <row r="93" spans="4:12" x14ac:dyDescent="0.25">
      <c r="D93" s="28">
        <f t="shared" si="18"/>
        <v>91</v>
      </c>
      <c r="E93">
        <f t="shared" si="12"/>
        <v>6.6895043344979782E-2</v>
      </c>
      <c r="F93" t="b">
        <f t="shared" si="13"/>
        <v>0</v>
      </c>
      <c r="G93" t="b">
        <f t="shared" si="14"/>
        <v>1</v>
      </c>
      <c r="H93" s="1">
        <f t="shared" si="15"/>
        <v>0</v>
      </c>
      <c r="I93" s="17">
        <f t="shared" si="16"/>
        <v>0</v>
      </c>
      <c r="J93" s="2">
        <f>+SUM(H$2:H93)</f>
        <v>101587.47624921503</v>
      </c>
      <c r="K93" s="17">
        <f>+SUM(I$2:I93)</f>
        <v>1.3408503551054771</v>
      </c>
      <c r="L93" s="1">
        <f t="shared" si="17"/>
        <v>75763.47044426424</v>
      </c>
    </row>
    <row r="94" spans="4:12" x14ac:dyDescent="0.25">
      <c r="D94" s="28">
        <f t="shared" si="18"/>
        <v>92</v>
      </c>
      <c r="E94">
        <f t="shared" si="12"/>
        <v>6.4946644024252209E-2</v>
      </c>
      <c r="F94" t="b">
        <f t="shared" si="13"/>
        <v>0</v>
      </c>
      <c r="G94" t="b">
        <f t="shared" si="14"/>
        <v>1</v>
      </c>
      <c r="H94" s="1">
        <f t="shared" si="15"/>
        <v>0</v>
      </c>
      <c r="I94" s="17">
        <f t="shared" si="16"/>
        <v>0</v>
      </c>
      <c r="J94" s="2">
        <f>+SUM(H$2:H94)</f>
        <v>101587.47624921503</v>
      </c>
      <c r="K94" s="17">
        <f>+SUM(I$2:I94)</f>
        <v>1.3408503551054771</v>
      </c>
      <c r="L94" s="1">
        <f t="shared" si="17"/>
        <v>75763.47044426424</v>
      </c>
    </row>
    <row r="95" spans="4:12" x14ac:dyDescent="0.25">
      <c r="D95" s="28">
        <f t="shared" si="18"/>
        <v>93</v>
      </c>
      <c r="E95">
        <f t="shared" si="12"/>
        <v>6.3054994198303113E-2</v>
      </c>
      <c r="F95" t="b">
        <f t="shared" si="13"/>
        <v>0</v>
      </c>
      <c r="G95" t="b">
        <f t="shared" si="14"/>
        <v>1</v>
      </c>
      <c r="H95" s="1">
        <f t="shared" si="15"/>
        <v>0</v>
      </c>
      <c r="I95" s="17">
        <f t="shared" si="16"/>
        <v>0</v>
      </c>
      <c r="J95" s="2">
        <f>+SUM(H$2:H95)</f>
        <v>101587.47624921503</v>
      </c>
      <c r="K95" s="17">
        <f>+SUM(I$2:I95)</f>
        <v>1.3408503551054771</v>
      </c>
      <c r="L95" s="1">
        <f t="shared" si="17"/>
        <v>75763.47044426424</v>
      </c>
    </row>
    <row r="96" spans="4:12" x14ac:dyDescent="0.25">
      <c r="D96" s="28">
        <f t="shared" si="18"/>
        <v>94</v>
      </c>
      <c r="E96">
        <f t="shared" si="12"/>
        <v>6.1218440969226309E-2</v>
      </c>
      <c r="F96" t="b">
        <f t="shared" si="13"/>
        <v>0</v>
      </c>
      <c r="G96" t="b">
        <f t="shared" si="14"/>
        <v>1</v>
      </c>
      <c r="H96" s="1">
        <f t="shared" si="15"/>
        <v>0</v>
      </c>
      <c r="I96" s="17">
        <f t="shared" si="16"/>
        <v>0</v>
      </c>
      <c r="J96" s="2">
        <f>+SUM(H$2:H96)</f>
        <v>101587.47624921503</v>
      </c>
      <c r="K96" s="17">
        <f>+SUM(I$2:I96)</f>
        <v>1.3408503551054771</v>
      </c>
      <c r="L96" s="1">
        <f t="shared" si="17"/>
        <v>75763.47044426424</v>
      </c>
    </row>
    <row r="97" spans="4:12" x14ac:dyDescent="0.25">
      <c r="D97" s="28">
        <f t="shared" si="18"/>
        <v>95</v>
      </c>
      <c r="E97">
        <f t="shared" si="12"/>
        <v>5.9435379581773119E-2</v>
      </c>
      <c r="F97" t="b">
        <f t="shared" si="13"/>
        <v>0</v>
      </c>
      <c r="G97" t="b">
        <f t="shared" si="14"/>
        <v>1</v>
      </c>
      <c r="H97" s="1">
        <f t="shared" si="15"/>
        <v>0</v>
      </c>
      <c r="I97" s="17">
        <f t="shared" si="16"/>
        <v>0</v>
      </c>
      <c r="J97" s="2">
        <f>+SUM(H$2:H97)</f>
        <v>101587.47624921503</v>
      </c>
      <c r="K97" s="17">
        <f>+SUM(I$2:I97)</f>
        <v>1.3408503551054771</v>
      </c>
      <c r="L97" s="1">
        <f t="shared" si="17"/>
        <v>75763.47044426424</v>
      </c>
    </row>
    <row r="98" spans="4:12" x14ac:dyDescent="0.25">
      <c r="D98" s="28">
        <f t="shared" si="18"/>
        <v>96</v>
      </c>
      <c r="E98">
        <f t="shared" ref="E98:E102" si="19">+(1+r_discount_v2)^-(D98+offset_v2)</f>
        <v>5.7704252021138942E-2</v>
      </c>
      <c r="F98" t="b">
        <f t="shared" si="13"/>
        <v>0</v>
      </c>
      <c r="G98" t="b">
        <f t="shared" si="14"/>
        <v>1</v>
      </c>
      <c r="H98" s="1">
        <f t="shared" ref="H98:H102" si="20">+(IF(G98,PCSK9_CostPerYear_Gen_v2,PCSK9_CostPerYear_v2)*E98*F98)</f>
        <v>0</v>
      </c>
      <c r="I98" s="17">
        <f t="shared" si="16"/>
        <v>0</v>
      </c>
      <c r="J98" s="2">
        <f>+SUM(H$2:H98)</f>
        <v>101587.47624921503</v>
      </c>
      <c r="K98" s="17">
        <f>+SUM(I$2:I98)</f>
        <v>1.3408503551054771</v>
      </c>
      <c r="L98" s="1">
        <f t="shared" si="17"/>
        <v>75763.47044426424</v>
      </c>
    </row>
    <row r="99" spans="4:12" x14ac:dyDescent="0.25">
      <c r="D99" s="28">
        <f t="shared" si="18"/>
        <v>97</v>
      </c>
      <c r="E99">
        <f t="shared" si="19"/>
        <v>5.6023545651591199E-2</v>
      </c>
      <c r="F99" t="b">
        <f t="shared" si="13"/>
        <v>0</v>
      </c>
      <c r="G99" t="b">
        <f t="shared" si="14"/>
        <v>1</v>
      </c>
      <c r="H99" s="1">
        <f t="shared" si="20"/>
        <v>0</v>
      </c>
      <c r="I99" s="17">
        <f t="shared" si="16"/>
        <v>0</v>
      </c>
      <c r="J99" s="2">
        <f>+SUM(H$2:H99)</f>
        <v>101587.47624921503</v>
      </c>
      <c r="K99" s="17">
        <f>+SUM(I$2:I99)</f>
        <v>1.3408503551054771</v>
      </c>
      <c r="L99" s="1">
        <f t="shared" si="17"/>
        <v>75763.47044426424</v>
      </c>
    </row>
    <row r="100" spans="4:12" x14ac:dyDescent="0.25">
      <c r="D100" s="28">
        <f t="shared" si="18"/>
        <v>98</v>
      </c>
      <c r="E100">
        <f t="shared" si="19"/>
        <v>5.4391791894748756E-2</v>
      </c>
      <c r="F100" t="b">
        <f t="shared" si="13"/>
        <v>0</v>
      </c>
      <c r="G100" t="b">
        <f t="shared" si="14"/>
        <v>1</v>
      </c>
      <c r="H100" s="1">
        <f t="shared" si="20"/>
        <v>0</v>
      </c>
      <c r="I100" s="17">
        <f t="shared" si="16"/>
        <v>0</v>
      </c>
      <c r="J100" s="2">
        <f>+SUM(H$2:H100)</f>
        <v>101587.47624921503</v>
      </c>
      <c r="K100" s="17">
        <f>+SUM(I$2:I100)</f>
        <v>1.3408503551054771</v>
      </c>
      <c r="L100" s="1">
        <f t="shared" si="17"/>
        <v>75763.47044426424</v>
      </c>
    </row>
    <row r="101" spans="4:12" x14ac:dyDescent="0.25">
      <c r="D101" s="28">
        <f t="shared" si="18"/>
        <v>99</v>
      </c>
      <c r="E101">
        <f t="shared" si="19"/>
        <v>5.2807564946358007E-2</v>
      </c>
      <c r="F101" t="b">
        <f t="shared" si="13"/>
        <v>0</v>
      </c>
      <c r="G101" t="b">
        <f t="shared" si="14"/>
        <v>1</v>
      </c>
      <c r="H101" s="1">
        <f t="shared" si="20"/>
        <v>0</v>
      </c>
      <c r="I101" s="17">
        <f t="shared" si="16"/>
        <v>0</v>
      </c>
      <c r="J101" s="2">
        <f>+SUM(H$2:H101)</f>
        <v>101587.47624921503</v>
      </c>
      <c r="K101" s="17">
        <f>+SUM(I$2:I101)</f>
        <v>1.3408503551054771</v>
      </c>
      <c r="L101" s="1">
        <f t="shared" si="17"/>
        <v>75763.47044426424</v>
      </c>
    </row>
    <row r="102" spans="4:12" x14ac:dyDescent="0.25">
      <c r="D102" s="28">
        <f t="shared" si="18"/>
        <v>100</v>
      </c>
      <c r="E102">
        <f t="shared" si="19"/>
        <v>5.1269480530444667E-2</v>
      </c>
      <c r="F102" t="b">
        <f t="shared" si="13"/>
        <v>0</v>
      </c>
      <c r="G102" t="b">
        <f t="shared" si="14"/>
        <v>1</v>
      </c>
      <c r="H102" s="1">
        <f t="shared" si="20"/>
        <v>0</v>
      </c>
      <c r="I102" s="17">
        <f t="shared" si="16"/>
        <v>0</v>
      </c>
      <c r="J102" s="2">
        <f>+SUM(H$2:H102)</f>
        <v>101587.47624921503</v>
      </c>
      <c r="K102" s="17">
        <f>+SUM(I$2:I102)</f>
        <v>1.3408503551054771</v>
      </c>
      <c r="L102" s="1">
        <f t="shared" si="17"/>
        <v>75763.47044426424</v>
      </c>
    </row>
  </sheetData>
  <mergeCells count="3">
    <mergeCell ref="P1:R1"/>
    <mergeCell ref="P12:R12"/>
    <mergeCell ref="P24:R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3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46.140625" customWidth="1"/>
    <col min="2" max="2" width="11.7109375" bestFit="1" customWidth="1"/>
    <col min="3" max="3" width="10.85546875" customWidth="1"/>
    <col min="4" max="4" width="10.140625" customWidth="1"/>
    <col min="5" max="5" width="11" customWidth="1"/>
    <col min="11" max="11" width="11.5703125" bestFit="1" customWidth="1"/>
    <col min="13" max="13" width="11.5703125" bestFit="1" customWidth="1"/>
    <col min="15" max="15" width="11.5703125" bestFit="1" customWidth="1"/>
    <col min="20" max="20" width="12.5703125" bestFit="1" customWidth="1"/>
    <col min="21" max="21" width="11.140625" customWidth="1"/>
    <col min="22" max="22" width="10.85546875" customWidth="1"/>
    <col min="23" max="23" width="10.42578125" customWidth="1"/>
  </cols>
  <sheetData>
    <row r="1" spans="1:23" x14ac:dyDescent="0.25">
      <c r="K1" s="34" t="s">
        <v>5</v>
      </c>
      <c r="L1" s="34"/>
      <c r="M1" s="34" t="s">
        <v>42</v>
      </c>
      <c r="N1" s="34"/>
      <c r="O1" s="34" t="s">
        <v>3</v>
      </c>
      <c r="P1" s="34"/>
    </row>
    <row r="2" spans="1:23" ht="30" x14ac:dyDescent="0.25">
      <c r="H2" s="21" t="e">
        <f>+#REF!</f>
        <v>#REF!</v>
      </c>
      <c r="I2" s="21" t="e">
        <f>+#REF!</f>
        <v>#REF!</v>
      </c>
      <c r="J2" s="21" t="s">
        <v>25</v>
      </c>
      <c r="K2" s="21" t="e">
        <f>+#REF!</f>
        <v>#REF!</v>
      </c>
      <c r="L2" s="21" t="e">
        <f>+#REF!</f>
        <v>#REF!</v>
      </c>
      <c r="M2" s="21" t="s">
        <v>2</v>
      </c>
      <c r="N2" s="21" t="s">
        <v>26</v>
      </c>
      <c r="O2" s="21" t="s">
        <v>2</v>
      </c>
      <c r="P2" s="21" t="s">
        <v>26</v>
      </c>
      <c r="Q2" s="21"/>
      <c r="R2" s="21"/>
      <c r="S2" s="21" t="s">
        <v>41</v>
      </c>
      <c r="T2" s="21" t="s">
        <v>45</v>
      </c>
      <c r="U2" s="21" t="s">
        <v>46</v>
      </c>
      <c r="V2" s="21" t="s">
        <v>47</v>
      </c>
      <c r="W2" s="21" t="s">
        <v>48</v>
      </c>
    </row>
    <row r="3" spans="1:23" x14ac:dyDescent="0.25">
      <c r="A3" t="s">
        <v>75</v>
      </c>
      <c r="B3">
        <f>+PCSK9_QALYPerYear_FH_v2*NextGen_RelativeBenefitFactor_v2</f>
        <v>9.0349264779279695E-2</v>
      </c>
      <c r="C3" t="s">
        <v>64</v>
      </c>
      <c r="H3">
        <f>+'Case study 3'!D2</f>
        <v>0</v>
      </c>
      <c r="I3">
        <f>+'Case study 3'!E2</f>
        <v>0.98532927816429317</v>
      </c>
      <c r="J3" t="b">
        <f t="shared" ref="J3:J34" si="0">H3&lt;=NextGen_TimeHorizon_v2</f>
        <v>1</v>
      </c>
      <c r="K3" s="1">
        <f>+'Case study 3'!H2</f>
        <v>6404.6403080679056</v>
      </c>
      <c r="L3">
        <f>+'Case study 3'!I2</f>
        <v>4.4511887923821131E-2</v>
      </c>
      <c r="M3" s="1">
        <f t="shared" ref="M3:M34" si="1">+I3*IF(H3&lt;NextGen_Year_Generic_v2,NextGen_CostPerYear_v2,NextGen_CostPerYear_Gen_v2)</f>
        <v>9606.9604621018589</v>
      </c>
      <c r="N3">
        <f t="shared" ref="N3:N34" si="2">+NextGen_QALYPerYear_FH_v2*I3</f>
        <v>8.9023775847642261E-2</v>
      </c>
      <c r="O3" s="1">
        <f t="shared" ref="O3:O34" si="3">IF(H3&lt;NextGen_Year_Start_v2,K3,M3)*J3</f>
        <v>6404.6403080679056</v>
      </c>
      <c r="P3">
        <f t="shared" ref="P3:P34" si="4">IF(H3&lt;NextGen_Year_Start_v2,L3,N3)*J3</f>
        <v>4.4511887923821131E-2</v>
      </c>
      <c r="S3" s="28">
        <v>15</v>
      </c>
      <c r="T3" s="27">
        <f>+B24</f>
        <v>138175.41513079318</v>
      </c>
      <c r="U3" s="27">
        <f t="shared" ref="U3:W15" si="5">+C24</f>
        <v>138175.41513079318</v>
      </c>
      <c r="V3" s="27">
        <f t="shared" si="5"/>
        <v>138175.41513079318</v>
      </c>
      <c r="W3" s="27">
        <f t="shared" si="5"/>
        <v>138175.41513079318</v>
      </c>
    </row>
    <row r="4" spans="1:23" x14ac:dyDescent="0.25">
      <c r="A4" t="s">
        <v>76</v>
      </c>
      <c r="B4" s="29">
        <v>2</v>
      </c>
      <c r="C4" t="s">
        <v>62</v>
      </c>
      <c r="H4">
        <f>+'Case study 3'!D3</f>
        <v>1</v>
      </c>
      <c r="I4">
        <f>+'Case study 3'!E3</f>
        <v>0.9566303671497991</v>
      </c>
      <c r="J4" t="b">
        <f t="shared" si="0"/>
        <v>1</v>
      </c>
      <c r="K4" s="1">
        <f>+'Case study 3'!H3</f>
        <v>6218.0973864736943</v>
      </c>
      <c r="L4">
        <f>+'Case study 3'!I3</f>
        <v>4.321542516875837E-2</v>
      </c>
      <c r="M4" s="1">
        <f t="shared" si="1"/>
        <v>9327.146079710541</v>
      </c>
      <c r="N4">
        <f t="shared" si="2"/>
        <v>8.643085033751674E-2</v>
      </c>
      <c r="O4" s="1">
        <f t="shared" si="3"/>
        <v>6218.0973864736943</v>
      </c>
      <c r="P4">
        <f t="shared" si="4"/>
        <v>4.321542516875837E-2</v>
      </c>
      <c r="S4" s="28">
        <f>+S3+5</f>
        <v>20</v>
      </c>
      <c r="T4" s="27">
        <f t="shared" ref="T4:T15" si="6">+B25</f>
        <v>120251.00679971396</v>
      </c>
      <c r="U4" s="27">
        <f t="shared" si="5"/>
        <v>116331.03344021642</v>
      </c>
      <c r="V4" s="27">
        <f t="shared" si="5"/>
        <v>122311.75887141122</v>
      </c>
      <c r="W4" s="27">
        <f t="shared" si="5"/>
        <v>117921.54161747458</v>
      </c>
    </row>
    <row r="5" spans="1:23" x14ac:dyDescent="0.25">
      <c r="A5" t="s">
        <v>77</v>
      </c>
      <c r="B5" s="1">
        <f>+PCSK9_CostPerYear_v2*NextGen_RelativeCostFactor_v2</f>
        <v>9750</v>
      </c>
      <c r="C5" t="s">
        <v>64</v>
      </c>
      <c r="E5" s="1"/>
      <c r="H5">
        <f>+'Case study 3'!D4</f>
        <v>2</v>
      </c>
      <c r="I5">
        <f>+'Case study 3'!E4</f>
        <v>0.92876734674737782</v>
      </c>
      <c r="J5" t="b">
        <f t="shared" si="0"/>
        <v>1</v>
      </c>
      <c r="K5" s="1">
        <f>+'Case study 3'!H4</f>
        <v>6036.9877538579558</v>
      </c>
      <c r="L5">
        <f>+'Case study 3'!I4</f>
        <v>4.1956723464813959E-2</v>
      </c>
      <c r="M5" s="1">
        <f t="shared" si="1"/>
        <v>9055.4816307869332</v>
      </c>
      <c r="N5">
        <f t="shared" si="2"/>
        <v>8.3913446929627919E-2</v>
      </c>
      <c r="O5" s="1">
        <f t="shared" si="3"/>
        <v>6036.9877538579558</v>
      </c>
      <c r="P5">
        <f t="shared" si="4"/>
        <v>4.1956723464813959E-2</v>
      </c>
      <c r="S5" s="28">
        <f t="shared" ref="S5:S6" si="7">+S4+5</f>
        <v>25</v>
      </c>
      <c r="T5" s="27">
        <f t="shared" si="6"/>
        <v>117341.46318284725</v>
      </c>
      <c r="U5" s="27">
        <f t="shared" si="5"/>
        <v>102600.45105905425</v>
      </c>
      <c r="V5" s="27">
        <f t="shared" si="5"/>
        <v>126423.33302669514</v>
      </c>
      <c r="W5" s="27">
        <f t="shared" si="5"/>
        <v>105645.48448025661</v>
      </c>
    </row>
    <row r="6" spans="1:23" x14ac:dyDescent="0.25">
      <c r="A6" t="s">
        <v>78</v>
      </c>
      <c r="B6" s="30">
        <v>1.5</v>
      </c>
      <c r="C6" t="s">
        <v>62</v>
      </c>
      <c r="H6">
        <f>+'Case study 3'!D5</f>
        <v>3</v>
      </c>
      <c r="I6">
        <f>+'Case study 3'!E5</f>
        <v>0.9017158706285221</v>
      </c>
      <c r="J6" t="b">
        <f t="shared" si="0"/>
        <v>1</v>
      </c>
      <c r="K6" s="1">
        <f>+'Case study 3'!H5</f>
        <v>5861.1531590853938</v>
      </c>
      <c r="L6">
        <f>+'Case study 3'!I5</f>
        <v>4.0734682975547526E-2</v>
      </c>
      <c r="M6" s="1">
        <f t="shared" si="1"/>
        <v>8791.7297386280898</v>
      </c>
      <c r="N6">
        <f t="shared" si="2"/>
        <v>8.1469365951095052E-2</v>
      </c>
      <c r="O6" s="1">
        <f t="shared" si="3"/>
        <v>5861.1531590853938</v>
      </c>
      <c r="P6">
        <f t="shared" si="4"/>
        <v>4.0734682975547526E-2</v>
      </c>
      <c r="S6" s="28">
        <f t="shared" si="7"/>
        <v>30</v>
      </c>
      <c r="T6" s="27">
        <f t="shared" si="6"/>
        <v>115747.81887315155</v>
      </c>
      <c r="U6" s="27">
        <f t="shared" si="5"/>
        <v>96143.106620045597</v>
      </c>
      <c r="V6" s="27">
        <f t="shared" si="5"/>
        <v>128888.79037248889</v>
      </c>
      <c r="W6" s="27">
        <f t="shared" si="5"/>
        <v>97483.839748130034</v>
      </c>
    </row>
    <row r="7" spans="1:23" x14ac:dyDescent="0.25">
      <c r="A7" t="s">
        <v>79</v>
      </c>
      <c r="B7" s="1">
        <f>+PCSK9_CostPerYear_Gen_v2</f>
        <v>1299.9999999999998</v>
      </c>
      <c r="C7" t="s">
        <v>62</v>
      </c>
      <c r="E7" s="1"/>
      <c r="H7">
        <f>+'Case study 3'!D6</f>
        <v>4</v>
      </c>
      <c r="I7">
        <f>+'Case study 3'!E6</f>
        <v>0.87545230158108933</v>
      </c>
      <c r="J7" t="b">
        <f t="shared" si="0"/>
        <v>1</v>
      </c>
      <c r="K7" s="1">
        <f>+'Case study 3'!H6</f>
        <v>5690.4399602770809</v>
      </c>
      <c r="L7">
        <f>+'Case study 3'!I6</f>
        <v>3.9548235898589829E-2</v>
      </c>
      <c r="M7" s="1">
        <f t="shared" si="1"/>
        <v>8535.6599404156204</v>
      </c>
      <c r="N7">
        <f t="shared" si="2"/>
        <v>7.9096471797179657E-2</v>
      </c>
      <c r="O7" s="1">
        <f t="shared" si="3"/>
        <v>5690.4399602770809</v>
      </c>
      <c r="P7">
        <f t="shared" si="4"/>
        <v>3.9548235898589829E-2</v>
      </c>
      <c r="S7" s="28">
        <v>34</v>
      </c>
      <c r="T7" s="27">
        <f t="shared" si="6"/>
        <v>114918.80106199671</v>
      </c>
      <c r="U7" s="27">
        <f t="shared" si="5"/>
        <v>93033.004792270774</v>
      </c>
      <c r="V7" s="27">
        <f t="shared" si="5"/>
        <v>130237.87890228034</v>
      </c>
      <c r="W7" s="27">
        <f t="shared" si="5"/>
        <v>92729.737807922866</v>
      </c>
    </row>
    <row r="8" spans="1:23" x14ac:dyDescent="0.25">
      <c r="A8" t="s">
        <v>80</v>
      </c>
      <c r="B8">
        <v>20</v>
      </c>
      <c r="C8" t="s">
        <v>62</v>
      </c>
      <c r="H8">
        <f>+'Case study 3'!D7</f>
        <v>5</v>
      </c>
      <c r="I8">
        <f>+'Case study 3'!E7</f>
        <v>0.84995369085542649</v>
      </c>
      <c r="J8" t="b">
        <f t="shared" si="0"/>
        <v>1</v>
      </c>
      <c r="K8" s="1">
        <f>+'Case study 3'!H7</f>
        <v>5524.6989905602723</v>
      </c>
      <c r="L8">
        <f>+'Case study 3'!I7</f>
        <v>3.8396345532611481E-2</v>
      </c>
      <c r="M8" s="1">
        <f t="shared" si="1"/>
        <v>8287.0484858404088</v>
      </c>
      <c r="N8">
        <f t="shared" si="2"/>
        <v>7.6792691065222962E-2</v>
      </c>
      <c r="O8" s="1">
        <f t="shared" si="3"/>
        <v>5524.6989905602723</v>
      </c>
      <c r="P8">
        <f t="shared" si="4"/>
        <v>3.8396345532611481E-2</v>
      </c>
      <c r="S8" s="28">
        <f>+S6+5</f>
        <v>35</v>
      </c>
      <c r="T8" s="27">
        <f t="shared" si="6"/>
        <v>112508.95352106549</v>
      </c>
      <c r="U8" s="27">
        <f t="shared" si="5"/>
        <v>90616.53109675381</v>
      </c>
      <c r="V8" s="27">
        <f t="shared" si="5"/>
        <v>127966.99072091733</v>
      </c>
      <c r="W8" s="27">
        <f t="shared" si="5"/>
        <v>91719.045261838575</v>
      </c>
    </row>
    <row r="9" spans="1:23" x14ac:dyDescent="0.25">
      <c r="A9" t="s">
        <v>81</v>
      </c>
      <c r="B9">
        <v>15</v>
      </c>
      <c r="C9" t="s">
        <v>62</v>
      </c>
      <c r="H9">
        <f>+'Case study 3'!D8</f>
        <v>6</v>
      </c>
      <c r="I9">
        <f>+'Case study 3'!E8</f>
        <v>0.82519775811206453</v>
      </c>
      <c r="J9" t="b">
        <f t="shared" si="0"/>
        <v>1</v>
      </c>
      <c r="K9" s="1">
        <f>+'Case study 3'!H8</f>
        <v>5363.7854277284196</v>
      </c>
      <c r="L9">
        <f>+'Case study 3'!I8</f>
        <v>3.7278005371467457E-2</v>
      </c>
      <c r="M9" s="1">
        <f t="shared" si="1"/>
        <v>8045.6781415926289</v>
      </c>
      <c r="N9">
        <f t="shared" si="2"/>
        <v>7.4556010742934914E-2</v>
      </c>
      <c r="O9" s="1">
        <f t="shared" si="3"/>
        <v>5363.7854277284196</v>
      </c>
      <c r="P9">
        <f t="shared" si="4"/>
        <v>3.7278005371467457E-2</v>
      </c>
      <c r="S9" s="28">
        <f t="shared" ref="S9:S15" si="8">+S8+5</f>
        <v>40</v>
      </c>
      <c r="T9" s="27">
        <f t="shared" si="6"/>
        <v>102802.68743076586</v>
      </c>
      <c r="U9" s="27">
        <f t="shared" si="5"/>
        <v>81128.664016294497</v>
      </c>
      <c r="V9" s="27">
        <f t="shared" si="5"/>
        <v>118651.99372284354</v>
      </c>
      <c r="W9" s="27">
        <f t="shared" si="5"/>
        <v>87470.981065547589</v>
      </c>
    </row>
    <row r="10" spans="1:23" x14ac:dyDescent="0.25">
      <c r="A10" t="s">
        <v>82</v>
      </c>
      <c r="B10">
        <v>35</v>
      </c>
      <c r="C10" t="s">
        <v>64</v>
      </c>
      <c r="H10">
        <f>+'Case study 3'!D9</f>
        <v>7</v>
      </c>
      <c r="I10">
        <f>+'Case study 3'!E9</f>
        <v>0.80116287195346081</v>
      </c>
      <c r="J10" t="b">
        <f t="shared" si="0"/>
        <v>1</v>
      </c>
      <c r="K10" s="1">
        <f>+'Case study 3'!H9</f>
        <v>5207.5586676974954</v>
      </c>
      <c r="L10">
        <f>+'Case study 3'!I9</f>
        <v>3.6192238224725691E-2</v>
      </c>
      <c r="M10" s="1">
        <f t="shared" si="1"/>
        <v>7811.3380015462426</v>
      </c>
      <c r="N10">
        <f t="shared" si="2"/>
        <v>7.2384476449451382E-2</v>
      </c>
      <c r="O10" s="1">
        <f t="shared" si="3"/>
        <v>5207.5586676974954</v>
      </c>
      <c r="P10">
        <f t="shared" si="4"/>
        <v>3.6192238224725691E-2</v>
      </c>
      <c r="S10" s="28">
        <f t="shared" si="8"/>
        <v>45</v>
      </c>
      <c r="T10" s="27">
        <f t="shared" si="6"/>
        <v>95851.384570580354</v>
      </c>
      <c r="U10" s="27">
        <f t="shared" si="5"/>
        <v>74565.65906393755</v>
      </c>
      <c r="V10" s="27">
        <f t="shared" si="5"/>
        <v>111810.21599815819</v>
      </c>
      <c r="W10" s="27">
        <f t="shared" si="5"/>
        <v>84241.877620105108</v>
      </c>
    </row>
    <row r="11" spans="1:23" x14ac:dyDescent="0.25">
      <c r="A11" t="s">
        <v>83</v>
      </c>
      <c r="B11" s="29">
        <v>70</v>
      </c>
      <c r="C11" t="s">
        <v>62</v>
      </c>
      <c r="H11">
        <f>+'Case study 3'!D10</f>
        <v>8</v>
      </c>
      <c r="I11">
        <f>+'Case study 3'!E10</f>
        <v>0.77782803102277731</v>
      </c>
      <c r="J11" t="b">
        <f t="shared" si="0"/>
        <v>1</v>
      </c>
      <c r="K11" s="1">
        <f>+'Case study 3'!H10</f>
        <v>5055.8822016480526</v>
      </c>
      <c r="L11">
        <f>+'Case study 3'!I10</f>
        <v>3.5138095363811343E-2</v>
      </c>
      <c r="M11" s="1">
        <f t="shared" si="1"/>
        <v>7583.8233024720785</v>
      </c>
      <c r="N11">
        <f t="shared" si="2"/>
        <v>7.0276190727622687E-2</v>
      </c>
      <c r="O11" s="1">
        <f t="shared" si="3"/>
        <v>5055.8822016480526</v>
      </c>
      <c r="P11">
        <f t="shared" si="4"/>
        <v>3.5138095363811343E-2</v>
      </c>
      <c r="S11" s="28">
        <f t="shared" si="8"/>
        <v>50</v>
      </c>
      <c r="T11" s="27">
        <f t="shared" si="6"/>
        <v>90677.463952519931</v>
      </c>
      <c r="U11" s="27">
        <f t="shared" si="5"/>
        <v>69800.826687580353</v>
      </c>
      <c r="V11" s="27">
        <f t="shared" si="5"/>
        <v>106622.21245677743</v>
      </c>
      <c r="W11" s="27">
        <f t="shared" si="5"/>
        <v>81728.927492024319</v>
      </c>
    </row>
    <row r="12" spans="1:23" x14ac:dyDescent="0.25">
      <c r="H12">
        <f>+'Case study 3'!D11</f>
        <v>9</v>
      </c>
      <c r="I12">
        <f>+'Case study 3'!E11</f>
        <v>0.75517284565318188</v>
      </c>
      <c r="J12" t="b">
        <f t="shared" si="0"/>
        <v>1</v>
      </c>
      <c r="K12" s="1">
        <f>+'Case study 3'!H11</f>
        <v>4908.6234967456821</v>
      </c>
      <c r="L12">
        <f>+'Case study 3'!I11</f>
        <v>3.4114655693020725E-2</v>
      </c>
      <c r="M12" s="1">
        <f t="shared" si="1"/>
        <v>7362.9352451185232</v>
      </c>
      <c r="N12">
        <f t="shared" si="2"/>
        <v>6.822931138604145E-2</v>
      </c>
      <c r="O12" s="1">
        <f t="shared" si="3"/>
        <v>4908.6234967456821</v>
      </c>
      <c r="P12">
        <f t="shared" si="4"/>
        <v>3.4114655693020725E-2</v>
      </c>
      <c r="S12" s="28">
        <f t="shared" si="8"/>
        <v>55</v>
      </c>
      <c r="T12" s="27">
        <f t="shared" si="6"/>
        <v>86714.948905381447</v>
      </c>
      <c r="U12" s="27">
        <f t="shared" si="5"/>
        <v>66218.668256491321</v>
      </c>
      <c r="V12" s="27">
        <f t="shared" si="5"/>
        <v>102592.35791764523</v>
      </c>
      <c r="W12" s="27">
        <f t="shared" si="5"/>
        <v>79737.284979461474</v>
      </c>
    </row>
    <row r="13" spans="1:23" x14ac:dyDescent="0.25">
      <c r="H13">
        <f>+'Case study 3'!D12</f>
        <v>10</v>
      </c>
      <c r="I13">
        <f>+'Case study 3'!E12</f>
        <v>0.73317752005163295</v>
      </c>
      <c r="J13" t="b">
        <f t="shared" si="0"/>
        <v>1</v>
      </c>
      <c r="K13" s="1">
        <f>+'Case study 3'!H12</f>
        <v>4765.6538803356143</v>
      </c>
      <c r="L13">
        <f>+'Case study 3'!I12</f>
        <v>3.3121024944680319E-2</v>
      </c>
      <c r="M13" s="1">
        <f t="shared" si="1"/>
        <v>7148.4808205034215</v>
      </c>
      <c r="N13">
        <f t="shared" si="2"/>
        <v>6.6242049889360638E-2</v>
      </c>
      <c r="O13" s="1">
        <f t="shared" si="3"/>
        <v>4765.6538803356143</v>
      </c>
      <c r="P13">
        <f t="shared" si="4"/>
        <v>3.3121024944680319E-2</v>
      </c>
      <c r="S13" s="28">
        <f t="shared" si="8"/>
        <v>60</v>
      </c>
      <c r="T13" s="27">
        <f t="shared" si="6"/>
        <v>83613.354027434529</v>
      </c>
      <c r="U13" s="27">
        <f t="shared" si="5"/>
        <v>63454.377762666831</v>
      </c>
      <c r="V13" s="27">
        <f t="shared" si="5"/>
        <v>99403.172338368779</v>
      </c>
      <c r="W13" s="27">
        <f t="shared" si="5"/>
        <v>78135.853263273559</v>
      </c>
    </row>
    <row r="14" spans="1:23" x14ac:dyDescent="0.25">
      <c r="H14">
        <f>+'Case study 3'!D13</f>
        <v>11</v>
      </c>
      <c r="I14">
        <f>+'Case study 3'!E13</f>
        <v>0.71182283500158527</v>
      </c>
      <c r="J14" t="b">
        <f t="shared" si="0"/>
        <v>1</v>
      </c>
      <c r="K14" s="1">
        <f>+'Case study 3'!H13</f>
        <v>4626.8484275103046</v>
      </c>
      <c r="L14">
        <f>+'Case study 3'!I13</f>
        <v>3.2156334897747878E-2</v>
      </c>
      <c r="M14" s="1">
        <f t="shared" si="1"/>
        <v>6940.2726412654565</v>
      </c>
      <c r="N14">
        <f t="shared" si="2"/>
        <v>6.4312669795495755E-2</v>
      </c>
      <c r="O14" s="1">
        <f t="shared" si="3"/>
        <v>4626.8484275103046</v>
      </c>
      <c r="P14">
        <f t="shared" si="4"/>
        <v>3.2156334897747878E-2</v>
      </c>
      <c r="S14" s="28">
        <f t="shared" si="8"/>
        <v>65</v>
      </c>
      <c r="T14" s="27">
        <f t="shared" si="6"/>
        <v>81143.970138760254</v>
      </c>
      <c r="U14" s="27">
        <f t="shared" si="5"/>
        <v>61277.928376347059</v>
      </c>
      <c r="V14" s="27">
        <f t="shared" si="5"/>
        <v>96841.821962694172</v>
      </c>
      <c r="W14" s="27">
        <f t="shared" si="5"/>
        <v>76833.168054253721</v>
      </c>
    </row>
    <row r="15" spans="1:23" x14ac:dyDescent="0.25">
      <c r="H15">
        <f>+'Case study 3'!D14</f>
        <v>12</v>
      </c>
      <c r="I15">
        <f>+'Case study 3'!E14</f>
        <v>0.69109013106950024</v>
      </c>
      <c r="J15" t="b">
        <f t="shared" si="0"/>
        <v>1</v>
      </c>
      <c r="K15" s="1">
        <f>+'Case study 3'!H14</f>
        <v>4492.0858519517515</v>
      </c>
      <c r="L15">
        <f>+'Case study 3'!I14</f>
        <v>3.1219742619172694E-2</v>
      </c>
      <c r="M15" s="1">
        <f t="shared" si="1"/>
        <v>6738.1287779276272</v>
      </c>
      <c r="N15">
        <f t="shared" si="2"/>
        <v>6.2439485238345388E-2</v>
      </c>
      <c r="O15" s="1">
        <f t="shared" si="3"/>
        <v>4492.0858519517515</v>
      </c>
      <c r="P15">
        <f t="shared" si="4"/>
        <v>3.1219742619172694E-2</v>
      </c>
      <c r="S15" s="28">
        <f t="shared" si="8"/>
        <v>70</v>
      </c>
      <c r="T15" s="27">
        <f t="shared" si="6"/>
        <v>79151.16380012258</v>
      </c>
      <c r="U15" s="27">
        <f t="shared" si="5"/>
        <v>59537.047316715638</v>
      </c>
      <c r="V15" s="27">
        <f t="shared" si="5"/>
        <v>94760.257783946683</v>
      </c>
      <c r="W15" s="27">
        <f t="shared" si="5"/>
        <v>75763.47044426424</v>
      </c>
    </row>
    <row r="16" spans="1:23" x14ac:dyDescent="0.25">
      <c r="A16" t="s">
        <v>43</v>
      </c>
      <c r="B16" s="2">
        <f>+SUM(O3:O103)</f>
        <v>158271.41763225233</v>
      </c>
      <c r="C16" t="s">
        <v>65</v>
      </c>
      <c r="H16">
        <f>+'Case study 3'!D15</f>
        <v>13</v>
      </c>
      <c r="I16">
        <f>+'Case study 3'!E15</f>
        <v>0.67096129230048573</v>
      </c>
      <c r="J16" t="b">
        <f t="shared" si="0"/>
        <v>1</v>
      </c>
      <c r="K16" s="1">
        <f>+'Case study 3'!H15</f>
        <v>4361.2483999531569</v>
      </c>
      <c r="L16">
        <f>+'Case study 3'!I15</f>
        <v>3.0310429727352133E-2</v>
      </c>
      <c r="M16" s="1">
        <f t="shared" si="1"/>
        <v>6541.8725999297358</v>
      </c>
      <c r="N16">
        <f t="shared" si="2"/>
        <v>6.0620859454704266E-2</v>
      </c>
      <c r="O16" s="1">
        <f t="shared" si="3"/>
        <v>4361.2483999531569</v>
      </c>
      <c r="P16">
        <f t="shared" si="4"/>
        <v>3.0310429727352133E-2</v>
      </c>
    </row>
    <row r="17" spans="1:16" x14ac:dyDescent="0.25">
      <c r="A17" t="s">
        <v>44</v>
      </c>
      <c r="B17" s="22">
        <f>+SUM(P3:P103)</f>
        <v>1.9996094818255499</v>
      </c>
      <c r="C17" t="s">
        <v>65</v>
      </c>
      <c r="H17">
        <f>+'Case study 3'!D16</f>
        <v>14</v>
      </c>
      <c r="I17">
        <f>+'Case study 3'!E16</f>
        <v>0.65141873038882114</v>
      </c>
      <c r="J17" t="b">
        <f t="shared" si="0"/>
        <v>1</v>
      </c>
      <c r="K17" s="1">
        <f>+'Case study 3'!H16</f>
        <v>4234.2217475273374</v>
      </c>
      <c r="L17">
        <f>+'Case study 3'!I16</f>
        <v>2.9427601677040907E-2</v>
      </c>
      <c r="M17" s="1">
        <f t="shared" si="1"/>
        <v>6351.332621291006</v>
      </c>
      <c r="N17">
        <f t="shared" si="2"/>
        <v>5.8855203354081814E-2</v>
      </c>
      <c r="O17" s="1">
        <f t="shared" si="3"/>
        <v>4234.2217475273374</v>
      </c>
      <c r="P17">
        <f t="shared" si="4"/>
        <v>2.9427601677040907E-2</v>
      </c>
    </row>
    <row r="18" spans="1:16" x14ac:dyDescent="0.25">
      <c r="A18" t="s">
        <v>29</v>
      </c>
      <c r="B18" s="14">
        <f>+B16/B17</f>
        <v>79151.16380012258</v>
      </c>
      <c r="C18" t="s">
        <v>64</v>
      </c>
      <c r="H18">
        <f>+'Case study 3'!D17</f>
        <v>15</v>
      </c>
      <c r="I18">
        <f>+'Case study 3'!E17</f>
        <v>0.63244536930953499</v>
      </c>
      <c r="J18" t="b">
        <f t="shared" si="0"/>
        <v>1</v>
      </c>
      <c r="K18" s="1">
        <f>+'Case study 3'!H17</f>
        <v>822.17898010239537</v>
      </c>
      <c r="L18">
        <f>+'Case study 3'!I17</f>
        <v>2.8570487065088253E-2</v>
      </c>
      <c r="M18" s="1">
        <f t="shared" si="1"/>
        <v>6166.3423507679663</v>
      </c>
      <c r="N18">
        <f t="shared" si="2"/>
        <v>5.7140974130176506E-2</v>
      </c>
      <c r="O18" s="1">
        <f t="shared" si="3"/>
        <v>822.17898010239537</v>
      </c>
      <c r="P18">
        <f t="shared" si="4"/>
        <v>2.8570487065088253E-2</v>
      </c>
    </row>
    <row r="19" spans="1:16" x14ac:dyDescent="0.25">
      <c r="H19">
        <f>+'Case study 3'!D18</f>
        <v>16</v>
      </c>
      <c r="I19">
        <f>+'Case study 3'!E18</f>
        <v>0.6140246303976068</v>
      </c>
      <c r="J19" t="b">
        <f t="shared" si="0"/>
        <v>1</v>
      </c>
      <c r="K19" s="1">
        <f>+'Case study 3'!H18</f>
        <v>798.23201951688873</v>
      </c>
      <c r="L19">
        <f>+'Case study 3'!I18</f>
        <v>2.7738336956396364E-2</v>
      </c>
      <c r="M19" s="1">
        <f t="shared" si="1"/>
        <v>5986.7401463766664</v>
      </c>
      <c r="N19">
        <f t="shared" si="2"/>
        <v>5.5476673912792727E-2</v>
      </c>
      <c r="O19" s="1">
        <f t="shared" si="3"/>
        <v>798.23201951688873</v>
      </c>
      <c r="P19">
        <f t="shared" si="4"/>
        <v>2.7738336956396364E-2</v>
      </c>
    </row>
    <row r="20" spans="1:16" x14ac:dyDescent="0.25">
      <c r="H20">
        <f>+'Case study 3'!D19</f>
        <v>17</v>
      </c>
      <c r="I20">
        <f>+'Case study 3'!E19</f>
        <v>0.59614041786175409</v>
      </c>
      <c r="J20" t="b">
        <f t="shared" si="0"/>
        <v>1</v>
      </c>
      <c r="K20" s="1">
        <f>+'Case study 3'!H19</f>
        <v>774.98254322028015</v>
      </c>
      <c r="L20">
        <f>+'Case study 3'!I19</f>
        <v>2.693042422951103E-2</v>
      </c>
      <c r="M20" s="1">
        <f t="shared" si="1"/>
        <v>5812.3690741521023</v>
      </c>
      <c r="N20">
        <f t="shared" si="2"/>
        <v>5.3860848459022059E-2</v>
      </c>
      <c r="O20" s="1">
        <f t="shared" si="3"/>
        <v>774.98254322028015</v>
      </c>
      <c r="P20">
        <f t="shared" si="4"/>
        <v>2.693042422951103E-2</v>
      </c>
    </row>
    <row r="21" spans="1:16" x14ac:dyDescent="0.25">
      <c r="A21" s="32" t="s">
        <v>84</v>
      </c>
      <c r="H21">
        <f>+'Case study 3'!D20</f>
        <v>18</v>
      </c>
      <c r="I21">
        <f>+'Case study 3'!E20</f>
        <v>0.57877710472014965</v>
      </c>
      <c r="J21" t="b">
        <f t="shared" si="0"/>
        <v>1</v>
      </c>
      <c r="K21" s="1">
        <f>+'Case study 3'!H20</f>
        <v>752.41023613619438</v>
      </c>
      <c r="L21">
        <f>+'Case study 3'!I20</f>
        <v>2.6146042941272846E-2</v>
      </c>
      <c r="M21" s="1">
        <f t="shared" si="1"/>
        <v>5643.0767710214586</v>
      </c>
      <c r="N21">
        <f t="shared" si="2"/>
        <v>5.2292085882545691E-2</v>
      </c>
      <c r="O21" s="1">
        <f t="shared" si="3"/>
        <v>752.41023613619438</v>
      </c>
      <c r="P21">
        <f t="shared" si="4"/>
        <v>2.6146042941272846E-2</v>
      </c>
    </row>
    <row r="22" spans="1:16" x14ac:dyDescent="0.25">
      <c r="H22">
        <f>+'Case study 3'!D21</f>
        <v>19</v>
      </c>
      <c r="I22">
        <f>+'Case study 3'!E21</f>
        <v>0.56191951914577642</v>
      </c>
      <c r="J22" t="b">
        <f t="shared" si="0"/>
        <v>1</v>
      </c>
      <c r="K22" s="1">
        <f>+'Case study 3'!H21</f>
        <v>730.49537488950921</v>
      </c>
      <c r="L22">
        <f>+'Case study 3'!I21</f>
        <v>2.538450770997364E-2</v>
      </c>
      <c r="M22" s="1">
        <f t="shared" si="1"/>
        <v>5478.7153116713198</v>
      </c>
      <c r="N22">
        <f t="shared" si="2"/>
        <v>5.0769015419947279E-2</v>
      </c>
      <c r="O22" s="1">
        <f t="shared" si="3"/>
        <v>730.49537488950921</v>
      </c>
      <c r="P22">
        <f t="shared" si="4"/>
        <v>2.538450770997364E-2</v>
      </c>
    </row>
    <row r="23" spans="1:16" ht="25.5" customHeight="1" x14ac:dyDescent="0.25">
      <c r="A23" s="25" t="s">
        <v>41</v>
      </c>
      <c r="B23" s="25" t="s">
        <v>45</v>
      </c>
      <c r="C23" s="25" t="s">
        <v>46</v>
      </c>
      <c r="D23" s="25" t="s">
        <v>47</v>
      </c>
      <c r="E23" s="25" t="s">
        <v>48</v>
      </c>
      <c r="H23">
        <f>+'Case study 3'!D22</f>
        <v>20</v>
      </c>
      <c r="I23">
        <f>+'Case study 3'!E22</f>
        <v>0.54555293120949155</v>
      </c>
      <c r="J23" t="b">
        <f t="shared" si="0"/>
        <v>1</v>
      </c>
      <c r="K23" s="1">
        <f>+'Case study 3'!H22</f>
        <v>709.21881057233895</v>
      </c>
      <c r="L23">
        <f>+'Case study 3'!I22</f>
        <v>2.4645153116479256E-2</v>
      </c>
      <c r="M23" s="1">
        <f t="shared" si="1"/>
        <v>5319.1410792925426</v>
      </c>
      <c r="N23">
        <f t="shared" si="2"/>
        <v>4.9290306232958513E-2</v>
      </c>
      <c r="O23" s="1">
        <f t="shared" si="3"/>
        <v>5319.1410792925426</v>
      </c>
      <c r="P23">
        <f t="shared" si="4"/>
        <v>4.9290306232958513E-2</v>
      </c>
    </row>
    <row r="24" spans="1:16" x14ac:dyDescent="0.25">
      <c r="A24" s="26">
        <v>15</v>
      </c>
      <c r="B24" s="27">
        <v>138175.41513079318</v>
      </c>
      <c r="C24" s="27">
        <v>138175.41513079318</v>
      </c>
      <c r="D24" s="27">
        <v>138175.41513079318</v>
      </c>
      <c r="E24" s="27">
        <v>138175.41513079318</v>
      </c>
      <c r="H24">
        <f>+'Case study 3'!D23</f>
        <v>21</v>
      </c>
      <c r="I24">
        <f>+'Case study 3'!E23</f>
        <v>0.52966304000921516</v>
      </c>
      <c r="J24" t="b">
        <f t="shared" si="0"/>
        <v>1</v>
      </c>
      <c r="K24" s="1">
        <f>+'Case study 3'!H23</f>
        <v>688.56195201197954</v>
      </c>
      <c r="L24">
        <f>+'Case study 3'!I23</f>
        <v>2.3927333122795397E-2</v>
      </c>
      <c r="M24" s="1">
        <f t="shared" si="1"/>
        <v>5164.2146400898482</v>
      </c>
      <c r="N24">
        <f t="shared" si="2"/>
        <v>4.7854666245590795E-2</v>
      </c>
      <c r="O24" s="1">
        <f t="shared" si="3"/>
        <v>5164.2146400898482</v>
      </c>
      <c r="P24">
        <f t="shared" si="4"/>
        <v>4.7854666245590795E-2</v>
      </c>
    </row>
    <row r="25" spans="1:16" x14ac:dyDescent="0.25">
      <c r="A25" s="26">
        <f>+A24+5</f>
        <v>20</v>
      </c>
      <c r="B25" s="27">
        <v>120251.00679971396</v>
      </c>
      <c r="C25" s="27">
        <v>116331.03344021642</v>
      </c>
      <c r="D25" s="27">
        <v>122311.75887141122</v>
      </c>
      <c r="E25" s="27">
        <v>117921.54161747458</v>
      </c>
      <c r="H25">
        <f>+'Case study 3'!D24</f>
        <v>22</v>
      </c>
      <c r="I25">
        <f>+'Case study 3'!E24</f>
        <v>0.51423596117399528</v>
      </c>
      <c r="J25" t="b">
        <f t="shared" si="0"/>
        <v>1</v>
      </c>
      <c r="K25" s="1">
        <f>+'Case study 3'!H24</f>
        <v>668.50674952619374</v>
      </c>
      <c r="L25">
        <f>+'Case study 3'!I24</f>
        <v>2.3230420507568347E-2</v>
      </c>
      <c r="M25" s="1">
        <f t="shared" si="1"/>
        <v>5013.800621446454</v>
      </c>
      <c r="N25">
        <f t="shared" si="2"/>
        <v>4.6460841015136693E-2</v>
      </c>
      <c r="O25" s="1">
        <f t="shared" si="3"/>
        <v>5013.800621446454</v>
      </c>
      <c r="P25">
        <f t="shared" si="4"/>
        <v>4.6460841015136693E-2</v>
      </c>
    </row>
    <row r="26" spans="1:16" x14ac:dyDescent="0.25">
      <c r="A26" s="26">
        <f t="shared" ref="A26:A27" si="9">+A25+5</f>
        <v>25</v>
      </c>
      <c r="B26" s="27">
        <v>117341.46318284725</v>
      </c>
      <c r="C26" s="27">
        <v>102600.45105905425</v>
      </c>
      <c r="D26" s="27">
        <v>126423.33302669514</v>
      </c>
      <c r="E26" s="27">
        <v>105645.48448025661</v>
      </c>
      <c r="H26">
        <f>+'Case study 3'!D25</f>
        <v>23</v>
      </c>
      <c r="I26">
        <f>+'Case study 3'!E25</f>
        <v>0.49925821473203419</v>
      </c>
      <c r="J26" t="b">
        <f t="shared" si="0"/>
        <v>1</v>
      </c>
      <c r="K26" s="1">
        <f>+'Case study 3'!H25</f>
        <v>649.03567915164433</v>
      </c>
      <c r="L26">
        <f>+'Case study 3'!I25</f>
        <v>2.2553806318027517E-2</v>
      </c>
      <c r="M26" s="1">
        <f t="shared" si="1"/>
        <v>4867.7675936373334</v>
      </c>
      <c r="N26">
        <f t="shared" si="2"/>
        <v>4.5107612636055033E-2</v>
      </c>
      <c r="O26" s="1">
        <f t="shared" si="3"/>
        <v>4867.7675936373334</v>
      </c>
      <c r="P26">
        <f t="shared" si="4"/>
        <v>4.5107612636055033E-2</v>
      </c>
    </row>
    <row r="27" spans="1:16" x14ac:dyDescent="0.25">
      <c r="A27" s="26">
        <f t="shared" si="9"/>
        <v>30</v>
      </c>
      <c r="B27" s="27">
        <v>115747.81887315155</v>
      </c>
      <c r="C27" s="27">
        <v>96143.106620045597</v>
      </c>
      <c r="D27" s="27">
        <v>128888.79037248889</v>
      </c>
      <c r="E27" s="27">
        <v>97483.839748130034</v>
      </c>
      <c r="H27">
        <f>+'Case study 3'!D26</f>
        <v>24</v>
      </c>
      <c r="I27">
        <f>+'Case study 3'!E26</f>
        <v>0.484716713332072</v>
      </c>
      <c r="J27" t="b">
        <f t="shared" si="0"/>
        <v>1</v>
      </c>
      <c r="K27" s="1">
        <f>+'Case study 3'!H26</f>
        <v>630.13172733169347</v>
      </c>
      <c r="L27">
        <f>+'Case study 3'!I26</f>
        <v>2.1896899337890793E-2</v>
      </c>
      <c r="M27" s="1">
        <f t="shared" si="1"/>
        <v>4725.9879549877023</v>
      </c>
      <c r="N27">
        <f t="shared" si="2"/>
        <v>4.3793798675781585E-2</v>
      </c>
      <c r="O27" s="1">
        <f t="shared" si="3"/>
        <v>4725.9879549877023</v>
      </c>
      <c r="P27">
        <f t="shared" si="4"/>
        <v>4.3793798675781585E-2</v>
      </c>
    </row>
    <row r="28" spans="1:16" x14ac:dyDescent="0.25">
      <c r="A28" s="26">
        <v>34</v>
      </c>
      <c r="B28" s="27">
        <v>114918.80106199671</v>
      </c>
      <c r="C28" s="27">
        <v>93033.004792270774</v>
      </c>
      <c r="D28" s="27">
        <v>130237.87890228034</v>
      </c>
      <c r="E28" s="27">
        <v>92729.737807922866</v>
      </c>
      <c r="H28">
        <f>+'Case study 3'!D27</f>
        <v>25</v>
      </c>
      <c r="I28">
        <f>+'Case study 3'!E27</f>
        <v>0.47059875080783686</v>
      </c>
      <c r="J28" t="b">
        <f t="shared" si="0"/>
        <v>1</v>
      </c>
      <c r="K28" s="1">
        <f>+'Case study 3'!H27</f>
        <v>611.77837605018783</v>
      </c>
      <c r="L28">
        <f>+'Case study 3'!I27</f>
        <v>2.125912557076776E-2</v>
      </c>
      <c r="M28" s="1">
        <f t="shared" si="1"/>
        <v>4588.3378203764096</v>
      </c>
      <c r="N28">
        <f t="shared" si="2"/>
        <v>4.2518251141535519E-2</v>
      </c>
      <c r="O28" s="1">
        <f t="shared" si="3"/>
        <v>4588.3378203764096</v>
      </c>
      <c r="P28">
        <f t="shared" si="4"/>
        <v>4.2518251141535519E-2</v>
      </c>
    </row>
    <row r="29" spans="1:16" x14ac:dyDescent="0.25">
      <c r="A29" s="26">
        <f>+A27+5</f>
        <v>35</v>
      </c>
      <c r="B29" s="27">
        <v>112508.95352106549</v>
      </c>
      <c r="C29" s="27">
        <v>90616.53109675381</v>
      </c>
      <c r="D29" s="27">
        <v>127966.99072091733</v>
      </c>
      <c r="E29" s="27">
        <v>91719.045261838575</v>
      </c>
      <c r="H29">
        <f>+'Case study 3'!D28</f>
        <v>26</v>
      </c>
      <c r="I29">
        <f>+'Case study 3'!E28</f>
        <v>0.45689199107556977</v>
      </c>
      <c r="J29" t="b">
        <f t="shared" si="0"/>
        <v>1</v>
      </c>
      <c r="K29" s="1">
        <f>+'Case study 3'!H28</f>
        <v>593.95958839824061</v>
      </c>
      <c r="L29">
        <f>+'Case study 3'!I28</f>
        <v>2.0639927738609475E-2</v>
      </c>
      <c r="M29" s="1">
        <f t="shared" si="1"/>
        <v>4454.6969129868048</v>
      </c>
      <c r="N29">
        <f t="shared" si="2"/>
        <v>4.1279855477218949E-2</v>
      </c>
      <c r="O29" s="1">
        <f t="shared" si="3"/>
        <v>4454.6969129868048</v>
      </c>
      <c r="P29">
        <f t="shared" si="4"/>
        <v>4.1279855477218949E-2</v>
      </c>
    </row>
    <row r="30" spans="1:16" x14ac:dyDescent="0.25">
      <c r="A30" s="26">
        <f t="shared" ref="A30:A36" si="10">+A29+5</f>
        <v>40</v>
      </c>
      <c r="B30" s="27">
        <v>102802.68743076586</v>
      </c>
      <c r="C30" s="27">
        <v>81128.664016294497</v>
      </c>
      <c r="D30" s="27">
        <v>118651.99372284354</v>
      </c>
      <c r="E30" s="27">
        <v>87470.981065547589</v>
      </c>
      <c r="H30">
        <f>+'Case study 3'!D29</f>
        <v>27</v>
      </c>
      <c r="I30">
        <f>+'Case study 3'!E29</f>
        <v>0.44358445735492213</v>
      </c>
      <c r="J30" t="b">
        <f t="shared" si="0"/>
        <v>1</v>
      </c>
      <c r="K30" s="1">
        <f>+'Case study 3'!H29</f>
        <v>576.65979456139871</v>
      </c>
      <c r="L30">
        <f>+'Case study 3'!I29</f>
        <v>2.0038764794766482E-2</v>
      </c>
      <c r="M30" s="1">
        <f t="shared" si="1"/>
        <v>4324.9484592104909</v>
      </c>
      <c r="N30">
        <f t="shared" si="2"/>
        <v>4.0077529589532965E-2</v>
      </c>
      <c r="O30" s="1">
        <f t="shared" si="3"/>
        <v>4324.9484592104909</v>
      </c>
      <c r="P30">
        <f t="shared" si="4"/>
        <v>4.0077529589532965E-2</v>
      </c>
    </row>
    <row r="31" spans="1:16" x14ac:dyDescent="0.25">
      <c r="A31" s="26">
        <f t="shared" si="10"/>
        <v>45</v>
      </c>
      <c r="B31" s="27">
        <v>95851.384570580354</v>
      </c>
      <c r="C31" s="27">
        <v>74565.65906393755</v>
      </c>
      <c r="D31" s="27">
        <v>111810.21599815819</v>
      </c>
      <c r="E31" s="27">
        <v>84241.877620105108</v>
      </c>
      <c r="H31">
        <f>+'Case study 3'!D30</f>
        <v>28</v>
      </c>
      <c r="I31">
        <f>+'Case study 3'!E30</f>
        <v>0.43066452170380792</v>
      </c>
      <c r="J31" t="b">
        <f t="shared" si="0"/>
        <v>1</v>
      </c>
      <c r="K31" s="1">
        <f>+'Case study 3'!H30</f>
        <v>559.8638782149502</v>
      </c>
      <c r="L31">
        <f>+'Case study 3'!I30</f>
        <v>1.9455111451229596E-2</v>
      </c>
      <c r="M31" s="1">
        <f t="shared" si="1"/>
        <v>4198.9790866121275</v>
      </c>
      <c r="N31">
        <f t="shared" si="2"/>
        <v>3.8910222902459192E-2</v>
      </c>
      <c r="O31" s="1">
        <f t="shared" si="3"/>
        <v>4198.9790866121275</v>
      </c>
      <c r="P31">
        <f t="shared" si="4"/>
        <v>3.8910222902459192E-2</v>
      </c>
    </row>
    <row r="32" spans="1:16" x14ac:dyDescent="0.25">
      <c r="A32" s="26">
        <f t="shared" si="10"/>
        <v>50</v>
      </c>
      <c r="B32" s="27">
        <v>90677.463952519931</v>
      </c>
      <c r="C32" s="27">
        <v>69800.826687580353</v>
      </c>
      <c r="D32" s="27">
        <v>106622.21245677743</v>
      </c>
      <c r="E32" s="27">
        <v>81728.927492024319</v>
      </c>
      <c r="H32">
        <f>+'Case study 3'!D31</f>
        <v>29</v>
      </c>
      <c r="I32">
        <f>+'Case study 3'!E31</f>
        <v>0.41812089485806586</v>
      </c>
      <c r="J32" t="b">
        <f t="shared" si="0"/>
        <v>1</v>
      </c>
      <c r="K32" s="1">
        <f>+'Case study 3'!H31</f>
        <v>543.55716331548547</v>
      </c>
      <c r="L32">
        <f>+'Case study 3'!I31</f>
        <v>1.8888457719640379E-2</v>
      </c>
      <c r="M32" s="1">
        <f t="shared" si="1"/>
        <v>4076.6787248661421</v>
      </c>
      <c r="N32">
        <f t="shared" si="2"/>
        <v>3.7776915439280759E-2</v>
      </c>
      <c r="O32" s="1">
        <f t="shared" si="3"/>
        <v>4076.6787248661421</v>
      </c>
      <c r="P32">
        <f t="shared" si="4"/>
        <v>3.7776915439280759E-2</v>
      </c>
    </row>
    <row r="33" spans="1:16" x14ac:dyDescent="0.25">
      <c r="A33" s="26">
        <f t="shared" si="10"/>
        <v>55</v>
      </c>
      <c r="B33" s="27">
        <v>86714.948905381447</v>
      </c>
      <c r="C33" s="27">
        <v>66218.668256491321</v>
      </c>
      <c r="D33" s="27">
        <v>102592.35791764523</v>
      </c>
      <c r="E33" s="27">
        <v>79737.284979461474</v>
      </c>
      <c r="H33">
        <f>+'Case study 3'!D32</f>
        <v>30</v>
      </c>
      <c r="I33">
        <f>+'Case study 3'!E32</f>
        <v>0.40594261636705425</v>
      </c>
      <c r="J33" t="b">
        <f t="shared" si="0"/>
        <v>1</v>
      </c>
      <c r="K33" s="1">
        <f>+'Case study 3'!H32</f>
        <v>527.72540127717048</v>
      </c>
      <c r="L33">
        <f>+'Case study 3'!I32</f>
        <v>1.8338308465670271E-2</v>
      </c>
      <c r="M33" s="1">
        <f t="shared" si="1"/>
        <v>3957.9405095787788</v>
      </c>
      <c r="N33">
        <f t="shared" si="2"/>
        <v>3.6676616931340542E-2</v>
      </c>
      <c r="O33" s="1">
        <f t="shared" si="3"/>
        <v>3957.9405095787788</v>
      </c>
      <c r="P33">
        <f t="shared" si="4"/>
        <v>3.6676616931340542E-2</v>
      </c>
    </row>
    <row r="34" spans="1:16" x14ac:dyDescent="0.25">
      <c r="A34" s="26">
        <f t="shared" si="10"/>
        <v>60</v>
      </c>
      <c r="B34" s="27">
        <v>83613.354027434529</v>
      </c>
      <c r="C34" s="27">
        <v>63454.377762666831</v>
      </c>
      <c r="D34" s="27">
        <v>99403.172338368779</v>
      </c>
      <c r="E34" s="27">
        <v>78135.853263273559</v>
      </c>
      <c r="H34">
        <f>+'Case study 3'!D33</f>
        <v>31</v>
      </c>
      <c r="I34">
        <f>+'Case study 3'!E33</f>
        <v>0.39411904501655753</v>
      </c>
      <c r="J34" t="b">
        <f t="shared" si="0"/>
        <v>1</v>
      </c>
      <c r="K34" s="1">
        <f>+'Case study 3'!H33</f>
        <v>512.35475852152467</v>
      </c>
      <c r="L34">
        <f>+'Case study 3'!I33</f>
        <v>1.7804182976378907E-2</v>
      </c>
      <c r="M34" s="1">
        <f t="shared" si="1"/>
        <v>3842.660688911436</v>
      </c>
      <c r="N34">
        <f t="shared" si="2"/>
        <v>3.5608365952757813E-2</v>
      </c>
      <c r="O34" s="1">
        <f t="shared" si="3"/>
        <v>3842.660688911436</v>
      </c>
      <c r="P34">
        <f t="shared" si="4"/>
        <v>3.5608365952757813E-2</v>
      </c>
    </row>
    <row r="35" spans="1:16" x14ac:dyDescent="0.25">
      <c r="A35" s="26">
        <f t="shared" si="10"/>
        <v>65</v>
      </c>
      <c r="B35" s="27">
        <v>81143.970138760254</v>
      </c>
      <c r="C35" s="27">
        <v>61277.928376347059</v>
      </c>
      <c r="D35" s="27">
        <v>96841.821962694172</v>
      </c>
      <c r="E35" s="27">
        <v>76833.168054253721</v>
      </c>
      <c r="H35">
        <f>+'Case study 3'!D34</f>
        <v>32</v>
      </c>
      <c r="I35">
        <f>+'Case study 3'!E34</f>
        <v>0.38263984953063834</v>
      </c>
      <c r="J35" t="b">
        <f t="shared" ref="J35:J66" si="11">H35&lt;=NextGen_TimeHorizon_v2</f>
        <v>1</v>
      </c>
      <c r="K35" s="1">
        <f>+'Case study 3'!H34</f>
        <v>497.43180438982978</v>
      </c>
      <c r="L35">
        <f>+'Case study 3'!I34</f>
        <v>1.7285614540173692E-2</v>
      </c>
      <c r="M35" s="1">
        <f t="shared" ref="M35:M66" si="12">+I35*IF(H35&lt;NextGen_Year_Generic_v2,NextGen_CostPerYear_v2,NextGen_CostPerYear_Gen_v2)</f>
        <v>3730.7385329237241</v>
      </c>
      <c r="N35">
        <f t="shared" ref="N35:N66" si="13">+NextGen_QALYPerYear_FH_v2*I35</f>
        <v>3.4571229080347383E-2</v>
      </c>
      <c r="O35" s="1">
        <f t="shared" ref="O35:O66" si="14">IF(H35&lt;NextGen_Year_Start_v2,K35,M35)*J35</f>
        <v>3730.7385329237241</v>
      </c>
      <c r="P35">
        <f t="shared" ref="P35:P66" si="15">IF(H35&lt;NextGen_Year_Start_v2,L35,N35)*J35</f>
        <v>3.4571229080347383E-2</v>
      </c>
    </row>
    <row r="36" spans="1:16" x14ac:dyDescent="0.25">
      <c r="A36" s="26">
        <f t="shared" si="10"/>
        <v>70</v>
      </c>
      <c r="B36" s="27">
        <v>79151.16380012258</v>
      </c>
      <c r="C36" s="27">
        <v>59537.047316715638</v>
      </c>
      <c r="D36" s="27">
        <v>94760.257783946683</v>
      </c>
      <c r="E36" s="27">
        <v>75763.47044426424</v>
      </c>
      <c r="H36">
        <f>+'Case study 3'!D35</f>
        <v>33</v>
      </c>
      <c r="I36">
        <f>+'Case study 3'!E35</f>
        <v>0.37149499954430909</v>
      </c>
      <c r="J36" t="b">
        <f t="shared" si="11"/>
        <v>1</v>
      </c>
      <c r="K36" s="1">
        <f>+'Case study 3'!H35</f>
        <v>482.94349940760173</v>
      </c>
      <c r="L36">
        <f>+'Case study 3'!I35</f>
        <v>1.6782150039003584E-2</v>
      </c>
      <c r="M36" s="1">
        <f t="shared" si="12"/>
        <v>3622.0762455570134</v>
      </c>
      <c r="N36">
        <f t="shared" si="13"/>
        <v>3.3564300078007168E-2</v>
      </c>
      <c r="O36" s="1">
        <f t="shared" si="14"/>
        <v>3622.0762455570134</v>
      </c>
      <c r="P36">
        <f t="shared" si="15"/>
        <v>3.3564300078007168E-2</v>
      </c>
    </row>
    <row r="37" spans="1:16" x14ac:dyDescent="0.25">
      <c r="H37">
        <f>+'Case study 3'!D36</f>
        <v>34</v>
      </c>
      <c r="I37">
        <f>+'Case study 3'!E36</f>
        <v>0.36067475683913502</v>
      </c>
      <c r="J37" t="b">
        <f t="shared" si="11"/>
        <v>1</v>
      </c>
      <c r="K37" s="1">
        <f>+'Case study 3'!H36</f>
        <v>468.87718389087547</v>
      </c>
      <c r="L37">
        <f>+'Case study 3'!I36</f>
        <v>1.6293349552430666E-2</v>
      </c>
      <c r="M37" s="1">
        <f t="shared" si="12"/>
        <v>3516.5788791815667</v>
      </c>
      <c r="N37">
        <f t="shared" si="13"/>
        <v>3.2586699104861332E-2</v>
      </c>
      <c r="O37" s="1">
        <f t="shared" si="14"/>
        <v>3516.5788791815667</v>
      </c>
      <c r="P37">
        <f t="shared" si="15"/>
        <v>3.2586699104861332E-2</v>
      </c>
    </row>
    <row r="38" spans="1:16" x14ac:dyDescent="0.25">
      <c r="H38">
        <f>+'Case study 3'!D37</f>
        <v>35</v>
      </c>
      <c r="I38">
        <f>+'Case study 3'!E37</f>
        <v>0.35016966683411171</v>
      </c>
      <c r="J38" t="b">
        <f t="shared" si="11"/>
        <v>1</v>
      </c>
      <c r="K38" s="1">
        <f>+'Case study 3'!H37</f>
        <v>455.22056688434515</v>
      </c>
      <c r="L38">
        <f>+'Case study 3'!I37</f>
        <v>1.5818785973233659E-2</v>
      </c>
      <c r="M38" s="1">
        <f t="shared" si="12"/>
        <v>455.22056688434515</v>
      </c>
      <c r="N38">
        <f t="shared" si="13"/>
        <v>3.1637571946467317E-2</v>
      </c>
      <c r="O38" s="1">
        <f t="shared" si="14"/>
        <v>455.22056688434515</v>
      </c>
      <c r="P38">
        <f t="shared" si="15"/>
        <v>3.1637571946467317E-2</v>
      </c>
    </row>
    <row r="39" spans="1:16" x14ac:dyDescent="0.25">
      <c r="A39" t="s">
        <v>56</v>
      </c>
      <c r="H39">
        <f>+'Case study 3'!D38</f>
        <v>36</v>
      </c>
      <c r="I39">
        <f>+'Case study 3'!E38</f>
        <v>0.33997055032438023</v>
      </c>
      <c r="J39" t="b">
        <f t="shared" si="11"/>
        <v>1</v>
      </c>
      <c r="K39" s="1">
        <f>+'Case study 3'!H38</f>
        <v>441.96171542169424</v>
      </c>
      <c r="L39">
        <f>+'Case study 3'!I38</f>
        <v>1.5358044634207431E-2</v>
      </c>
      <c r="M39" s="1">
        <f t="shared" si="12"/>
        <v>441.96171542169424</v>
      </c>
      <c r="N39">
        <f t="shared" si="13"/>
        <v>3.0716089268414862E-2</v>
      </c>
      <c r="O39" s="1">
        <f t="shared" si="14"/>
        <v>441.96171542169424</v>
      </c>
      <c r="P39">
        <f t="shared" si="15"/>
        <v>3.0716089268414862E-2</v>
      </c>
    </row>
    <row r="40" spans="1:16" x14ac:dyDescent="0.25">
      <c r="A40" s="25" t="s">
        <v>41</v>
      </c>
      <c r="B40" s="25" t="s">
        <v>45</v>
      </c>
      <c r="C40" s="25" t="s">
        <v>46</v>
      </c>
      <c r="D40" s="25" t="s">
        <v>47</v>
      </c>
      <c r="E40" s="25" t="s">
        <v>48</v>
      </c>
      <c r="H40">
        <f>+'Case study 3'!D39</f>
        <v>37</v>
      </c>
      <c r="I40">
        <f>+'Case study 3'!E39</f>
        <v>0.33006849546056333</v>
      </c>
      <c r="J40" t="b">
        <f t="shared" si="11"/>
        <v>1</v>
      </c>
      <c r="K40" s="1">
        <f>+'Case study 3'!H39</f>
        <v>429.08904409873224</v>
      </c>
      <c r="L40">
        <f>+'Case study 3'!I39</f>
        <v>1.4910722945832457E-2</v>
      </c>
      <c r="M40" s="1">
        <f t="shared" si="12"/>
        <v>429.08904409873224</v>
      </c>
      <c r="N40">
        <f t="shared" si="13"/>
        <v>2.9821445891664914E-2</v>
      </c>
      <c r="O40" s="1">
        <f t="shared" si="14"/>
        <v>429.08904409873224</v>
      </c>
      <c r="P40">
        <f t="shared" si="15"/>
        <v>2.9821445891664914E-2</v>
      </c>
    </row>
    <row r="41" spans="1:16" x14ac:dyDescent="0.25">
      <c r="A41" s="26">
        <v>15</v>
      </c>
      <c r="B41" s="27">
        <v>317656.15437063226</v>
      </c>
      <c r="C41" s="27">
        <v>317656.15437063226</v>
      </c>
      <c r="D41" s="27">
        <v>317656.15437063226</v>
      </c>
      <c r="E41" s="27">
        <v>317656.15437063226</v>
      </c>
      <c r="H41">
        <f>+'Case study 3'!D40</f>
        <v>38</v>
      </c>
      <c r="I41">
        <f>+'Case study 3'!E40</f>
        <v>0.32045484996171203</v>
      </c>
      <c r="J41" t="b">
        <f t="shared" si="11"/>
        <v>1</v>
      </c>
      <c r="K41" s="1">
        <f>+'Case study 3'!H40</f>
        <v>416.59130495022555</v>
      </c>
      <c r="L41">
        <f>+'Case study 3'!I40</f>
        <v>1.4476430044497534E-2</v>
      </c>
      <c r="M41" s="1">
        <f t="shared" si="12"/>
        <v>416.59130495022555</v>
      </c>
      <c r="N41">
        <f t="shared" si="13"/>
        <v>2.8952860088995069E-2</v>
      </c>
      <c r="O41" s="1">
        <f t="shared" si="14"/>
        <v>416.59130495022555</v>
      </c>
      <c r="P41">
        <f t="shared" si="15"/>
        <v>2.8952860088995069E-2</v>
      </c>
    </row>
    <row r="42" spans="1:16" x14ac:dyDescent="0.25">
      <c r="A42" s="26">
        <f>+A41+5</f>
        <v>20</v>
      </c>
      <c r="B42" s="27">
        <v>270470.16059313528</v>
      </c>
      <c r="C42" s="27">
        <v>261653.30448289911</v>
      </c>
      <c r="D42" s="27">
        <v>275105.23150528932</v>
      </c>
      <c r="E42" s="27">
        <v>271140.49929994141</v>
      </c>
      <c r="H42">
        <f>+'Case study 3'!D41</f>
        <v>39</v>
      </c>
      <c r="I42">
        <f>+'Case study 3'!E41</f>
        <v>0.31112121355506017</v>
      </c>
      <c r="J42" t="b">
        <f t="shared" si="11"/>
        <v>1</v>
      </c>
      <c r="K42" s="1">
        <f>+'Case study 3'!H41</f>
        <v>404.45757762157814</v>
      </c>
      <c r="L42">
        <f>+'Case study 3'!I41</f>
        <v>1.4054786450968478E-2</v>
      </c>
      <c r="M42" s="1">
        <f t="shared" si="12"/>
        <v>404.45757762157814</v>
      </c>
      <c r="N42">
        <f t="shared" si="13"/>
        <v>2.8109572901936955E-2</v>
      </c>
      <c r="O42" s="1">
        <f t="shared" si="14"/>
        <v>404.45757762157814</v>
      </c>
      <c r="P42">
        <f t="shared" si="15"/>
        <v>2.8109572901936955E-2</v>
      </c>
    </row>
    <row r="43" spans="1:16" x14ac:dyDescent="0.25">
      <c r="A43" s="26">
        <f t="shared" ref="A43:A44" si="16">+A42+5</f>
        <v>25</v>
      </c>
      <c r="B43" s="27">
        <v>244139.46912027412</v>
      </c>
      <c r="C43" s="27">
        <v>213469.46742964903</v>
      </c>
      <c r="D43" s="27">
        <v>263035.11625262181</v>
      </c>
      <c r="E43" s="27">
        <v>242946.93726118238</v>
      </c>
      <c r="H43">
        <f>+'Case study 3'!D42</f>
        <v>40</v>
      </c>
      <c r="I43">
        <f>+'Case study 3'!E42</f>
        <v>0.30205943063598073</v>
      </c>
      <c r="J43" t="b">
        <f t="shared" si="11"/>
        <v>1</v>
      </c>
      <c r="K43" s="1">
        <f>+'Case study 3'!H42</f>
        <v>392.6772598267749</v>
      </c>
      <c r="L43">
        <f>+'Case study 3'!I42</f>
        <v>1.3645423738804346E-2</v>
      </c>
      <c r="M43" s="1">
        <f t="shared" si="12"/>
        <v>392.6772598267749</v>
      </c>
      <c r="N43">
        <f t="shared" si="13"/>
        <v>2.7290847477608692E-2</v>
      </c>
      <c r="O43" s="1">
        <f t="shared" si="14"/>
        <v>392.6772598267749</v>
      </c>
      <c r="P43">
        <f t="shared" si="15"/>
        <v>2.7290847477608692E-2</v>
      </c>
    </row>
    <row r="44" spans="1:16" x14ac:dyDescent="0.25">
      <c r="A44" s="26">
        <f t="shared" si="16"/>
        <v>30</v>
      </c>
      <c r="B44" s="27">
        <v>229717.35962075551</v>
      </c>
      <c r="C44" s="27">
        <v>190809.12982643323</v>
      </c>
      <c r="D44" s="27">
        <v>255797.41283530105</v>
      </c>
      <c r="E44" s="27">
        <v>224202.65849793868</v>
      </c>
      <c r="H44">
        <f>+'Case study 3'!D43</f>
        <v>41</v>
      </c>
      <c r="I44">
        <f>+'Case study 3'!E43</f>
        <v>0.29326158314172884</v>
      </c>
      <c r="J44" t="b">
        <f t="shared" si="11"/>
        <v>1</v>
      </c>
      <c r="K44" s="1">
        <f>+'Case study 3'!H43</f>
        <v>381.24005808424744</v>
      </c>
      <c r="L44">
        <f>+'Case study 3'!I43</f>
        <v>1.3247984212431403E-2</v>
      </c>
      <c r="M44" s="1">
        <f t="shared" si="12"/>
        <v>381.24005808424744</v>
      </c>
      <c r="N44">
        <f t="shared" si="13"/>
        <v>2.6495968424862806E-2</v>
      </c>
      <c r="O44" s="1">
        <f t="shared" si="14"/>
        <v>381.24005808424744</v>
      </c>
      <c r="P44">
        <f t="shared" si="15"/>
        <v>2.6495968424862806E-2</v>
      </c>
    </row>
    <row r="45" spans="1:16" x14ac:dyDescent="0.25">
      <c r="A45" s="26">
        <v>34</v>
      </c>
      <c r="B45" s="27">
        <v>222214.94168672495</v>
      </c>
      <c r="C45" s="27">
        <v>179895.05236573392</v>
      </c>
      <c r="D45" s="27">
        <v>251836.97008864465</v>
      </c>
      <c r="E45" s="27">
        <v>213284.24499663184</v>
      </c>
      <c r="H45">
        <f>+'Case study 3'!D44</f>
        <v>42</v>
      </c>
      <c r="I45">
        <f>+'Case study 3'!E44</f>
        <v>0.28471998363274642</v>
      </c>
      <c r="J45" t="b">
        <f t="shared" si="11"/>
        <v>1</v>
      </c>
      <c r="K45" s="1">
        <f>+'Case study 3'!H44</f>
        <v>370.13597872257026</v>
      </c>
      <c r="L45">
        <f>+'Case study 3'!I44</f>
        <v>1.2862120594593594E-2</v>
      </c>
      <c r="M45" s="1">
        <f t="shared" si="12"/>
        <v>370.13597872257026</v>
      </c>
      <c r="N45">
        <f t="shared" si="13"/>
        <v>2.5724241189187189E-2</v>
      </c>
      <c r="O45" s="1">
        <f t="shared" si="14"/>
        <v>370.13597872257026</v>
      </c>
      <c r="P45">
        <f t="shared" si="15"/>
        <v>2.5724241189187189E-2</v>
      </c>
    </row>
    <row r="46" spans="1:16" x14ac:dyDescent="0.25">
      <c r="A46" s="26">
        <f>+A44+5</f>
        <v>35</v>
      </c>
      <c r="B46" s="27">
        <v>217684.09991482744</v>
      </c>
      <c r="C46" s="27">
        <v>175326.29530242222</v>
      </c>
      <c r="D46" s="27">
        <v>247592.55438880521</v>
      </c>
      <c r="E46" s="27">
        <v>210963.05809748088</v>
      </c>
      <c r="H46">
        <f>+'Case study 3'!D45</f>
        <v>43</v>
      </c>
      <c r="I46">
        <f>+'Case study 3'!E45</f>
        <v>0.27642716857548194</v>
      </c>
      <c r="J46" t="b">
        <f t="shared" si="11"/>
        <v>1</v>
      </c>
      <c r="K46" s="1">
        <f>+'Case study 3'!H45</f>
        <v>359.35531914812645</v>
      </c>
      <c r="L46">
        <f>+'Case study 3'!I45</f>
        <v>1.2487495722906401E-2</v>
      </c>
      <c r="M46" s="1">
        <f t="shared" si="12"/>
        <v>359.35531914812645</v>
      </c>
      <c r="N46">
        <f t="shared" si="13"/>
        <v>2.4974991445812802E-2</v>
      </c>
      <c r="O46" s="1">
        <f t="shared" si="14"/>
        <v>359.35531914812645</v>
      </c>
      <c r="P46">
        <f t="shared" si="15"/>
        <v>2.4974991445812802E-2</v>
      </c>
    </row>
    <row r="47" spans="1:16" x14ac:dyDescent="0.25">
      <c r="A47" s="26">
        <f t="shared" ref="A47:A53" si="17">+A46+5</f>
        <v>40</v>
      </c>
      <c r="B47" s="27">
        <v>199434.99697195503</v>
      </c>
      <c r="C47" s="27">
        <v>157387.85888574229</v>
      </c>
      <c r="D47" s="27">
        <v>230182.30943396498</v>
      </c>
      <c r="E47" s="27">
        <v>201206.82609855564</v>
      </c>
      <c r="H47">
        <f>+'Case study 3'!D46</f>
        <v>44</v>
      </c>
      <c r="I47">
        <f>+'Case study 3'!E46</f>
        <v>0.2683758918208563</v>
      </c>
      <c r="J47" t="b">
        <f t="shared" si="11"/>
        <v>1</v>
      </c>
      <c r="K47" s="1">
        <f>+'Case study 3'!H46</f>
        <v>348.88865936711312</v>
      </c>
      <c r="L47">
        <f>+'Case study 3'!I46</f>
        <v>1.2123782255248934E-2</v>
      </c>
      <c r="M47" s="1">
        <f t="shared" si="12"/>
        <v>348.88865936711312</v>
      </c>
      <c r="N47">
        <f t="shared" si="13"/>
        <v>2.4247564510497869E-2</v>
      </c>
      <c r="O47" s="1">
        <f t="shared" si="14"/>
        <v>348.88865936711312</v>
      </c>
      <c r="P47">
        <f t="shared" si="15"/>
        <v>2.4247564510497869E-2</v>
      </c>
    </row>
    <row r="48" spans="1:16" x14ac:dyDescent="0.25">
      <c r="A48" s="26">
        <f t="shared" si="17"/>
        <v>45</v>
      </c>
      <c r="B48" s="27">
        <v>186365.60032627813</v>
      </c>
      <c r="C48" s="27">
        <v>144979.3748669599</v>
      </c>
      <c r="D48" s="27">
        <v>217394.6481885589</v>
      </c>
      <c r="E48" s="27">
        <v>193790.77000651919</v>
      </c>
      <c r="H48">
        <f>+'Case study 3'!D47</f>
        <v>45</v>
      </c>
      <c r="I48">
        <f>+'Case study 3'!E47</f>
        <v>0.26055911827267597</v>
      </c>
      <c r="J48" t="b">
        <f t="shared" si="11"/>
        <v>1</v>
      </c>
      <c r="K48" s="1">
        <f>+'Case study 3'!H47</f>
        <v>338.72685375447873</v>
      </c>
      <c r="L48">
        <f>+'Case study 3'!I47</f>
        <v>1.1770662383736828E-2</v>
      </c>
      <c r="M48" s="1">
        <f t="shared" si="12"/>
        <v>338.72685375447873</v>
      </c>
      <c r="N48">
        <f t="shared" si="13"/>
        <v>2.3541324767473656E-2</v>
      </c>
      <c r="O48" s="1">
        <f t="shared" si="14"/>
        <v>338.72685375447873</v>
      </c>
      <c r="P48">
        <f t="shared" si="15"/>
        <v>2.3541324767473656E-2</v>
      </c>
    </row>
    <row r="49" spans="1:16" x14ac:dyDescent="0.25">
      <c r="A49" s="26">
        <f t="shared" si="17"/>
        <v>50</v>
      </c>
      <c r="B49" s="27">
        <v>176637.92450337877</v>
      </c>
      <c r="C49" s="27">
        <v>135970.64383240955</v>
      </c>
      <c r="D49" s="27">
        <v>207697.98242466265</v>
      </c>
      <c r="E49" s="27">
        <v>188019.453162322</v>
      </c>
      <c r="H49">
        <f>+'Case study 3'!D48</f>
        <v>46</v>
      </c>
      <c r="I49">
        <f>+'Case study 3'!E48</f>
        <v>0.25297001774046213</v>
      </c>
      <c r="J49" t="b">
        <f t="shared" si="11"/>
        <v>1</v>
      </c>
      <c r="K49" s="1">
        <f>+'Case study 3'!H48</f>
        <v>328.86102306260074</v>
      </c>
      <c r="L49">
        <f>+'Case study 3'!I48</f>
        <v>1.1427827557026047E-2</v>
      </c>
      <c r="M49" s="1">
        <f t="shared" si="12"/>
        <v>328.86102306260074</v>
      </c>
      <c r="N49">
        <f t="shared" si="13"/>
        <v>2.2855655114052093E-2</v>
      </c>
      <c r="O49" s="1">
        <f t="shared" si="14"/>
        <v>328.86102306260074</v>
      </c>
      <c r="P49">
        <f t="shared" si="15"/>
        <v>2.2855655114052093E-2</v>
      </c>
    </row>
    <row r="50" spans="1:16" x14ac:dyDescent="0.25">
      <c r="A50" s="26">
        <f t="shared" si="17"/>
        <v>55</v>
      </c>
      <c r="B50" s="27">
        <v>169187.8562345746</v>
      </c>
      <c r="C50" s="27">
        <v>129197.96028766352</v>
      </c>
      <c r="D50" s="27">
        <v>200165.96124707398</v>
      </c>
      <c r="E50" s="27">
        <v>183445.38706688708</v>
      </c>
      <c r="H50">
        <f>+'Case study 3'!D49</f>
        <v>47</v>
      </c>
      <c r="I50">
        <f>+'Case study 3'!E49</f>
        <v>0.24560195897132245</v>
      </c>
      <c r="J50" t="b">
        <f t="shared" si="11"/>
        <v>1</v>
      </c>
      <c r="K50" s="1">
        <f>+'Case study 3'!H49</f>
        <v>319.28254666271914</v>
      </c>
      <c r="L50">
        <f>+'Case study 3'!I49</f>
        <v>1.10949782107049E-2</v>
      </c>
      <c r="M50" s="1">
        <f t="shared" si="12"/>
        <v>319.28254666271914</v>
      </c>
      <c r="N50">
        <f t="shared" si="13"/>
        <v>2.21899564214098E-2</v>
      </c>
      <c r="O50" s="1">
        <f t="shared" si="14"/>
        <v>319.28254666271914</v>
      </c>
      <c r="P50">
        <f t="shared" si="15"/>
        <v>2.21899564214098E-2</v>
      </c>
    </row>
    <row r="51" spans="1:16" x14ac:dyDescent="0.25">
      <c r="A51" s="26">
        <f t="shared" si="17"/>
        <v>60</v>
      </c>
      <c r="B51" s="27">
        <v>163356.43520323632</v>
      </c>
      <c r="C51" s="27">
        <v>123971.59604370924</v>
      </c>
      <c r="D51" s="27">
        <v>194205.19688470988</v>
      </c>
      <c r="E51" s="27">
        <v>179767.49082247351</v>
      </c>
      <c r="H51">
        <f>+'Case study 3'!D50</f>
        <v>48</v>
      </c>
      <c r="I51">
        <f>+'Case study 3'!E50</f>
        <v>0.23844850385565286</v>
      </c>
      <c r="J51" t="b">
        <f t="shared" si="11"/>
        <v>1</v>
      </c>
      <c r="K51" s="1">
        <f>+'Case study 3'!H50</f>
        <v>309.98305501234864</v>
      </c>
      <c r="L51">
        <f>+'Case study 3'!I50</f>
        <v>1.0771823505538737E-2</v>
      </c>
      <c r="M51" s="1">
        <f t="shared" si="12"/>
        <v>309.98305501234864</v>
      </c>
      <c r="N51">
        <f t="shared" si="13"/>
        <v>2.1543647011077475E-2</v>
      </c>
      <c r="O51" s="1">
        <f t="shared" si="14"/>
        <v>309.98305501234864</v>
      </c>
      <c r="P51">
        <f t="shared" si="15"/>
        <v>2.1543647011077475E-2</v>
      </c>
    </row>
    <row r="52" spans="1:16" x14ac:dyDescent="0.25">
      <c r="A52" s="26">
        <f t="shared" si="17"/>
        <v>65</v>
      </c>
      <c r="B52" s="27">
        <v>158713.65698443967</v>
      </c>
      <c r="C52" s="27">
        <v>119856.64601336699</v>
      </c>
      <c r="D52" s="27">
        <v>189417.8912672321</v>
      </c>
      <c r="E52" s="27">
        <v>176775.70479158851</v>
      </c>
      <c r="H52">
        <f>+'Case study 3'!D51</f>
        <v>49</v>
      </c>
      <c r="I52">
        <f>+'Case study 3'!E51</f>
        <v>0.2315034018016047</v>
      </c>
      <c r="J52" t="b">
        <f t="shared" si="11"/>
        <v>1</v>
      </c>
      <c r="K52" s="1">
        <f>+'Case study 3'!H51</f>
        <v>300.95442234208605</v>
      </c>
      <c r="L52">
        <f>+'Case study 3'!I51</f>
        <v>1.0458081073338579E-2</v>
      </c>
      <c r="M52" s="1">
        <f t="shared" si="12"/>
        <v>300.95442234208605</v>
      </c>
      <c r="N52">
        <f t="shared" si="13"/>
        <v>2.0916162146677159E-2</v>
      </c>
      <c r="O52" s="1">
        <f t="shared" si="14"/>
        <v>300.95442234208605</v>
      </c>
      <c r="P52">
        <f t="shared" si="15"/>
        <v>2.0916162146677159E-2</v>
      </c>
    </row>
    <row r="53" spans="1:16" x14ac:dyDescent="0.25">
      <c r="A53" s="26">
        <f t="shared" si="17"/>
        <v>70</v>
      </c>
      <c r="B53" s="27">
        <v>154966.9095039278</v>
      </c>
      <c r="C53" s="27">
        <v>116565.21244538228</v>
      </c>
      <c r="D53" s="27">
        <v>185527.33260696533</v>
      </c>
      <c r="E53" s="27">
        <v>174319.00508802355</v>
      </c>
      <c r="H53">
        <f>+'Case study 3'!D52</f>
        <v>50</v>
      </c>
      <c r="I53">
        <f>+'Case study 3'!E52</f>
        <v>0.22476058427340265</v>
      </c>
      <c r="J53" t="b">
        <f t="shared" si="11"/>
        <v>1</v>
      </c>
      <c r="K53" s="1">
        <f>+'Case study 3'!H52</f>
        <v>292.18875955542342</v>
      </c>
      <c r="L53">
        <f>+'Case study 3'!I52</f>
        <v>1.0153476770231632E-2</v>
      </c>
      <c r="M53" s="1">
        <f t="shared" si="12"/>
        <v>292.18875955542342</v>
      </c>
      <c r="N53">
        <f t="shared" si="13"/>
        <v>2.0306953540463264E-2</v>
      </c>
      <c r="O53" s="1">
        <f t="shared" si="14"/>
        <v>292.18875955542342</v>
      </c>
      <c r="P53">
        <f t="shared" si="15"/>
        <v>2.0306953540463264E-2</v>
      </c>
    </row>
    <row r="54" spans="1:16" x14ac:dyDescent="0.25">
      <c r="H54">
        <f>+'Case study 3'!D53</f>
        <v>51</v>
      </c>
      <c r="I54">
        <f>+'Case study 3'!E53</f>
        <v>0.2182141594887404</v>
      </c>
      <c r="J54" t="b">
        <f t="shared" si="11"/>
        <v>1</v>
      </c>
      <c r="K54" s="1">
        <f>+'Case study 3'!H53</f>
        <v>283.67840733536246</v>
      </c>
      <c r="L54">
        <f>+'Case study 3'!I53</f>
        <v>9.8577444371180881E-3</v>
      </c>
      <c r="M54" s="1">
        <f t="shared" si="12"/>
        <v>283.67840733536246</v>
      </c>
      <c r="N54">
        <f t="shared" si="13"/>
        <v>1.9715488874236176E-2</v>
      </c>
      <c r="O54" s="1">
        <f t="shared" si="14"/>
        <v>283.67840733536246</v>
      </c>
      <c r="P54">
        <f t="shared" si="15"/>
        <v>1.9715488874236176E-2</v>
      </c>
    </row>
    <row r="55" spans="1:16" x14ac:dyDescent="0.25">
      <c r="A55" t="s">
        <v>57</v>
      </c>
      <c r="H55">
        <f>+'Case study 3'!D54</f>
        <v>52</v>
      </c>
      <c r="I55">
        <f>+'Case study 3'!E54</f>
        <v>0.21185840727062175</v>
      </c>
      <c r="J55" t="b">
        <f t="shared" si="11"/>
        <v>1</v>
      </c>
      <c r="K55" s="1">
        <f>+'Case study 3'!H54</f>
        <v>275.41592945180821</v>
      </c>
      <c r="L55">
        <f>+'Case study 3'!I54</f>
        <v>9.57062566710494E-3</v>
      </c>
      <c r="M55" s="1">
        <f t="shared" si="12"/>
        <v>275.41592945180821</v>
      </c>
      <c r="N55">
        <f t="shared" si="13"/>
        <v>1.914125133420988E-2</v>
      </c>
      <c r="O55" s="1">
        <f t="shared" si="14"/>
        <v>275.41592945180821</v>
      </c>
      <c r="P55">
        <f t="shared" si="15"/>
        <v>1.914125133420988E-2</v>
      </c>
    </row>
    <row r="56" spans="1:16" x14ac:dyDescent="0.25">
      <c r="A56" s="25" t="s">
        <v>41</v>
      </c>
      <c r="B56" s="25" t="s">
        <v>45</v>
      </c>
      <c r="C56" s="25" t="s">
        <v>46</v>
      </c>
      <c r="D56" s="25" t="s">
        <v>47</v>
      </c>
      <c r="E56" s="25" t="s">
        <v>48</v>
      </c>
      <c r="H56">
        <f>+'Case study 3'!D55</f>
        <v>53</v>
      </c>
      <c r="I56">
        <f>+'Case study 3'!E55</f>
        <v>0.20568777404914737</v>
      </c>
      <c r="J56" t="b">
        <f t="shared" si="11"/>
        <v>1</v>
      </c>
      <c r="K56" s="1">
        <f>+'Case study 3'!H55</f>
        <v>267.39410626389156</v>
      </c>
      <c r="L56">
        <f>+'Case study 3'!I55</f>
        <v>9.2918695797135353E-3</v>
      </c>
      <c r="M56" s="1">
        <f t="shared" si="12"/>
        <v>267.39410626389156</v>
      </c>
      <c r="N56">
        <f t="shared" si="13"/>
        <v>1.8583739159427071E-2</v>
      </c>
      <c r="O56" s="1">
        <f t="shared" si="14"/>
        <v>267.39410626389156</v>
      </c>
      <c r="P56">
        <f t="shared" si="15"/>
        <v>1.8583739159427071E-2</v>
      </c>
    </row>
    <row r="57" spans="1:16" x14ac:dyDescent="0.25">
      <c r="A57" s="26">
        <v>15</v>
      </c>
      <c r="B57" s="27">
        <v>317656.15437063226</v>
      </c>
      <c r="C57" s="27">
        <v>317656.15437063226</v>
      </c>
      <c r="D57" s="27">
        <v>317656.15437063226</v>
      </c>
      <c r="E57" s="27">
        <v>317656.15437063226</v>
      </c>
      <c r="H57">
        <f>+'Case study 3'!D56</f>
        <v>54</v>
      </c>
      <c r="I57">
        <f>+'Case study 3'!E56</f>
        <v>0.19969686800888092</v>
      </c>
      <c r="J57" t="b">
        <f t="shared" si="11"/>
        <v>1</v>
      </c>
      <c r="K57" s="1">
        <f>+'Case study 3'!H56</f>
        <v>259.60592841154516</v>
      </c>
      <c r="L57">
        <f>+'Case study 3'!I56</f>
        <v>9.0212326016636257E-3</v>
      </c>
      <c r="M57" s="1">
        <f t="shared" si="12"/>
        <v>259.60592841154516</v>
      </c>
      <c r="N57">
        <f t="shared" si="13"/>
        <v>1.8042465203327251E-2</v>
      </c>
      <c r="O57" s="1">
        <f t="shared" si="14"/>
        <v>259.60592841154516</v>
      </c>
      <c r="P57">
        <f t="shared" si="15"/>
        <v>1.8042465203327251E-2</v>
      </c>
    </row>
    <row r="58" spans="1:16" x14ac:dyDescent="0.25">
      <c r="A58" s="26">
        <f>+A57+5</f>
        <v>20</v>
      </c>
      <c r="B58" s="27">
        <v>275822.14460715692</v>
      </c>
      <c r="C58" s="27">
        <v>266830.8231405486</v>
      </c>
      <c r="D58" s="27">
        <v>280548.9329397144</v>
      </c>
      <c r="E58" s="27">
        <v>271140.49929994141</v>
      </c>
      <c r="H58">
        <f>+'Case study 3'!D57</f>
        <v>55</v>
      </c>
      <c r="I58">
        <f>+'Case study 3'!E57</f>
        <v>0.19388045437755425</v>
      </c>
      <c r="J58" t="b">
        <f t="shared" si="11"/>
        <v>1</v>
      </c>
      <c r="K58" s="1">
        <f>+'Case study 3'!H57</f>
        <v>252.04459069082048</v>
      </c>
      <c r="L58">
        <f>+'Case study 3'!I57</f>
        <v>8.7584782540423532E-3</v>
      </c>
      <c r="M58" s="1">
        <f t="shared" si="12"/>
        <v>252.04459069082048</v>
      </c>
      <c r="N58">
        <f t="shared" si="13"/>
        <v>1.7516956508084706E-2</v>
      </c>
      <c r="O58" s="1">
        <f t="shared" si="14"/>
        <v>252.04459069082048</v>
      </c>
      <c r="P58">
        <f t="shared" si="15"/>
        <v>1.7516956508084706E-2</v>
      </c>
    </row>
    <row r="59" spans="1:16" x14ac:dyDescent="0.25">
      <c r="A59" s="26">
        <f t="shared" ref="A59:A60" si="18">+A58+5</f>
        <v>25</v>
      </c>
      <c r="B59" s="27">
        <v>266958.92641525122</v>
      </c>
      <c r="C59" s="27">
        <v>233422.23218884727</v>
      </c>
      <c r="D59" s="27">
        <v>287620.7296482544</v>
      </c>
      <c r="E59" s="27">
        <v>242946.93726118238</v>
      </c>
      <c r="H59">
        <f>+'Case study 3'!D58</f>
        <v>56</v>
      </c>
      <c r="I59">
        <f>+'Case study 3'!E58</f>
        <v>0.18823345085199444</v>
      </c>
      <c r="J59" t="b">
        <f t="shared" si="11"/>
        <v>1</v>
      </c>
      <c r="K59" s="1">
        <f>+'Case study 3'!H58</f>
        <v>244.70348610759274</v>
      </c>
      <c r="L59">
        <f>+'Case study 3'!I58</f>
        <v>8.5033769456721881E-3</v>
      </c>
      <c r="M59" s="1">
        <f t="shared" si="12"/>
        <v>244.70348610759274</v>
      </c>
      <c r="N59">
        <f t="shared" si="13"/>
        <v>1.7006753891344376E-2</v>
      </c>
      <c r="O59" s="1">
        <f t="shared" si="14"/>
        <v>244.70348610759274</v>
      </c>
      <c r="P59">
        <f t="shared" si="15"/>
        <v>1.7006753891344376E-2</v>
      </c>
    </row>
    <row r="60" spans="1:16" x14ac:dyDescent="0.25">
      <c r="A60" s="26">
        <f t="shared" si="18"/>
        <v>30</v>
      </c>
      <c r="B60" s="27">
        <v>262104.27596243122</v>
      </c>
      <c r="C60" s="27">
        <v>217710.53307744936</v>
      </c>
      <c r="D60" s="27">
        <v>291861.24981998082</v>
      </c>
      <c r="E60" s="27">
        <v>224202.65849793868</v>
      </c>
      <c r="H60">
        <f>+'Case study 3'!D59</f>
        <v>57</v>
      </c>
      <c r="I60">
        <f>+'Case study 3'!E59</f>
        <v>0.18275092315727612</v>
      </c>
      <c r="J60" t="b">
        <f t="shared" si="11"/>
        <v>1</v>
      </c>
      <c r="K60" s="1">
        <f>+'Case study 3'!H59</f>
        <v>237.57620010445891</v>
      </c>
      <c r="L60">
        <f>+'Case study 3'!I59</f>
        <v>8.2557057724972679E-3</v>
      </c>
      <c r="M60" s="1">
        <f t="shared" si="12"/>
        <v>237.57620010445891</v>
      </c>
      <c r="N60">
        <f t="shared" si="13"/>
        <v>1.6511411544994536E-2</v>
      </c>
      <c r="O60" s="1">
        <f t="shared" si="14"/>
        <v>237.57620010445891</v>
      </c>
      <c r="P60">
        <f t="shared" si="15"/>
        <v>1.6511411544994536E-2</v>
      </c>
    </row>
    <row r="61" spans="1:16" x14ac:dyDescent="0.25">
      <c r="A61" s="26">
        <v>34</v>
      </c>
      <c r="B61" s="27">
        <v>259578.87448618375</v>
      </c>
      <c r="C61" s="27">
        <v>210143.18328136057</v>
      </c>
      <c r="D61" s="27">
        <v>294181.64572290948</v>
      </c>
      <c r="E61" s="27">
        <v>213284.24499663184</v>
      </c>
      <c r="H61">
        <f>+'Case study 3'!D60</f>
        <v>58</v>
      </c>
      <c r="I61">
        <f>+'Case study 3'!E60</f>
        <v>0.17742808073521951</v>
      </c>
      <c r="J61" t="b">
        <f t="shared" si="11"/>
        <v>1</v>
      </c>
      <c r="K61" s="1">
        <f>+'Case study 3'!H60</f>
        <v>230.65650495578532</v>
      </c>
      <c r="L61">
        <f>+'Case study 3'!I60</f>
        <v>8.0152483228128815E-3</v>
      </c>
      <c r="M61" s="1">
        <f t="shared" si="12"/>
        <v>230.65650495578532</v>
      </c>
      <c r="N61">
        <f t="shared" si="13"/>
        <v>1.6030496645625763E-2</v>
      </c>
      <c r="O61" s="1">
        <f t="shared" si="14"/>
        <v>230.65650495578532</v>
      </c>
      <c r="P61">
        <f t="shared" si="15"/>
        <v>1.6030496645625763E-2</v>
      </c>
    </row>
    <row r="62" spans="1:16" x14ac:dyDescent="0.25">
      <c r="A62" s="26">
        <f>+A60+5</f>
        <v>35</v>
      </c>
      <c r="B62" s="27">
        <v>254152.36766772519</v>
      </c>
      <c r="C62" s="27">
        <v>204698.42805678531</v>
      </c>
      <c r="D62" s="27">
        <v>289071.33749977977</v>
      </c>
      <c r="E62" s="27">
        <v>210963.05809748088</v>
      </c>
      <c r="H62">
        <f>+'Case study 3'!D61</f>
        <v>59</v>
      </c>
      <c r="I62">
        <f>+'Case study 3'!E61</f>
        <v>0.1722602725584656</v>
      </c>
      <c r="J62" t="b">
        <f t="shared" si="11"/>
        <v>1</v>
      </c>
      <c r="K62" s="1">
        <f>+'Case study 3'!H61</f>
        <v>223.93835432600525</v>
      </c>
      <c r="L62">
        <f>+'Case study 3'!I61</f>
        <v>7.781794488167848E-3</v>
      </c>
      <c r="M62" s="1">
        <f t="shared" si="12"/>
        <v>223.93835432600525</v>
      </c>
      <c r="N62">
        <f t="shared" si="13"/>
        <v>1.5563588976335696E-2</v>
      </c>
      <c r="O62" s="1">
        <f t="shared" si="14"/>
        <v>223.93835432600525</v>
      </c>
      <c r="P62">
        <f t="shared" si="15"/>
        <v>1.5563588976335696E-2</v>
      </c>
    </row>
    <row r="63" spans="1:16" x14ac:dyDescent="0.25">
      <c r="A63" s="26">
        <f t="shared" ref="A63:A69" si="19">+A62+5</f>
        <v>40</v>
      </c>
      <c r="B63" s="27">
        <v>232295.74884592596</v>
      </c>
      <c r="C63" s="27">
        <v>183320.53598527468</v>
      </c>
      <c r="D63" s="27">
        <v>268109.27245916956</v>
      </c>
      <c r="E63" s="27">
        <v>201206.82609855564</v>
      </c>
      <c r="H63">
        <f>+'Case study 3'!D62</f>
        <v>60</v>
      </c>
      <c r="I63">
        <f>+'Case study 3'!E62</f>
        <v>0.16724298306647142</v>
      </c>
      <c r="J63" t="b">
        <f t="shared" si="11"/>
        <v>1</v>
      </c>
      <c r="K63" s="1">
        <f>+'Case study 3'!H62</f>
        <v>217.41587798641282</v>
      </c>
      <c r="L63">
        <f>+'Case study 3'!I62</f>
        <v>7.5551402797746081E-3</v>
      </c>
      <c r="M63" s="1">
        <f t="shared" si="12"/>
        <v>217.41587798641282</v>
      </c>
      <c r="N63">
        <f t="shared" si="13"/>
        <v>1.5110280559549216E-2</v>
      </c>
      <c r="O63" s="1">
        <f t="shared" si="14"/>
        <v>217.41587798641282</v>
      </c>
      <c r="P63">
        <f t="shared" si="15"/>
        <v>1.5110280559549216E-2</v>
      </c>
    </row>
    <row r="64" spans="1:16" x14ac:dyDescent="0.25">
      <c r="A64" s="26">
        <f t="shared" si="19"/>
        <v>45</v>
      </c>
      <c r="B64" s="27">
        <v>216642.77008802874</v>
      </c>
      <c r="C64" s="27">
        <v>168532.89084369826</v>
      </c>
      <c r="D64" s="27">
        <v>252712.83275146913</v>
      </c>
      <c r="E64" s="27">
        <v>193790.77000651919</v>
      </c>
      <c r="H64">
        <f>+'Case study 3'!D63</f>
        <v>61</v>
      </c>
      <c r="I64">
        <f>+'Case study 3'!E63</f>
        <v>0.16237182821987517</v>
      </c>
      <c r="J64" t="b">
        <f t="shared" si="11"/>
        <v>1</v>
      </c>
      <c r="K64" s="1">
        <f>+'Case study 3'!H63</f>
        <v>211.08337668583769</v>
      </c>
      <c r="L64">
        <f>+'Case study 3'!I63</f>
        <v>7.3350876502666102E-3</v>
      </c>
      <c r="M64" s="1">
        <f t="shared" si="12"/>
        <v>211.08337668583769</v>
      </c>
      <c r="N64">
        <f t="shared" si="13"/>
        <v>1.467017530053322E-2</v>
      </c>
      <c r="O64" s="1">
        <f t="shared" si="14"/>
        <v>211.08337668583769</v>
      </c>
      <c r="P64">
        <f t="shared" si="15"/>
        <v>1.467017530053322E-2</v>
      </c>
    </row>
    <row r="65" spans="1:16" x14ac:dyDescent="0.25">
      <c r="A65" s="26">
        <f t="shared" si="19"/>
        <v>50</v>
      </c>
      <c r="B65" s="27">
        <v>204992.10960632082</v>
      </c>
      <c r="C65" s="27">
        <v>157796.85592491296</v>
      </c>
      <c r="D65" s="27">
        <v>241037.97470397546</v>
      </c>
      <c r="E65" s="27">
        <v>188019.453162322</v>
      </c>
      <c r="H65">
        <f>+'Case study 3'!D64</f>
        <v>62</v>
      </c>
      <c r="I65">
        <f>+'Case study 3'!E64</f>
        <v>0.15764255166978172</v>
      </c>
      <c r="J65" t="b">
        <f t="shared" si="11"/>
        <v>1</v>
      </c>
      <c r="K65" s="1">
        <f>+'Case study 3'!H64</f>
        <v>204.93531717071619</v>
      </c>
      <c r="L65">
        <f>+'Case study 3'!I64</f>
        <v>7.1214443206471948E-3</v>
      </c>
      <c r="M65" s="1">
        <f t="shared" si="12"/>
        <v>204.93531717071619</v>
      </c>
      <c r="N65">
        <f t="shared" si="13"/>
        <v>1.424288864129439E-2</v>
      </c>
      <c r="O65" s="1">
        <f t="shared" si="14"/>
        <v>204.93531717071619</v>
      </c>
      <c r="P65">
        <f t="shared" si="15"/>
        <v>1.424288864129439E-2</v>
      </c>
    </row>
    <row r="66" spans="1:16" x14ac:dyDescent="0.25">
      <c r="A66" s="26">
        <f t="shared" si="19"/>
        <v>55</v>
      </c>
      <c r="B66" s="27">
        <v>196069.29828472473</v>
      </c>
      <c r="C66" s="27">
        <v>149725.60074464267</v>
      </c>
      <c r="D66" s="27">
        <v>231969.36491580744</v>
      </c>
      <c r="E66" s="27">
        <v>183445.38706688708</v>
      </c>
      <c r="H66">
        <f>+'Case study 3'!D65</f>
        <v>63</v>
      </c>
      <c r="I66">
        <f>+'Case study 3'!E65</f>
        <v>0.15305102103862303</v>
      </c>
      <c r="J66" t="b">
        <f t="shared" si="11"/>
        <v>1</v>
      </c>
      <c r="K66" s="1">
        <f>+'Case study 3'!H65</f>
        <v>198.96632735020989</v>
      </c>
      <c r="L66">
        <f>+'Case study 3'!I65</f>
        <v>6.9140236122788301E-3</v>
      </c>
      <c r="M66" s="1">
        <f t="shared" si="12"/>
        <v>198.96632735020989</v>
      </c>
      <c r="N66">
        <f t="shared" si="13"/>
        <v>1.382804722455766E-2</v>
      </c>
      <c r="O66" s="1">
        <f t="shared" si="14"/>
        <v>198.96632735020989</v>
      </c>
      <c r="P66">
        <f t="shared" si="15"/>
        <v>1.382804722455766E-2</v>
      </c>
    </row>
    <row r="67" spans="1:16" x14ac:dyDescent="0.25">
      <c r="A67" s="26">
        <f t="shared" si="19"/>
        <v>60</v>
      </c>
      <c r="B67" s="27">
        <v>189085.11133206333</v>
      </c>
      <c r="C67" s="27">
        <v>143497.15094342327</v>
      </c>
      <c r="D67" s="27">
        <v>224792.56007591396</v>
      </c>
      <c r="E67" s="27">
        <v>179767.49082247351</v>
      </c>
      <c r="H67">
        <f>+'Case study 3'!D66</f>
        <v>64</v>
      </c>
      <c r="I67">
        <f>+'Case study 3'!E66</f>
        <v>0.14859322430934271</v>
      </c>
      <c r="J67" t="b">
        <f t="shared" ref="J67:J103" si="20">H67&lt;=NextGen_TimeHorizon_v2</f>
        <v>1</v>
      </c>
      <c r="K67" s="1">
        <f>+'Case study 3'!H66</f>
        <v>193.17119160214548</v>
      </c>
      <c r="L67">
        <f>+'Case study 3'!I66</f>
        <v>6.7126442837658522E-3</v>
      </c>
      <c r="M67" s="1">
        <f t="shared" ref="M67:M103" si="21">+I67*IF(H67&lt;NextGen_Year_Generic_v2,NextGen_CostPerYear_v2,NextGen_CostPerYear_Gen_v2)</f>
        <v>193.17119160214548</v>
      </c>
      <c r="N67">
        <f t="shared" ref="N67:N103" si="22">+NextGen_QALYPerYear_FH_v2*I67</f>
        <v>1.3425288567531704E-2</v>
      </c>
      <c r="O67" s="1">
        <f t="shared" ref="O67:O103" si="23">IF(H67&lt;NextGen_Year_Start_v2,K67,M67)*J67</f>
        <v>193.17119160214548</v>
      </c>
      <c r="P67">
        <f t="shared" ref="P67:P103" si="24">IF(H67&lt;NextGen_Year_Start_v2,L67,N67)*J67</f>
        <v>1.3425288567531704E-2</v>
      </c>
    </row>
    <row r="68" spans="1:16" x14ac:dyDescent="0.25">
      <c r="A68" s="26">
        <f t="shared" si="19"/>
        <v>65</v>
      </c>
      <c r="B68" s="27">
        <v>183524.54026618399</v>
      </c>
      <c r="C68" s="27">
        <v>138593.21419080204</v>
      </c>
      <c r="D68" s="27">
        <v>219028.60833467505</v>
      </c>
      <c r="E68" s="27">
        <v>176775.70479158851</v>
      </c>
      <c r="H68">
        <f>+'Case study 3'!D67</f>
        <v>65</v>
      </c>
      <c r="I68">
        <f>+'Case study 3'!E67</f>
        <v>0.1442652663197502</v>
      </c>
      <c r="J68" t="b">
        <f t="shared" si="20"/>
        <v>1</v>
      </c>
      <c r="K68" s="1">
        <f>+'Case study 3'!H67</f>
        <v>187.54484621567522</v>
      </c>
      <c r="L68">
        <f>+'Case study 3'!I67</f>
        <v>6.5171303725882063E-3</v>
      </c>
      <c r="M68" s="1">
        <f t="shared" si="21"/>
        <v>187.54484621567522</v>
      </c>
      <c r="N68">
        <f t="shared" si="22"/>
        <v>1.3034260745176413E-2</v>
      </c>
      <c r="O68" s="1">
        <f t="shared" si="23"/>
        <v>187.54484621567522</v>
      </c>
      <c r="P68">
        <f t="shared" si="24"/>
        <v>1.3034260745176413E-2</v>
      </c>
    </row>
    <row r="69" spans="1:16" x14ac:dyDescent="0.25">
      <c r="A69" s="26">
        <f t="shared" si="19"/>
        <v>70</v>
      </c>
      <c r="B69" s="27">
        <v>179037.12892550384</v>
      </c>
      <c r="C69" s="27">
        <v>134670.69218595789</v>
      </c>
      <c r="D69" s="27">
        <v>214344.34663173163</v>
      </c>
      <c r="E69" s="27">
        <v>174319.00508802355</v>
      </c>
      <c r="H69">
        <f>+'Case study 3'!D68</f>
        <v>66</v>
      </c>
      <c r="I69">
        <f>+'Case study 3'!E68</f>
        <v>0.14006336535898078</v>
      </c>
      <c r="J69" t="b">
        <f t="shared" si="20"/>
        <v>1</v>
      </c>
      <c r="K69" s="1">
        <f>+'Case study 3'!H68</f>
        <v>182.08237496667499</v>
      </c>
      <c r="L69">
        <f>+'Case study 3'!I68</f>
        <v>6.3273110413477728E-3</v>
      </c>
      <c r="M69" s="1">
        <f t="shared" si="21"/>
        <v>182.08237496667499</v>
      </c>
      <c r="N69">
        <f t="shared" si="22"/>
        <v>1.2654622082695546E-2</v>
      </c>
      <c r="O69" s="1">
        <f t="shared" si="23"/>
        <v>182.08237496667499</v>
      </c>
      <c r="P69">
        <f t="shared" si="24"/>
        <v>1.2654622082695546E-2</v>
      </c>
    </row>
    <row r="70" spans="1:16" x14ac:dyDescent="0.25">
      <c r="H70">
        <f>+'Case study 3'!D69</f>
        <v>67</v>
      </c>
      <c r="I70">
        <f>+'Case study 3'!E69</f>
        <v>0.13598384986308815</v>
      </c>
      <c r="J70" t="b">
        <f t="shared" si="20"/>
        <v>1</v>
      </c>
      <c r="K70" s="1">
        <f>+'Case study 3'!H69</f>
        <v>176.77900482201457</v>
      </c>
      <c r="L70">
        <f>+'Case study 3'!I69</f>
        <v>6.1430204284929841E-3</v>
      </c>
      <c r="M70" s="1">
        <f t="shared" si="21"/>
        <v>176.77900482201457</v>
      </c>
      <c r="N70">
        <f t="shared" si="22"/>
        <v>1.2286040856985968E-2</v>
      </c>
      <c r="O70" s="1">
        <f t="shared" si="23"/>
        <v>176.77900482201457</v>
      </c>
      <c r="P70">
        <f t="shared" si="24"/>
        <v>1.2286040856985968E-2</v>
      </c>
    </row>
    <row r="71" spans="1:16" x14ac:dyDescent="0.25">
      <c r="H71">
        <f>+'Case study 3'!D70</f>
        <v>68</v>
      </c>
      <c r="I71">
        <f>+'Case study 3'!E70</f>
        <v>0.13202315520688171</v>
      </c>
      <c r="J71" t="b">
        <f t="shared" si="20"/>
        <v>1</v>
      </c>
      <c r="K71" s="1">
        <f>+'Case study 3'!H70</f>
        <v>171.63010176894619</v>
      </c>
      <c r="L71">
        <f>+'Case study 3'!I70</f>
        <v>5.9640975033912469E-3</v>
      </c>
      <c r="M71" s="1">
        <f t="shared" si="21"/>
        <v>171.63010176894619</v>
      </c>
      <c r="N71">
        <f t="shared" si="22"/>
        <v>1.1928195006782494E-2</v>
      </c>
      <c r="O71" s="1">
        <f t="shared" si="23"/>
        <v>171.63010176894619</v>
      </c>
      <c r="P71">
        <f t="shared" si="24"/>
        <v>1.1928195006782494E-2</v>
      </c>
    </row>
    <row r="72" spans="1:16" x14ac:dyDescent="0.25">
      <c r="H72">
        <f>+'Case study 3'!D71</f>
        <v>69</v>
      </c>
      <c r="I72">
        <f>+'Case study 3'!E71</f>
        <v>0.12817782058920552</v>
      </c>
      <c r="J72" t="b">
        <f t="shared" si="20"/>
        <v>1</v>
      </c>
      <c r="K72" s="1">
        <f>+'Case study 3'!H71</f>
        <v>166.63116676596715</v>
      </c>
      <c r="L72">
        <f>+'Case study 3'!I71</f>
        <v>5.7903859256225685E-3</v>
      </c>
      <c r="M72" s="1">
        <f t="shared" si="21"/>
        <v>166.63116676596715</v>
      </c>
      <c r="N72">
        <f t="shared" si="22"/>
        <v>1.1580771851245137E-2</v>
      </c>
      <c r="O72" s="1">
        <f t="shared" si="23"/>
        <v>166.63116676596715</v>
      </c>
      <c r="P72">
        <f t="shared" si="24"/>
        <v>1.1580771851245137E-2</v>
      </c>
    </row>
    <row r="73" spans="1:16" x14ac:dyDescent="0.25">
      <c r="H73">
        <f>+'Case study 3'!D72</f>
        <v>70</v>
      </c>
      <c r="I73">
        <f>+'Case study 3'!E72</f>
        <v>0.12444448600893739</v>
      </c>
      <c r="J73" t="b">
        <f t="shared" si="20"/>
        <v>1</v>
      </c>
      <c r="K73" s="1">
        <f>+'Case study 3'!H72</f>
        <v>161.77783181161857</v>
      </c>
      <c r="L73">
        <f>+'Case study 3'!I72</f>
        <v>5.6217339083714252E-3</v>
      </c>
      <c r="M73" s="1">
        <f t="shared" si="21"/>
        <v>161.77783181161857</v>
      </c>
      <c r="N73">
        <f t="shared" si="22"/>
        <v>1.124346781674285E-2</v>
      </c>
      <c r="O73" s="1">
        <f t="shared" si="23"/>
        <v>161.77783181161857</v>
      </c>
      <c r="P73">
        <f t="shared" si="24"/>
        <v>1.124346781674285E-2</v>
      </c>
    </row>
    <row r="74" spans="1:16" x14ac:dyDescent="0.25">
      <c r="H74">
        <f>+'Case study 3'!D73</f>
        <v>71</v>
      </c>
      <c r="I74">
        <f>+'Case study 3'!E73</f>
        <v>0.1208198893290654</v>
      </c>
      <c r="J74" t="b">
        <f t="shared" si="20"/>
        <v>0</v>
      </c>
      <c r="K74" s="1">
        <f>+'Case study 3'!H73</f>
        <v>0</v>
      </c>
      <c r="L74">
        <f>+'Case study 3'!I73</f>
        <v>0</v>
      </c>
      <c r="M74" s="1">
        <f t="shared" si="21"/>
        <v>157.065856127785</v>
      </c>
      <c r="N74">
        <f t="shared" si="22"/>
        <v>1.0915988171594998E-2</v>
      </c>
      <c r="O74" s="1">
        <f t="shared" si="23"/>
        <v>0</v>
      </c>
      <c r="P74">
        <f t="shared" si="24"/>
        <v>0</v>
      </c>
    </row>
    <row r="75" spans="1:16" x14ac:dyDescent="0.25">
      <c r="H75">
        <f>+'Case study 3'!D74</f>
        <v>72</v>
      </c>
      <c r="I75">
        <f>+'Case study 3'!E74</f>
        <v>0.11730086342627709</v>
      </c>
      <c r="J75" t="b">
        <f t="shared" si="20"/>
        <v>0</v>
      </c>
      <c r="K75" s="1">
        <f>+'Case study 3'!H74</f>
        <v>0</v>
      </c>
      <c r="L75">
        <f>+'Case study 3'!I74</f>
        <v>0</v>
      </c>
      <c r="M75" s="1">
        <f t="shared" si="21"/>
        <v>152.49112245416018</v>
      </c>
      <c r="N75">
        <f t="shared" si="22"/>
        <v>1.0598046768538835E-2</v>
      </c>
      <c r="O75" s="1">
        <f t="shared" si="23"/>
        <v>0</v>
      </c>
      <c r="P75">
        <f t="shared" si="24"/>
        <v>0</v>
      </c>
    </row>
    <row r="76" spans="1:16" x14ac:dyDescent="0.25">
      <c r="H76">
        <f>+'Case study 3'!D75</f>
        <v>73</v>
      </c>
      <c r="I76">
        <f>+'Case study 3'!E75</f>
        <v>0.11388433342357003</v>
      </c>
      <c r="J76" t="b">
        <f t="shared" si="20"/>
        <v>0</v>
      </c>
      <c r="K76" s="1">
        <f>+'Case study 3'!H75</f>
        <v>0</v>
      </c>
      <c r="L76">
        <f>+'Case study 3'!I75</f>
        <v>0</v>
      </c>
      <c r="M76" s="1">
        <f t="shared" si="21"/>
        <v>148.04963345064101</v>
      </c>
      <c r="N76">
        <f t="shared" si="22"/>
        <v>1.0289365794697901E-2</v>
      </c>
      <c r="O76" s="1">
        <f t="shared" si="23"/>
        <v>0</v>
      </c>
      <c r="P76">
        <f t="shared" si="24"/>
        <v>0</v>
      </c>
    </row>
    <row r="77" spans="1:16" x14ac:dyDescent="0.25">
      <c r="H77">
        <f>+'Case study 3'!D76</f>
        <v>74</v>
      </c>
      <c r="I77">
        <f>+'Case study 3'!E76</f>
        <v>0.11056731400346605</v>
      </c>
      <c r="J77" t="b">
        <f t="shared" si="20"/>
        <v>0</v>
      </c>
      <c r="K77" s="1">
        <f>+'Case study 3'!H76</f>
        <v>0</v>
      </c>
      <c r="L77">
        <f>+'Case study 3'!I76</f>
        <v>0</v>
      </c>
      <c r="M77" s="1">
        <f t="shared" si="21"/>
        <v>143.73750820450584</v>
      </c>
      <c r="N77">
        <f t="shared" si="22"/>
        <v>9.9896755288329132E-3</v>
      </c>
      <c r="O77" s="1">
        <f t="shared" si="23"/>
        <v>0</v>
      </c>
      <c r="P77">
        <f t="shared" si="24"/>
        <v>0</v>
      </c>
    </row>
    <row r="78" spans="1:16" x14ac:dyDescent="0.25">
      <c r="H78">
        <f>+'Case study 3'!D77</f>
        <v>75</v>
      </c>
      <c r="I78">
        <f>+'Case study 3'!E77</f>
        <v>0.10734690679948158</v>
      </c>
      <c r="J78" t="b">
        <f t="shared" si="20"/>
        <v>0</v>
      </c>
      <c r="K78" s="1">
        <f>+'Case study 3'!H77</f>
        <v>0</v>
      </c>
      <c r="L78">
        <f>+'Case study 3'!I77</f>
        <v>0</v>
      </c>
      <c r="M78" s="1">
        <f t="shared" si="21"/>
        <v>139.55097883932604</v>
      </c>
      <c r="N78">
        <f t="shared" si="22"/>
        <v>9.6987141056630206E-3</v>
      </c>
      <c r="O78" s="1">
        <f t="shared" si="23"/>
        <v>0</v>
      </c>
      <c r="P78">
        <f t="shared" si="24"/>
        <v>0</v>
      </c>
    </row>
    <row r="79" spans="1:16" x14ac:dyDescent="0.25">
      <c r="H79">
        <f>+'Case study 3'!D78</f>
        <v>76</v>
      </c>
      <c r="I79">
        <f>+'Case study 3'!E78</f>
        <v>0.10422029786357433</v>
      </c>
      <c r="J79" t="b">
        <f t="shared" si="20"/>
        <v>0</v>
      </c>
      <c r="K79" s="1">
        <f>+'Case study 3'!H78</f>
        <v>0</v>
      </c>
      <c r="L79">
        <f>+'Case study 3'!I78</f>
        <v>0</v>
      </c>
      <c r="M79" s="1">
        <f t="shared" si="21"/>
        <v>135.48638722264661</v>
      </c>
      <c r="N79">
        <f t="shared" si="22"/>
        <v>9.4162272870514756E-3</v>
      </c>
      <c r="O79" s="1">
        <f t="shared" si="23"/>
        <v>0</v>
      </c>
      <c r="P79">
        <f t="shared" si="24"/>
        <v>0</v>
      </c>
    </row>
    <row r="80" spans="1:16" x14ac:dyDescent="0.25">
      <c r="H80">
        <f>+'Case study 3'!D79</f>
        <v>77</v>
      </c>
      <c r="I80">
        <f>+'Case study 3'!E79</f>
        <v>0.1011847552073537</v>
      </c>
      <c r="J80" t="b">
        <f t="shared" si="20"/>
        <v>0</v>
      </c>
      <c r="K80" s="1">
        <f>+'Case study 3'!H79</f>
        <v>0</v>
      </c>
      <c r="L80">
        <f>+'Case study 3'!I79</f>
        <v>0</v>
      </c>
      <c r="M80" s="1">
        <f t="shared" si="21"/>
        <v>131.54018176955978</v>
      </c>
      <c r="N80">
        <f t="shared" si="22"/>
        <v>9.1419682398558005E-3</v>
      </c>
      <c r="O80" s="1">
        <f t="shared" si="23"/>
        <v>0</v>
      </c>
      <c r="P80">
        <f t="shared" si="24"/>
        <v>0</v>
      </c>
    </row>
    <row r="81" spans="8:16" x14ac:dyDescent="0.25">
      <c r="H81">
        <f>+'Case study 3'!D80</f>
        <v>78</v>
      </c>
      <c r="I81">
        <f>+'Case study 3'!E80</f>
        <v>9.8237626414906506E-2</v>
      </c>
      <c r="J81" t="b">
        <f t="shared" si="20"/>
        <v>0</v>
      </c>
      <c r="K81" s="1">
        <f>+'Case study 3'!H80</f>
        <v>0</v>
      </c>
      <c r="L81">
        <f>+'Case study 3'!I80</f>
        <v>0</v>
      </c>
      <c r="M81" s="1">
        <f t="shared" si="21"/>
        <v>127.70891433937844</v>
      </c>
      <c r="N81">
        <f t="shared" si="22"/>
        <v>8.8756973202483488E-3</v>
      </c>
      <c r="O81" s="1">
        <f t="shared" si="23"/>
        <v>0</v>
      </c>
      <c r="P81">
        <f t="shared" si="24"/>
        <v>0</v>
      </c>
    </row>
    <row r="82" spans="8:16" x14ac:dyDescent="0.25">
      <c r="H82">
        <f>+'Case study 3'!D81</f>
        <v>79</v>
      </c>
      <c r="I82">
        <f>+'Case study 3'!E81</f>
        <v>9.5376336325151981E-2</v>
      </c>
      <c r="J82" t="b">
        <f t="shared" si="20"/>
        <v>0</v>
      </c>
      <c r="K82" s="1">
        <f>+'Case study 3'!H81</f>
        <v>0</v>
      </c>
      <c r="L82">
        <f>+'Case study 3'!I81</f>
        <v>0</v>
      </c>
      <c r="M82" s="1">
        <f t="shared" si="21"/>
        <v>123.98923722269755</v>
      </c>
      <c r="N82">
        <f t="shared" si="22"/>
        <v>8.6171818643187882E-3</v>
      </c>
      <c r="O82" s="1">
        <f t="shared" si="23"/>
        <v>0</v>
      </c>
      <c r="P82">
        <f t="shared" si="24"/>
        <v>0</v>
      </c>
    </row>
    <row r="83" spans="8:16" x14ac:dyDescent="0.25">
      <c r="H83">
        <f>+'Case study 3'!D82</f>
        <v>80</v>
      </c>
      <c r="I83">
        <f>+'Case study 3'!E82</f>
        <v>9.2598384781700946E-2</v>
      </c>
      <c r="J83" t="b">
        <f t="shared" si="20"/>
        <v>0</v>
      </c>
      <c r="K83" s="1">
        <f>+'Case study 3'!H82</f>
        <v>0</v>
      </c>
      <c r="L83">
        <f>+'Case study 3'!I82</f>
        <v>0</v>
      </c>
      <c r="M83" s="1">
        <f t="shared" si="21"/>
        <v>120.3779002162112</v>
      </c>
      <c r="N83">
        <f t="shared" si="22"/>
        <v>8.3661959847755214E-3</v>
      </c>
      <c r="O83" s="1">
        <f t="shared" si="23"/>
        <v>0</v>
      </c>
      <c r="P83">
        <f t="shared" si="24"/>
        <v>0</v>
      </c>
    </row>
    <row r="84" spans="8:16" x14ac:dyDescent="0.25">
      <c r="H84">
        <f>+'Case study 3'!D83</f>
        <v>81</v>
      </c>
      <c r="I84">
        <f>+'Case study 3'!E83</f>
        <v>8.9901344448253345E-2</v>
      </c>
      <c r="J84" t="b">
        <f t="shared" si="20"/>
        <v>0</v>
      </c>
      <c r="K84" s="1">
        <f>+'Case study 3'!H83</f>
        <v>0</v>
      </c>
      <c r="L84">
        <f>+'Case study 3'!I83</f>
        <v>0</v>
      </c>
      <c r="M84" s="1">
        <f t="shared" si="21"/>
        <v>116.87174778272933</v>
      </c>
      <c r="N84">
        <f t="shared" si="22"/>
        <v>8.122520373568469E-3</v>
      </c>
      <c r="O84" s="1">
        <f t="shared" si="23"/>
        <v>0</v>
      </c>
      <c r="P84">
        <f t="shared" si="24"/>
        <v>0</v>
      </c>
    </row>
    <row r="85" spans="8:16" x14ac:dyDescent="0.25">
      <c r="H85">
        <f>+'Case study 3'!D84</f>
        <v>82</v>
      </c>
      <c r="I85">
        <f>+'Case study 3'!E84</f>
        <v>8.7282858687624601E-2</v>
      </c>
      <c r="J85" t="b">
        <f t="shared" si="20"/>
        <v>0</v>
      </c>
      <c r="K85" s="1">
        <f>+'Case study 3'!H84</f>
        <v>0</v>
      </c>
      <c r="L85">
        <f>+'Case study 3'!I84</f>
        <v>0</v>
      </c>
      <c r="M85" s="1">
        <f t="shared" si="21"/>
        <v>113.46771629391196</v>
      </c>
      <c r="N85">
        <f t="shared" si="22"/>
        <v>7.8859421102606478E-3</v>
      </c>
      <c r="O85" s="1">
        <f t="shared" si="23"/>
        <v>0</v>
      </c>
      <c r="P85">
        <f t="shared" si="24"/>
        <v>0</v>
      </c>
    </row>
    <row r="86" spans="8:16" x14ac:dyDescent="0.25">
      <c r="H86">
        <f>+'Case study 3'!D85</f>
        <v>83</v>
      </c>
      <c r="I86">
        <f>+'Case study 3'!E85</f>
        <v>8.4740639502548135E-2</v>
      </c>
      <c r="J86" t="b">
        <f t="shared" si="20"/>
        <v>0</v>
      </c>
      <c r="K86" s="1">
        <f>+'Case study 3'!H85</f>
        <v>0</v>
      </c>
      <c r="L86">
        <f>+'Case study 3'!I85</f>
        <v>0</v>
      </c>
      <c r="M86" s="1">
        <f t="shared" si="21"/>
        <v>110.16283135331255</v>
      </c>
      <c r="N86">
        <f t="shared" si="22"/>
        <v>7.6562544759812097E-3</v>
      </c>
      <c r="O86" s="1">
        <f t="shared" si="23"/>
        <v>0</v>
      </c>
      <c r="P86">
        <f t="shared" si="24"/>
        <v>0</v>
      </c>
    </row>
    <row r="87" spans="8:16" x14ac:dyDescent="0.25">
      <c r="H87">
        <f>+'Case study 3'!D86</f>
        <v>84</v>
      </c>
      <c r="I87">
        <f>+'Case study 3'!E86</f>
        <v>8.2272465536454495E-2</v>
      </c>
      <c r="J87" t="b">
        <f t="shared" si="20"/>
        <v>0</v>
      </c>
      <c r="K87" s="1">
        <f>+'Case study 3'!H86</f>
        <v>0</v>
      </c>
      <c r="L87">
        <f>+'Case study 3'!I86</f>
        <v>0</v>
      </c>
      <c r="M87" s="1">
        <f t="shared" si="21"/>
        <v>106.95420519739082</v>
      </c>
      <c r="N87">
        <f t="shared" si="22"/>
        <v>7.4332567727972906E-3</v>
      </c>
      <c r="O87" s="1">
        <f t="shared" si="23"/>
        <v>0</v>
      </c>
      <c r="P87">
        <f t="shared" si="24"/>
        <v>0</v>
      </c>
    </row>
    <row r="88" spans="8:16" x14ac:dyDescent="0.25">
      <c r="H88">
        <f>+'Case study 3'!D87</f>
        <v>85</v>
      </c>
      <c r="I88">
        <f>+'Case study 3'!E87</f>
        <v>7.9876180132480115E-2</v>
      </c>
      <c r="J88" t="b">
        <f t="shared" si="20"/>
        <v>0</v>
      </c>
      <c r="K88" s="1">
        <f>+'Case study 3'!H87</f>
        <v>0</v>
      </c>
      <c r="L88">
        <f>+'Case study 3'!I87</f>
        <v>0</v>
      </c>
      <c r="M88" s="1">
        <f t="shared" si="21"/>
        <v>103.83903417222413</v>
      </c>
      <c r="N88">
        <f t="shared" si="22"/>
        <v>7.2167541483468866E-3</v>
      </c>
      <c r="O88" s="1">
        <f t="shared" si="23"/>
        <v>0</v>
      </c>
      <c r="P88">
        <f t="shared" si="24"/>
        <v>0</v>
      </c>
    </row>
    <row r="89" spans="8:16" x14ac:dyDescent="0.25">
      <c r="H89">
        <f>+'Case study 3'!D88</f>
        <v>86</v>
      </c>
      <c r="I89">
        <f>+'Case study 3'!E88</f>
        <v>7.754968944900982E-2</v>
      </c>
      <c r="J89" t="b">
        <f t="shared" si="20"/>
        <v>0</v>
      </c>
      <c r="K89" s="1">
        <f>+'Case study 3'!H88</f>
        <v>0</v>
      </c>
      <c r="L89">
        <f>+'Case study 3'!I88</f>
        <v>0</v>
      </c>
      <c r="M89" s="1">
        <f t="shared" si="21"/>
        <v>100.81459628371275</v>
      </c>
      <c r="N89">
        <f t="shared" si="22"/>
        <v>7.0065574255795014E-3</v>
      </c>
      <c r="O89" s="1">
        <f t="shared" si="23"/>
        <v>0</v>
      </c>
      <c r="P89">
        <f t="shared" si="24"/>
        <v>0</v>
      </c>
    </row>
    <row r="90" spans="8:16" x14ac:dyDescent="0.25">
      <c r="H90">
        <f>+'Case study 3'!D89</f>
        <v>87</v>
      </c>
      <c r="I90">
        <f>+'Case study 3'!E89</f>
        <v>7.529096063010661E-2</v>
      </c>
      <c r="J90" t="b">
        <f t="shared" si="20"/>
        <v>0</v>
      </c>
      <c r="K90" s="1">
        <f>+'Case study 3'!H89</f>
        <v>0</v>
      </c>
      <c r="L90">
        <f>+'Case study 3'!I89</f>
        <v>0</v>
      </c>
      <c r="M90" s="1">
        <f t="shared" si="21"/>
        <v>97.878248819138577</v>
      </c>
      <c r="N90">
        <f t="shared" si="22"/>
        <v>6.8024829374558251E-3</v>
      </c>
      <c r="O90" s="1">
        <f t="shared" si="23"/>
        <v>0</v>
      </c>
      <c r="P90">
        <f t="shared" si="24"/>
        <v>0</v>
      </c>
    </row>
    <row r="91" spans="8:16" x14ac:dyDescent="0.25">
      <c r="H91">
        <f>+'Case study 3'!D90</f>
        <v>88</v>
      </c>
      <c r="I91">
        <f>+'Case study 3'!E90</f>
        <v>7.3098020029229716E-2</v>
      </c>
      <c r="J91" t="b">
        <f t="shared" si="20"/>
        <v>0</v>
      </c>
      <c r="K91" s="1">
        <f>+'Case study 3'!H90</f>
        <v>0</v>
      </c>
      <c r="L91">
        <f>+'Case study 3'!I90</f>
        <v>0</v>
      </c>
      <c r="M91" s="1">
        <f t="shared" si="21"/>
        <v>95.027426037998609</v>
      </c>
      <c r="N91">
        <f t="shared" si="22"/>
        <v>6.6043523664619658E-3</v>
      </c>
      <c r="O91" s="1">
        <f t="shared" si="23"/>
        <v>0</v>
      </c>
      <c r="P91">
        <f t="shared" si="24"/>
        <v>0</v>
      </c>
    </row>
    <row r="92" spans="8:16" x14ac:dyDescent="0.25">
      <c r="H92">
        <f>+'Case study 3'!D91</f>
        <v>89</v>
      </c>
      <c r="I92">
        <f>+'Case study 3'!E91</f>
        <v>7.0968951484689041E-2</v>
      </c>
      <c r="J92" t="b">
        <f t="shared" si="20"/>
        <v>0</v>
      </c>
      <c r="K92" s="1">
        <f>+'Case study 3'!H91</f>
        <v>0</v>
      </c>
      <c r="L92">
        <f>+'Case study 3'!I91</f>
        <v>0</v>
      </c>
      <c r="M92" s="1">
        <f t="shared" si="21"/>
        <v>92.259636930095738</v>
      </c>
      <c r="N92">
        <f t="shared" si="22"/>
        <v>6.4119925887980251E-3</v>
      </c>
      <c r="O92" s="1">
        <f t="shared" si="23"/>
        <v>0</v>
      </c>
      <c r="P92">
        <f t="shared" si="24"/>
        <v>0</v>
      </c>
    </row>
    <row r="93" spans="8:16" x14ac:dyDescent="0.25">
      <c r="H93">
        <f>+'Case study 3'!D92</f>
        <v>90</v>
      </c>
      <c r="I93">
        <f>+'Case study 3'!E92</f>
        <v>6.8901894645329156E-2</v>
      </c>
      <c r="J93" t="b">
        <f t="shared" si="20"/>
        <v>0</v>
      </c>
      <c r="K93" s="1">
        <f>+'Case study 3'!H92</f>
        <v>0</v>
      </c>
      <c r="L93">
        <f>+'Case study 3'!I92</f>
        <v>0</v>
      </c>
      <c r="M93" s="1">
        <f t="shared" si="21"/>
        <v>89.572463038927893</v>
      </c>
      <c r="N93">
        <f t="shared" si="22"/>
        <v>6.225235523104878E-3</v>
      </c>
      <c r="O93" s="1">
        <f t="shared" si="23"/>
        <v>0</v>
      </c>
      <c r="P93">
        <f t="shared" si="24"/>
        <v>0</v>
      </c>
    </row>
    <row r="94" spans="8:16" x14ac:dyDescent="0.25">
      <c r="H94">
        <f>+'Case study 3'!D93</f>
        <v>91</v>
      </c>
      <c r="I94">
        <f>+'Case study 3'!E93</f>
        <v>6.6895043344979782E-2</v>
      </c>
      <c r="J94" t="b">
        <f t="shared" si="20"/>
        <v>0</v>
      </c>
      <c r="K94" s="1">
        <f>+'Case study 3'!H93</f>
        <v>0</v>
      </c>
      <c r="L94">
        <f>+'Case study 3'!I93</f>
        <v>0</v>
      </c>
      <c r="M94" s="1">
        <f t="shared" si="21"/>
        <v>86.963556348473702</v>
      </c>
      <c r="N94">
        <f t="shared" si="22"/>
        <v>6.0439179835969706E-3</v>
      </c>
      <c r="O94" s="1">
        <f t="shared" si="23"/>
        <v>0</v>
      </c>
      <c r="P94">
        <f t="shared" si="24"/>
        <v>0</v>
      </c>
    </row>
    <row r="95" spans="8:16" x14ac:dyDescent="0.25">
      <c r="H95">
        <f>+'Case study 3'!D94</f>
        <v>92</v>
      </c>
      <c r="I95">
        <f>+'Case study 3'!E94</f>
        <v>6.4946644024252209E-2</v>
      </c>
      <c r="J95" t="b">
        <f t="shared" si="20"/>
        <v>0</v>
      </c>
      <c r="K95" s="1">
        <f>+'Case study 3'!H94</f>
        <v>0</v>
      </c>
      <c r="L95">
        <f>+'Case study 3'!I94</f>
        <v>0</v>
      </c>
      <c r="M95" s="1">
        <f t="shared" si="21"/>
        <v>84.430637231527854</v>
      </c>
      <c r="N95">
        <f t="shared" si="22"/>
        <v>5.867881537472786E-3</v>
      </c>
      <c r="O95" s="1">
        <f t="shared" si="23"/>
        <v>0</v>
      </c>
      <c r="P95">
        <f t="shared" si="24"/>
        <v>0</v>
      </c>
    </row>
    <row r="96" spans="8:16" x14ac:dyDescent="0.25">
      <c r="H96">
        <f>+'Case study 3'!D95</f>
        <v>93</v>
      </c>
      <c r="I96">
        <f>+'Case study 3'!E95</f>
        <v>6.3054994198303113E-2</v>
      </c>
      <c r="J96" t="b">
        <f t="shared" si="20"/>
        <v>0</v>
      </c>
      <c r="K96" s="1">
        <f>+'Case study 3'!H95</f>
        <v>0</v>
      </c>
      <c r="L96">
        <f>+'Case study 3'!I95</f>
        <v>0</v>
      </c>
      <c r="M96" s="1">
        <f t="shared" si="21"/>
        <v>81.971492457794028</v>
      </c>
      <c r="N96">
        <f t="shared" si="22"/>
        <v>5.6969723664784333E-3</v>
      </c>
      <c r="O96" s="1">
        <f t="shared" si="23"/>
        <v>0</v>
      </c>
      <c r="P96">
        <f t="shared" si="24"/>
        <v>0</v>
      </c>
    </row>
    <row r="97" spans="8:16" x14ac:dyDescent="0.25">
      <c r="H97">
        <f>+'Case study 3'!D96</f>
        <v>94</v>
      </c>
      <c r="I97">
        <f>+'Case study 3'!E96</f>
        <v>6.1218440969226309E-2</v>
      </c>
      <c r="J97" t="b">
        <f t="shared" si="20"/>
        <v>0</v>
      </c>
      <c r="K97" s="1">
        <f>+'Case study 3'!H96</f>
        <v>0</v>
      </c>
      <c r="L97">
        <f>+'Case study 3'!I96</f>
        <v>0</v>
      </c>
      <c r="M97" s="1">
        <f t="shared" si="21"/>
        <v>79.583973259994181</v>
      </c>
      <c r="N97">
        <f t="shared" si="22"/>
        <v>5.5310411325033317E-3</v>
      </c>
      <c r="O97" s="1">
        <f t="shared" si="23"/>
        <v>0</v>
      </c>
      <c r="P97">
        <f t="shared" si="24"/>
        <v>0</v>
      </c>
    </row>
    <row r="98" spans="8:16" x14ac:dyDescent="0.25">
      <c r="H98">
        <f>+'Case study 3'!D97</f>
        <v>95</v>
      </c>
      <c r="I98">
        <f>+'Case study 3'!E97</f>
        <v>5.9435379581773119E-2</v>
      </c>
      <c r="J98" t="b">
        <f t="shared" si="20"/>
        <v>0</v>
      </c>
      <c r="K98" s="1">
        <f>+'Case study 3'!H97</f>
        <v>0</v>
      </c>
      <c r="L98">
        <f>+'Case study 3'!I97</f>
        <v>0</v>
      </c>
      <c r="M98" s="1">
        <f t="shared" si="21"/>
        <v>77.26599345630504</v>
      </c>
      <c r="N98">
        <f t="shared" si="22"/>
        <v>5.3699428470906137E-3</v>
      </c>
      <c r="O98" s="1">
        <f t="shared" si="23"/>
        <v>0</v>
      </c>
      <c r="P98">
        <f t="shared" si="24"/>
        <v>0</v>
      </c>
    </row>
    <row r="99" spans="8:16" x14ac:dyDescent="0.25">
      <c r="H99">
        <f>+'Case study 3'!D98</f>
        <v>96</v>
      </c>
      <c r="I99">
        <f>+'Case study 3'!E98</f>
        <v>5.7704252021138942E-2</v>
      </c>
      <c r="J99" t="b">
        <f t="shared" si="20"/>
        <v>0</v>
      </c>
      <c r="K99" s="1">
        <f>+'Case study 3'!H98</f>
        <v>0</v>
      </c>
      <c r="L99">
        <f>+'Case study 3'!I98</f>
        <v>0</v>
      </c>
      <c r="M99" s="1">
        <f t="shared" si="21"/>
        <v>75.015527627480608</v>
      </c>
      <c r="N99">
        <f t="shared" si="22"/>
        <v>5.213536744748168E-3</v>
      </c>
      <c r="O99" s="1">
        <f t="shared" si="23"/>
        <v>0</v>
      </c>
      <c r="P99">
        <f t="shared" si="24"/>
        <v>0</v>
      </c>
    </row>
    <row r="100" spans="8:16" x14ac:dyDescent="0.25">
      <c r="H100">
        <f>+'Case study 3'!D99</f>
        <v>97</v>
      </c>
      <c r="I100">
        <f>+'Case study 3'!E99</f>
        <v>5.6023545651591199E-2</v>
      </c>
      <c r="J100" t="b">
        <f t="shared" si="20"/>
        <v>0</v>
      </c>
      <c r="K100" s="1">
        <f>+'Case study 3'!H99</f>
        <v>0</v>
      </c>
      <c r="L100">
        <f>+'Case study 3'!I99</f>
        <v>0</v>
      </c>
      <c r="M100" s="1">
        <f t="shared" si="21"/>
        <v>72.830609347068545</v>
      </c>
      <c r="N100">
        <f t="shared" si="22"/>
        <v>5.0616861599496769E-3</v>
      </c>
      <c r="O100" s="1">
        <f t="shared" si="23"/>
        <v>0</v>
      </c>
      <c r="P100">
        <f t="shared" si="24"/>
        <v>0</v>
      </c>
    </row>
    <row r="101" spans="8:16" x14ac:dyDescent="0.25">
      <c r="H101">
        <f>+'Case study 3'!D100</f>
        <v>98</v>
      </c>
      <c r="I101">
        <f>+'Case study 3'!E100</f>
        <v>5.4391791894748756E-2</v>
      </c>
      <c r="J101" t="b">
        <f t="shared" si="20"/>
        <v>0</v>
      </c>
      <c r="K101" s="1">
        <f>+'Case study 3'!H100</f>
        <v>0</v>
      </c>
      <c r="L101">
        <f>+'Case study 3'!I100</f>
        <v>0</v>
      </c>
      <c r="M101" s="1">
        <f t="shared" si="21"/>
        <v>70.709329463173376</v>
      </c>
      <c r="N101">
        <f t="shared" si="22"/>
        <v>4.9142584077181348E-3</v>
      </c>
      <c r="O101" s="1">
        <f t="shared" si="23"/>
        <v>0</v>
      </c>
      <c r="P101">
        <f t="shared" si="24"/>
        <v>0</v>
      </c>
    </row>
    <row r="102" spans="8:16" x14ac:dyDescent="0.25">
      <c r="H102">
        <f>+'Case study 3'!D101</f>
        <v>99</v>
      </c>
      <c r="I102">
        <f>+'Case study 3'!E101</f>
        <v>5.2807564946358007E-2</v>
      </c>
      <c r="J102" t="b">
        <f t="shared" si="20"/>
        <v>0</v>
      </c>
      <c r="K102" s="1">
        <f>+'Case study 3'!H101</f>
        <v>0</v>
      </c>
      <c r="L102">
        <f>+'Case study 3'!I101</f>
        <v>0</v>
      </c>
      <c r="M102" s="1">
        <f t="shared" si="21"/>
        <v>68.6498344302654</v>
      </c>
      <c r="N102">
        <f t="shared" si="22"/>
        <v>4.7711246676875084E-3</v>
      </c>
      <c r="O102" s="1">
        <f t="shared" si="23"/>
        <v>0</v>
      </c>
      <c r="P102">
        <f t="shared" si="24"/>
        <v>0</v>
      </c>
    </row>
    <row r="103" spans="8:16" x14ac:dyDescent="0.25">
      <c r="H103">
        <f>+'Case study 3'!D102</f>
        <v>100</v>
      </c>
      <c r="I103">
        <f>+'Case study 3'!E102</f>
        <v>5.1269480530444667E-2</v>
      </c>
      <c r="J103" t="b">
        <f t="shared" si="20"/>
        <v>0</v>
      </c>
      <c r="K103" s="1">
        <f>+'Case study 3'!H102</f>
        <v>0</v>
      </c>
      <c r="L103">
        <f>+'Case study 3'!I102</f>
        <v>0</v>
      </c>
      <c r="M103" s="1">
        <f t="shared" si="21"/>
        <v>66.650324689578056</v>
      </c>
      <c r="N103">
        <f t="shared" si="22"/>
        <v>4.63215987154127E-3</v>
      </c>
      <c r="O103" s="1">
        <f t="shared" si="23"/>
        <v>0</v>
      </c>
      <c r="P103">
        <f t="shared" si="24"/>
        <v>0</v>
      </c>
    </row>
  </sheetData>
  <mergeCells count="3">
    <mergeCell ref="K1:L1"/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Estimate parameters</vt:lpstr>
      <vt:lpstr>Case study 3</vt:lpstr>
      <vt:lpstr>Case study 4</vt:lpstr>
      <vt:lpstr>Branded_Period_v2</vt:lpstr>
      <vt:lpstr>Cost_effectiveness_v2</vt:lpstr>
      <vt:lpstr>CostPerYr_Ezitimibe</vt:lpstr>
      <vt:lpstr>CostPerYr_PCSK9</vt:lpstr>
      <vt:lpstr>CostPerYr_PCSK9_Pop</vt:lpstr>
      <vt:lpstr>CostPerYr_Statin</vt:lpstr>
      <vt:lpstr>GenericPriceDrop_v2</vt:lpstr>
      <vt:lpstr>NextGen_CostPerYear_Gen_v2</vt:lpstr>
      <vt:lpstr>NextGen_CostPerYear_v2</vt:lpstr>
      <vt:lpstr>'Case study 4'!NextGen_QALYPerYear_FH_v2</vt:lpstr>
      <vt:lpstr>NextGen_RelativeBenefitFactor_v2</vt:lpstr>
      <vt:lpstr>NextGen_RelativeCostFactor_v2</vt:lpstr>
      <vt:lpstr>NextGen_TimeHorizon_v2</vt:lpstr>
      <vt:lpstr>NextGen_Year_Generic_v2</vt:lpstr>
      <vt:lpstr>NextGen_Year_Start_v2</vt:lpstr>
      <vt:lpstr>offset_v2</vt:lpstr>
      <vt:lpstr>PCSK9_CostPerYear_Gen_v2</vt:lpstr>
      <vt:lpstr>PCSK9_CostPerYear_v2</vt:lpstr>
      <vt:lpstr>PCSK9_QALYPerYear_FH_v2</vt:lpstr>
      <vt:lpstr>PopSize</vt:lpstr>
      <vt:lpstr>QALYsPerYr_PCSK9</vt:lpstr>
      <vt:lpstr>r_disc</vt:lpstr>
      <vt:lpstr>r_discount_v2</vt:lpstr>
      <vt:lpstr>Scale</vt:lpstr>
      <vt:lpstr>TimeHorizon_v2</vt:lpstr>
      <vt:lpstr>Year_Generic_v2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2022-08-26T21:36:50Z</dcterms:modified>
</cp:coreProperties>
</file>