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VR\Projects\NPC - HTA\13 - Manuscript\01 - Supplement\13 - Calculations\14 - Lupis\"/>
    </mc:Choice>
  </mc:AlternateContent>
  <xr:revisionPtr revIDLastSave="0" documentId="13_ncr:1_{51C761E0-95F6-4BDC-B133-3FFA64B4EC5D}" xr6:coauthVersionLast="46" xr6:coauthVersionMax="47" xr10:uidLastSave="{00000000-0000-0000-0000-000000000000}"/>
  <bookViews>
    <workbookView xWindow="-120" yWindow="-120" windowWidth="29040" windowHeight="15840" activeTab="6" xr2:uid="{642FAA30-0104-45DC-9564-C6529DF98A2A}"/>
  </bookViews>
  <sheets>
    <sheet name="Display" sheetId="24" r:id="rId1"/>
    <sheet name="Table 4-3 - inputs" sheetId="5" r:id="rId2"/>
    <sheet name="Table 4-3" sheetId="4" r:id="rId3"/>
    <sheet name="Table 4-3 fmt" sheetId="14" r:id="rId4"/>
    <sheet name="Table 4-4 - inputs" sheetId="21" r:id="rId5"/>
    <sheet name="Table 4-4" sheetId="22" r:id="rId6"/>
    <sheet name="Table 4-4 fmt" sheetId="23" r:id="rId7"/>
    <sheet name="Figures" sheetId="20" r:id="rId8"/>
    <sheet name="Figures main" sheetId="26" r:id="rId9"/>
  </sheets>
  <externalReferences>
    <externalReference r:id="rId10"/>
  </externalReferences>
  <definedNames>
    <definedName name="Benchmark1" localSheetId="8">[1]Display!$B$3</definedName>
    <definedName name="Benchmark1">Display!$B$3</definedName>
    <definedName name="Benchmark2" localSheetId="8">[1]Display!$B$4</definedName>
    <definedName name="Benchmark2">Display!$B$4</definedName>
    <definedName name="CE_BC_nicaparib_Platinum">#REF!</definedName>
    <definedName name="CE_BC_olaparib_BRCA">#REF!</definedName>
    <definedName name="CE_BC_olaparib_Platinum">#REF!</definedName>
    <definedName name="CE_BC_rucaparib_BRCA">#REF!</definedName>
    <definedName name="CE_BC_rucaparib_Platinum">#REF!</definedName>
    <definedName name="CE_Scale" localSheetId="8">[1]Display!$B$6</definedName>
    <definedName name="CE_Scale">Display!$B$6</definedName>
    <definedName name="LDL_C_reduction">#REF!</definedName>
    <definedName name="RoundPlace" localSheetId="8">[1]Display!$B$7</definedName>
    <definedName name="RoundPlace">Display!$B$7</definedName>
    <definedName name="xBenchmark1" localSheetId="5">'Table 4-4'!#REF!</definedName>
    <definedName name="xBenchmark2" localSheetId="5">'Table 4-4'!#REF!</definedName>
    <definedName name="xCE_Scale" localSheetId="5">'Table 4-4'!#REF!</definedName>
    <definedName name="xRoundPlace" localSheetId="5">'Table 4-4'!$B$20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0" l="1"/>
  <c r="H22" i="20"/>
  <c r="E17" i="26"/>
  <c r="E16" i="26"/>
  <c r="E15" i="26"/>
  <c r="D17" i="26"/>
  <c r="D16" i="26"/>
  <c r="D15" i="26"/>
  <c r="C17" i="26"/>
  <c r="C16" i="26"/>
  <c r="C15" i="26"/>
  <c r="B17" i="26"/>
  <c r="B15" i="26"/>
  <c r="B16" i="26"/>
  <c r="E22" i="26"/>
  <c r="D22" i="26"/>
  <c r="C22" i="26"/>
  <c r="B22" i="26"/>
  <c r="E21" i="26"/>
  <c r="D21" i="26"/>
  <c r="C21" i="26"/>
  <c r="B21" i="26"/>
  <c r="E20" i="26"/>
  <c r="D20" i="26"/>
  <c r="C20" i="26"/>
  <c r="B20" i="26"/>
  <c r="B14" i="26"/>
  <c r="E11" i="26"/>
  <c r="D11" i="26"/>
  <c r="C11" i="26"/>
  <c r="B11" i="26"/>
  <c r="E10" i="26"/>
  <c r="D10" i="26"/>
  <c r="C10" i="26"/>
  <c r="B10" i="26"/>
  <c r="E9" i="26"/>
  <c r="D9" i="26"/>
  <c r="C9" i="26"/>
  <c r="B9" i="26"/>
  <c r="E6" i="26"/>
  <c r="D6" i="26"/>
  <c r="C6" i="26"/>
  <c r="B6" i="26"/>
  <c r="E5" i="26"/>
  <c r="D5" i="26"/>
  <c r="B5" i="26"/>
  <c r="E4" i="26"/>
  <c r="D4" i="26"/>
  <c r="C4" i="26"/>
  <c r="B4" i="26"/>
  <c r="B3" i="26"/>
  <c r="C5" i="26"/>
  <c r="H22" i="26"/>
  <c r="H21" i="26"/>
  <c r="H17" i="26"/>
  <c r="H16" i="26"/>
  <c r="H10" i="26"/>
  <c r="H11" i="26" s="1"/>
  <c r="H6" i="26"/>
  <c r="H5" i="26"/>
  <c r="AH6" i="4" l="1"/>
  <c r="AH5" i="4"/>
  <c r="C18" i="5"/>
  <c r="D18" i="5"/>
  <c r="C19" i="5"/>
  <c r="D19" i="5"/>
  <c r="A3" i="23" l="1"/>
  <c r="B6" i="21"/>
  <c r="B5" i="21"/>
  <c r="H13" i="22"/>
  <c r="I13" i="22"/>
  <c r="H14" i="22"/>
  <c r="I14" i="22"/>
  <c r="I12" i="22"/>
  <c r="H12" i="22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L1" i="23"/>
  <c r="J1" i="23"/>
  <c r="H1" i="23"/>
  <c r="E1" i="23"/>
  <c r="B1" i="23"/>
  <c r="H28" i="20"/>
  <c r="H27" i="20" s="1"/>
  <c r="H10" i="20"/>
  <c r="H9" i="20" s="1"/>
  <c r="H5" i="20"/>
  <c r="H4" i="20" s="1"/>
  <c r="A27" i="20" l="1"/>
  <c r="A14" i="22"/>
  <c r="AR11" i="22" s="1"/>
  <c r="A13" i="22"/>
  <c r="A9" i="23" s="1"/>
  <c r="B28" i="20" s="1"/>
  <c r="A12" i="22"/>
  <c r="AC11" i="22" s="1"/>
  <c r="A5" i="22"/>
  <c r="AK2" i="22" s="1"/>
  <c r="A6" i="22"/>
  <c r="AR2" i="22" s="1"/>
  <c r="A4" i="22"/>
  <c r="A4" i="23" s="1"/>
  <c r="A7" i="23"/>
  <c r="I9" i="23"/>
  <c r="H10" i="23"/>
  <c r="F12" i="22"/>
  <c r="F8" i="23" s="1"/>
  <c r="G12" i="22"/>
  <c r="G8" i="23" s="1"/>
  <c r="F13" i="22"/>
  <c r="F9" i="23" s="1"/>
  <c r="G13" i="22"/>
  <c r="AL14" i="22" s="1"/>
  <c r="F14" i="22"/>
  <c r="AS13" i="22" s="1"/>
  <c r="G14" i="22"/>
  <c r="G10" i="23" s="1"/>
  <c r="E13" i="22"/>
  <c r="E9" i="23" s="1"/>
  <c r="E14" i="22"/>
  <c r="E12" i="22"/>
  <c r="AD12" i="22" s="1"/>
  <c r="I4" i="22"/>
  <c r="I4" i="23" s="1"/>
  <c r="I5" i="22"/>
  <c r="AO6" i="22" s="1"/>
  <c r="I6" i="22"/>
  <c r="AV6" i="22" s="1"/>
  <c r="H5" i="22"/>
  <c r="AO5" i="22" s="1"/>
  <c r="H6" i="22"/>
  <c r="AV5" i="22" s="1"/>
  <c r="H4" i="22"/>
  <c r="AG5" i="22" s="1"/>
  <c r="G6" i="22"/>
  <c r="AS6" i="22" s="1"/>
  <c r="G5" i="22"/>
  <c r="G5" i="23" s="1"/>
  <c r="G4" i="22"/>
  <c r="AD6" i="22" s="1"/>
  <c r="F6" i="22"/>
  <c r="F6" i="23" s="1"/>
  <c r="F5" i="22"/>
  <c r="F5" i="23" s="1"/>
  <c r="F4" i="22"/>
  <c r="AD5" i="22" s="1"/>
  <c r="E5" i="22"/>
  <c r="E5" i="23" s="1"/>
  <c r="E6" i="22"/>
  <c r="E4" i="22"/>
  <c r="E4" i="23" s="1"/>
  <c r="C6" i="22"/>
  <c r="AR5" i="22" s="1"/>
  <c r="D6" i="22"/>
  <c r="AR6" i="22" s="1"/>
  <c r="C4" i="22"/>
  <c r="AC5" i="22" s="1"/>
  <c r="D4" i="22"/>
  <c r="D4" i="23" s="1"/>
  <c r="C5" i="22"/>
  <c r="C5" i="23" s="1"/>
  <c r="D5" i="22"/>
  <c r="D5" i="23" s="1"/>
  <c r="B5" i="22"/>
  <c r="B5" i="23" s="1"/>
  <c r="B6" i="22"/>
  <c r="B6" i="23" s="1"/>
  <c r="B4" i="22"/>
  <c r="B4" i="23" s="1"/>
  <c r="AV14" i="22"/>
  <c r="AV13" i="22"/>
  <c r="AO14" i="22"/>
  <c r="AO13" i="22"/>
  <c r="AG14" i="22"/>
  <c r="H8" i="23"/>
  <c r="AD13" i="22"/>
  <c r="AK11" i="22"/>
  <c r="AD4" i="22"/>
  <c r="D19" i="21"/>
  <c r="D13" i="22" s="1"/>
  <c r="C19" i="21"/>
  <c r="C13" i="22" s="1"/>
  <c r="D20" i="21"/>
  <c r="D14" i="22" s="1"/>
  <c r="C20" i="21"/>
  <c r="C14" i="22" s="1"/>
  <c r="C10" i="23" s="1"/>
  <c r="B20" i="21"/>
  <c r="B14" i="22" s="1"/>
  <c r="A20" i="21"/>
  <c r="B19" i="21"/>
  <c r="B13" i="22" s="1"/>
  <c r="A19" i="21"/>
  <c r="D18" i="21"/>
  <c r="D12" i="22" s="1"/>
  <c r="C18" i="21"/>
  <c r="C12" i="22" s="1"/>
  <c r="B18" i="21"/>
  <c r="B12" i="22" s="1"/>
  <c r="A18" i="21"/>
  <c r="H13" i="4"/>
  <c r="I13" i="4"/>
  <c r="H14" i="4"/>
  <c r="I14" i="4"/>
  <c r="I12" i="4"/>
  <c r="H12" i="4"/>
  <c r="F13" i="4"/>
  <c r="G13" i="4"/>
  <c r="F14" i="4"/>
  <c r="G14" i="4"/>
  <c r="G12" i="4"/>
  <c r="F12" i="4"/>
  <c r="E13" i="4"/>
  <c r="E14" i="4"/>
  <c r="E12" i="4"/>
  <c r="A13" i="4"/>
  <c r="A14" i="4"/>
  <c r="A12" i="4"/>
  <c r="I6" i="4"/>
  <c r="AU6" i="4" s="1"/>
  <c r="I5" i="4"/>
  <c r="I4" i="4"/>
  <c r="H6" i="4"/>
  <c r="H5" i="4"/>
  <c r="H4" i="4"/>
  <c r="AG5" i="4" s="1"/>
  <c r="D6" i="4"/>
  <c r="C6" i="4"/>
  <c r="B6" i="4"/>
  <c r="D5" i="4"/>
  <c r="C5" i="4"/>
  <c r="B5" i="4"/>
  <c r="D4" i="4"/>
  <c r="C4" i="4"/>
  <c r="B4" i="4"/>
  <c r="G6" i="4"/>
  <c r="F6" i="4"/>
  <c r="G5" i="4"/>
  <c r="F5" i="4"/>
  <c r="G4" i="4"/>
  <c r="F4" i="4"/>
  <c r="E6" i="4"/>
  <c r="E5" i="4"/>
  <c r="A6" i="4"/>
  <c r="A5" i="4"/>
  <c r="A4" i="4"/>
  <c r="E4" i="4"/>
  <c r="D20" i="5"/>
  <c r="D14" i="4" s="1"/>
  <c r="D13" i="4"/>
  <c r="D12" i="4"/>
  <c r="C20" i="5"/>
  <c r="C14" i="4" s="1"/>
  <c r="C13" i="4"/>
  <c r="C12" i="4"/>
  <c r="B19" i="5"/>
  <c r="B13" i="4" s="1"/>
  <c r="B20" i="5"/>
  <c r="B14" i="4" s="1"/>
  <c r="B18" i="5"/>
  <c r="B12" i="4" s="1"/>
  <c r="A20" i="5"/>
  <c r="A19" i="5"/>
  <c r="A18" i="5"/>
  <c r="AS5" i="22" l="1"/>
  <c r="AK5" i="22"/>
  <c r="AS14" i="22"/>
  <c r="AL5" i="22"/>
  <c r="AC6" i="22"/>
  <c r="D6" i="23"/>
  <c r="AC2" i="22"/>
  <c r="AC4" i="22"/>
  <c r="E8" i="23"/>
  <c r="AD14" i="22"/>
  <c r="AK4" i="22"/>
  <c r="C6" i="23"/>
  <c r="B8" i="23"/>
  <c r="AC12" i="22"/>
  <c r="AK12" i="22"/>
  <c r="B9" i="23"/>
  <c r="AC14" i="22"/>
  <c r="D8" i="23"/>
  <c r="D10" i="23"/>
  <c r="AR14" i="22"/>
  <c r="D9" i="23"/>
  <c r="AK14" i="22"/>
  <c r="AR12" i="22"/>
  <c r="B10" i="23"/>
  <c r="F10" i="23"/>
  <c r="A6" i="23"/>
  <c r="AK13" i="22"/>
  <c r="C9" i="23"/>
  <c r="G9" i="23"/>
  <c r="A5" i="23"/>
  <c r="AR13" i="22"/>
  <c r="A8" i="23"/>
  <c r="B27" i="20" s="1"/>
  <c r="AC13" i="22"/>
  <c r="C8" i="23"/>
  <c r="AL6" i="22"/>
  <c r="A10" i="23"/>
  <c r="B29" i="20" s="1"/>
  <c r="AR4" i="22"/>
  <c r="G6" i="23"/>
  <c r="B9" i="20"/>
  <c r="C10" i="20"/>
  <c r="C28" i="20"/>
  <c r="C9" i="20"/>
  <c r="AG6" i="22"/>
  <c r="H4" i="23"/>
  <c r="H5" i="23"/>
  <c r="AL13" i="22"/>
  <c r="H6" i="23"/>
  <c r="I8" i="23"/>
  <c r="AK6" i="22"/>
  <c r="C4" i="23"/>
  <c r="F4" i="23"/>
  <c r="I5" i="23"/>
  <c r="I10" i="23"/>
  <c r="AG13" i="22"/>
  <c r="E6" i="23"/>
  <c r="E10" i="23"/>
  <c r="H9" i="23"/>
  <c r="G4" i="23"/>
  <c r="I6" i="23"/>
  <c r="AD8" i="22" a="1"/>
  <c r="AD8" i="22" s="1"/>
  <c r="AC7" i="22" a="1"/>
  <c r="AS4" i="22"/>
  <c r="AS12" i="22"/>
  <c r="AL4" i="22"/>
  <c r="AL12" i="22"/>
  <c r="AL8" i="22" l="1" a="1"/>
  <c r="AL8" i="22" s="1"/>
  <c r="C27" i="20"/>
  <c r="B11" i="20"/>
  <c r="B10" i="20"/>
  <c r="C11" i="20"/>
  <c r="C29" i="20"/>
  <c r="AK7" i="22" a="1"/>
  <c r="AC7" i="22"/>
  <c r="AG4" i="22" s="1"/>
  <c r="AG7" i="22" s="1"/>
  <c r="C2" i="14"/>
  <c r="D2" i="14"/>
  <c r="E2" i="14"/>
  <c r="F2" i="14"/>
  <c r="G2" i="14"/>
  <c r="H2" i="14"/>
  <c r="I2" i="14"/>
  <c r="J2" i="14"/>
  <c r="K2" i="14"/>
  <c r="L2" i="14"/>
  <c r="M2" i="14"/>
  <c r="N2" i="14"/>
  <c r="B2" i="14"/>
  <c r="L1" i="14"/>
  <c r="J1" i="14"/>
  <c r="H1" i="14"/>
  <c r="E1" i="14"/>
  <c r="B1" i="14"/>
  <c r="H9" i="14"/>
  <c r="I9" i="14"/>
  <c r="H10" i="14"/>
  <c r="I10" i="14"/>
  <c r="I8" i="14"/>
  <c r="H8" i="14"/>
  <c r="F8" i="14"/>
  <c r="G8" i="14"/>
  <c r="F9" i="14"/>
  <c r="G9" i="14"/>
  <c r="F10" i="14"/>
  <c r="G10" i="14"/>
  <c r="A9" i="14"/>
  <c r="A10" i="14"/>
  <c r="A8" i="14"/>
  <c r="A7" i="14"/>
  <c r="C20" i="20" s="1"/>
  <c r="G6" i="14"/>
  <c r="F6" i="14"/>
  <c r="G5" i="14"/>
  <c r="F5" i="14"/>
  <c r="C4" i="14"/>
  <c r="D4" i="14"/>
  <c r="C5" i="14"/>
  <c r="D5" i="14"/>
  <c r="C6" i="14"/>
  <c r="D6" i="14"/>
  <c r="I6" i="14"/>
  <c r="I5" i="14"/>
  <c r="I4" i="14"/>
  <c r="H5" i="14"/>
  <c r="H6" i="14"/>
  <c r="H4" i="14"/>
  <c r="G4" i="14"/>
  <c r="F4" i="14"/>
  <c r="AK4" i="4"/>
  <c r="A6" i="14"/>
  <c r="A5" i="14"/>
  <c r="A4" i="14"/>
  <c r="A3" i="14"/>
  <c r="C2" i="20" s="1"/>
  <c r="AJ14" i="4"/>
  <c r="AJ13" i="4"/>
  <c r="AU14" i="4"/>
  <c r="AU13" i="4"/>
  <c r="AQ11" i="4"/>
  <c r="AJ11" i="4"/>
  <c r="AC11" i="4"/>
  <c r="AR14" i="4"/>
  <c r="AR13" i="4"/>
  <c r="AQ14" i="4"/>
  <c r="AQ13" i="4"/>
  <c r="AN14" i="4"/>
  <c r="AN13" i="4"/>
  <c r="AK14" i="4"/>
  <c r="AK13" i="4"/>
  <c r="AJ12" i="4"/>
  <c r="AC14" i="4"/>
  <c r="AC13" i="4"/>
  <c r="AC12" i="4"/>
  <c r="AD14" i="4"/>
  <c r="AD13" i="4"/>
  <c r="AG14" i="4"/>
  <c r="AG13" i="4"/>
  <c r="AG6" i="4"/>
  <c r="AN6" i="4"/>
  <c r="AU5" i="4"/>
  <c r="AN5" i="4"/>
  <c r="AQ2" i="4"/>
  <c r="AJ2" i="4"/>
  <c r="AC2" i="4"/>
  <c r="AK6" i="4"/>
  <c r="AR6" i="4"/>
  <c r="AR5" i="4"/>
  <c r="AK5" i="4"/>
  <c r="AD6" i="4"/>
  <c r="AD5" i="4"/>
  <c r="AQ6" i="4"/>
  <c r="AQ5" i="4"/>
  <c r="AJ6" i="4"/>
  <c r="AJ5" i="4"/>
  <c r="AC6" i="4"/>
  <c r="AC5" i="4"/>
  <c r="AD4" i="4"/>
  <c r="AQ12" i="4"/>
  <c r="AQ4" i="4"/>
  <c r="AJ4" i="4"/>
  <c r="AC4" i="4"/>
  <c r="B4" i="20" l="1"/>
  <c r="B22" i="20"/>
  <c r="B6" i="20"/>
  <c r="B24" i="20"/>
  <c r="B5" i="20"/>
  <c r="B23" i="20"/>
  <c r="AG8" i="22"/>
  <c r="AD9" i="22" s="1"/>
  <c r="AK7" i="22"/>
  <c r="AO4" i="22" s="1"/>
  <c r="AO7" i="22" s="1"/>
  <c r="D8" i="14"/>
  <c r="C10" i="14"/>
  <c r="B9" i="14"/>
  <c r="B4" i="14"/>
  <c r="B8" i="14"/>
  <c r="D10" i="14"/>
  <c r="C8" i="14"/>
  <c r="B10" i="14"/>
  <c r="B6" i="14"/>
  <c r="D9" i="14"/>
  <c r="B5" i="14"/>
  <c r="C9" i="14"/>
  <c r="E8" i="14"/>
  <c r="AD12" i="4"/>
  <c r="AC15" i="4" s="1" a="1"/>
  <c r="AC15" i="4" s="1"/>
  <c r="AG12" i="4" s="1"/>
  <c r="AG15" i="4" s="1"/>
  <c r="E6" i="14"/>
  <c r="E5" i="14"/>
  <c r="AR4" i="4"/>
  <c r="AQ7" i="4" s="1" a="1"/>
  <c r="AQ7" i="4" s="1"/>
  <c r="AK12" i="4"/>
  <c r="E4" i="14"/>
  <c r="E10" i="14"/>
  <c r="AR12" i="4"/>
  <c r="AQ15" i="4" s="1" a="1"/>
  <c r="E9" i="14"/>
  <c r="AJ7" i="4" a="1"/>
  <c r="C22" i="20" l="1"/>
  <c r="C5" i="20"/>
  <c r="C23" i="20"/>
  <c r="C6" i="20"/>
  <c r="C24" i="20"/>
  <c r="C4" i="20"/>
  <c r="AC9" i="22"/>
  <c r="AE9" i="22"/>
  <c r="AO8" i="22"/>
  <c r="AL9" i="22" s="1"/>
  <c r="AD16" i="4" a="1"/>
  <c r="AD16" i="4" s="1"/>
  <c r="AR16" i="4" a="1"/>
  <c r="AR16" i="4" s="1"/>
  <c r="AQ15" i="4"/>
  <c r="AU12" i="4" s="1"/>
  <c r="AU15" i="4" s="1"/>
  <c r="AG16" i="4"/>
  <c r="AC17" i="4" s="1"/>
  <c r="AJ7" i="4"/>
  <c r="AH6" i="22" l="1"/>
  <c r="K4" i="22" s="1"/>
  <c r="K4" i="23" s="1"/>
  <c r="AM9" i="22"/>
  <c r="AH5" i="22"/>
  <c r="J4" i="22" s="1"/>
  <c r="Q4" i="22" s="1"/>
  <c r="AK9" i="22"/>
  <c r="AP6" i="22" s="1"/>
  <c r="K5" i="22" s="1"/>
  <c r="K5" i="23" s="1"/>
  <c r="AU16" i="4"/>
  <c r="AS17" i="4" s="1"/>
  <c r="AE17" i="4"/>
  <c r="AD17" i="4"/>
  <c r="AN4" i="4"/>
  <c r="AN7" i="4" s="1"/>
  <c r="E10" i="20" l="1"/>
  <c r="E9" i="20"/>
  <c r="V4" i="22"/>
  <c r="J4" i="23"/>
  <c r="W4" i="22"/>
  <c r="U4" i="22"/>
  <c r="T4" i="22"/>
  <c r="P4" i="22"/>
  <c r="R4" i="22"/>
  <c r="AP5" i="22"/>
  <c r="J5" i="22" s="1"/>
  <c r="AQ17" i="4"/>
  <c r="AR17" i="4"/>
  <c r="AH13" i="4"/>
  <c r="J12" i="4" s="1"/>
  <c r="AH14" i="4"/>
  <c r="K12" i="4" s="1"/>
  <c r="AN8" i="4"/>
  <c r="AJ9" i="4" s="1"/>
  <c r="D9" i="20" l="1"/>
  <c r="X4" i="22"/>
  <c r="M4" i="22" s="1"/>
  <c r="M4" i="23" s="1"/>
  <c r="P5" i="22"/>
  <c r="J5" i="23"/>
  <c r="U5" i="22"/>
  <c r="T5" i="22"/>
  <c r="V5" i="22"/>
  <c r="W5" i="22"/>
  <c r="S4" i="22"/>
  <c r="L4" i="22" s="1"/>
  <c r="L4" i="23" s="1"/>
  <c r="Y4" i="22"/>
  <c r="N4" i="22" s="1"/>
  <c r="N4" i="23" s="1"/>
  <c r="R5" i="22"/>
  <c r="Q5" i="22"/>
  <c r="K8" i="14"/>
  <c r="J8" i="14"/>
  <c r="AV14" i="4"/>
  <c r="K14" i="4" s="1"/>
  <c r="AV13" i="4"/>
  <c r="J14" i="4" s="1"/>
  <c r="U12" i="4"/>
  <c r="W12" i="4"/>
  <c r="P12" i="4"/>
  <c r="R12" i="4"/>
  <c r="Q12" i="4"/>
  <c r="T12" i="4"/>
  <c r="V12" i="4"/>
  <c r="D10" i="20" l="1"/>
  <c r="D22" i="20"/>
  <c r="E22" i="20"/>
  <c r="S5" i="22"/>
  <c r="L5" i="22" s="1"/>
  <c r="L5" i="23" s="1"/>
  <c r="Y5" i="22"/>
  <c r="N5" i="22" s="1"/>
  <c r="N5" i="23" s="1"/>
  <c r="X5" i="22"/>
  <c r="M5" i="22" s="1"/>
  <c r="M5" i="23" s="1"/>
  <c r="K10" i="14"/>
  <c r="T14" i="4"/>
  <c r="J10" i="14"/>
  <c r="R14" i="4"/>
  <c r="Q14" i="4"/>
  <c r="W14" i="4"/>
  <c r="P14" i="4"/>
  <c r="V14" i="4"/>
  <c r="U14" i="4"/>
  <c r="X12" i="4"/>
  <c r="M12" i="4" s="1"/>
  <c r="S12" i="4"/>
  <c r="L12" i="4" s="1"/>
  <c r="Y12" i="4"/>
  <c r="N12" i="4" s="1"/>
  <c r="E24" i="20" l="1"/>
  <c r="D24" i="20"/>
  <c r="X14" i="4"/>
  <c r="M14" i="4" s="1"/>
  <c r="S14" i="4"/>
  <c r="L14" i="4" s="1"/>
  <c r="L8" i="14"/>
  <c r="M8" i="14"/>
  <c r="N8" i="14"/>
  <c r="Y14" i="4"/>
  <c r="N14" i="4" s="1"/>
  <c r="M10" i="14" l="1"/>
  <c r="N10" i="14"/>
  <c r="L10" i="14"/>
  <c r="AC7" i="4" l="1" a="1"/>
  <c r="AC7" i="4" l="1"/>
  <c r="AG4" i="4" s="1"/>
  <c r="AG7" i="4" s="1"/>
  <c r="AG8" i="4" l="1"/>
  <c r="AC9" i="4" s="1"/>
  <c r="AU4" i="4"/>
  <c r="AU7" i="4" s="1"/>
  <c r="AU8" i="4" l="1"/>
  <c r="AQ9" i="4" s="1"/>
  <c r="AR8" i="4" a="1"/>
  <c r="AR8" i="4" s="1"/>
  <c r="AD8" i="4" a="1"/>
  <c r="AK8" i="4" a="1"/>
  <c r="AR9" i="4" l="1"/>
  <c r="AS9" i="4"/>
  <c r="AD8" i="4"/>
  <c r="AD9" i="4" s="1"/>
  <c r="AE9" i="4"/>
  <c r="AK8" i="4"/>
  <c r="AK9" i="4" s="1"/>
  <c r="AL9" i="4"/>
  <c r="J4" i="4" l="1"/>
  <c r="AV6" i="4"/>
  <c r="K6" i="4" s="1"/>
  <c r="K4" i="4"/>
  <c r="AV5" i="4"/>
  <c r="J6" i="4" s="1"/>
  <c r="AO6" i="4"/>
  <c r="K5" i="4" s="1"/>
  <c r="AO5" i="4"/>
  <c r="J5" i="4" s="1"/>
  <c r="T4" i="4" l="1"/>
  <c r="J4" i="14"/>
  <c r="J6" i="14"/>
  <c r="K4" i="14"/>
  <c r="J5" i="14"/>
  <c r="K5" i="14"/>
  <c r="K6" i="14"/>
  <c r="U5" i="4"/>
  <c r="Q5" i="4"/>
  <c r="R5" i="4"/>
  <c r="P5" i="4"/>
  <c r="V5" i="4"/>
  <c r="W5" i="4"/>
  <c r="T5" i="4"/>
  <c r="P6" i="4"/>
  <c r="R6" i="4"/>
  <c r="T6" i="4"/>
  <c r="U6" i="4"/>
  <c r="W6" i="4"/>
  <c r="V6" i="4"/>
  <c r="Q6" i="4"/>
  <c r="V4" i="4"/>
  <c r="P4" i="4"/>
  <c r="R4" i="4"/>
  <c r="Q4" i="4"/>
  <c r="U4" i="4"/>
  <c r="W4" i="4"/>
  <c r="E4" i="20" l="1"/>
  <c r="E6" i="20"/>
  <c r="D6" i="20"/>
  <c r="E5" i="20"/>
  <c r="D4" i="20"/>
  <c r="D5" i="20"/>
  <c r="X5" i="4"/>
  <c r="M5" i="4" s="1"/>
  <c r="Y6" i="4"/>
  <c r="N6" i="4" s="1"/>
  <c r="S6" i="4"/>
  <c r="L6" i="4" s="1"/>
  <c r="Y5" i="4"/>
  <c r="N5" i="4" s="1"/>
  <c r="S4" i="4"/>
  <c r="L4" i="4" s="1"/>
  <c r="X4" i="4"/>
  <c r="M4" i="4" s="1"/>
  <c r="S5" i="4"/>
  <c r="L5" i="4" s="1"/>
  <c r="Y4" i="4"/>
  <c r="N4" i="4" s="1"/>
  <c r="X6" i="4"/>
  <c r="M6" i="4" s="1"/>
  <c r="M4" i="14" l="1"/>
  <c r="M5" i="14"/>
  <c r="M6" i="14"/>
  <c r="N4" i="14"/>
  <c r="L4" i="14"/>
  <c r="N5" i="14"/>
  <c r="L5" i="14"/>
  <c r="L6" i="14"/>
  <c r="N6" i="14"/>
  <c r="AJ15" i="4" l="1" a="1"/>
  <c r="AK16" i="4" a="1"/>
  <c r="AK16" i="4" s="1"/>
  <c r="AJ15" i="4" l="1"/>
  <c r="AN12" i="4" s="1"/>
  <c r="AN15" i="4" s="1"/>
  <c r="AN16" i="4" l="1"/>
  <c r="AL17" i="4" s="1"/>
  <c r="AJ17" i="4" l="1"/>
  <c r="AK17" i="4"/>
  <c r="AO13" i="4" l="1"/>
  <c r="J13" i="4" s="1"/>
  <c r="AO14" i="4"/>
  <c r="K13" i="4" s="1"/>
  <c r="T13" i="4" l="1"/>
  <c r="J9" i="14"/>
  <c r="K9" i="14"/>
  <c r="R13" i="4"/>
  <c r="W13" i="4"/>
  <c r="V13" i="4"/>
  <c r="Q13" i="4"/>
  <c r="U13" i="4"/>
  <c r="P13" i="4"/>
  <c r="D23" i="20" l="1"/>
  <c r="E23" i="20"/>
  <c r="X13" i="4"/>
  <c r="M13" i="4" s="1"/>
  <c r="Y13" i="4"/>
  <c r="N13" i="4" s="1"/>
  <c r="S13" i="4"/>
  <c r="L13" i="4" s="1"/>
  <c r="N9" i="14" l="1"/>
  <c r="M9" i="14"/>
  <c r="L9" i="14"/>
  <c r="AS16" i="22" l="1" a="1"/>
  <c r="AS16" i="22" s="1"/>
  <c r="AK15" i="22" a="1"/>
  <c r="AK15" i="22" s="1"/>
  <c r="AL16" i="22" a="1"/>
  <c r="AL16" i="22" s="1"/>
  <c r="AS8" i="22" a="1"/>
  <c r="AS8" i="22" s="1"/>
  <c r="AR7" i="22" a="1"/>
  <c r="AR7" i="22" s="1"/>
  <c r="AV4" i="22" s="1"/>
  <c r="AV7" i="22" s="1"/>
  <c r="AO12" i="22" l="1"/>
  <c r="AO15" i="22" s="1"/>
  <c r="AV8" i="22"/>
  <c r="AS9" i="22" s="1"/>
  <c r="AO16" i="22" l="1"/>
  <c r="AL17" i="22" s="1"/>
  <c r="AR9" i="22"/>
  <c r="AT9" i="22"/>
  <c r="AW5" i="22" l="1"/>
  <c r="J6" i="22" s="1"/>
  <c r="J6" i="23" s="1"/>
  <c r="AK17" i="22"/>
  <c r="AM17" i="22"/>
  <c r="AW6" i="22"/>
  <c r="K6" i="22" s="1"/>
  <c r="K6" i="23" s="1"/>
  <c r="Q6" i="22" l="1"/>
  <c r="D11" i="20"/>
  <c r="E11" i="20"/>
  <c r="P6" i="22"/>
  <c r="R6" i="22"/>
  <c r="T6" i="22"/>
  <c r="U6" i="22"/>
  <c r="W6" i="22"/>
  <c r="V6" i="22"/>
  <c r="AP13" i="22"/>
  <c r="J13" i="22" s="1"/>
  <c r="AP14" i="22"/>
  <c r="K13" i="22" s="1"/>
  <c r="K9" i="23" s="1"/>
  <c r="S6" i="22" l="1"/>
  <c r="L6" i="22" s="1"/>
  <c r="L6" i="23" s="1"/>
  <c r="E28" i="20"/>
  <c r="X6" i="22"/>
  <c r="M6" i="22" s="1"/>
  <c r="M6" i="23" s="1"/>
  <c r="J9" i="23"/>
  <c r="V13" i="22"/>
  <c r="T13" i="22"/>
  <c r="U13" i="22"/>
  <c r="W13" i="22"/>
  <c r="Y6" i="22"/>
  <c r="N6" i="22" s="1"/>
  <c r="N6" i="23" s="1"/>
  <c r="Q13" i="22"/>
  <c r="P13" i="22"/>
  <c r="R13" i="22"/>
  <c r="D28" i="20" l="1"/>
  <c r="X13" i="22"/>
  <c r="M13" i="22" s="1"/>
  <c r="M9" i="23" s="1"/>
  <c r="S13" i="22"/>
  <c r="L13" i="22" s="1"/>
  <c r="L9" i="23" s="1"/>
  <c r="Y13" i="22"/>
  <c r="N13" i="22" s="1"/>
  <c r="N9" i="23" s="1"/>
  <c r="AR15" i="22" a="1"/>
  <c r="AR15" i="22" s="1"/>
  <c r="AV12" i="22" s="1"/>
  <c r="AV15" i="22" s="1"/>
  <c r="AV16" i="22" l="1"/>
  <c r="AR17" i="22" s="1"/>
  <c r="AT17" i="22" l="1"/>
  <c r="AS17" i="22"/>
  <c r="AW14" i="22" l="1"/>
  <c r="K14" i="22" s="1"/>
  <c r="K10" i="23" s="1"/>
  <c r="AW13" i="22"/>
  <c r="J14" i="22" s="1"/>
  <c r="P14" i="22" s="1"/>
  <c r="Q14" i="22" l="1"/>
  <c r="E29" i="20"/>
  <c r="T14" i="22"/>
  <c r="R14" i="22"/>
  <c r="S14" i="22" s="1"/>
  <c r="L14" i="22" s="1"/>
  <c r="L10" i="23" s="1"/>
  <c r="V14" i="22"/>
  <c r="W14" i="22"/>
  <c r="J10" i="23"/>
  <c r="U14" i="22"/>
  <c r="Y14" i="22" l="1"/>
  <c r="N14" i="22" s="1"/>
  <c r="N10" i="23" s="1"/>
  <c r="X14" i="22"/>
  <c r="M14" i="22" s="1"/>
  <c r="M10" i="23" s="1"/>
  <c r="D29" i="20"/>
  <c r="AD16" i="22" l="1" a="1"/>
  <c r="AD16" i="22" s="1"/>
  <c r="AC15" i="22" a="1"/>
  <c r="AC15" i="22" l="1"/>
  <c r="AG12" i="22" s="1"/>
  <c r="AG15" i="22" s="1"/>
  <c r="AG16" i="22" l="1"/>
  <c r="AC17" i="22" s="1"/>
  <c r="AD17" i="22" l="1"/>
  <c r="AH14" i="22" s="1"/>
  <c r="K12" i="22" s="1"/>
  <c r="K8" i="23" s="1"/>
  <c r="AE17" i="22"/>
  <c r="AH13" i="22" l="1"/>
  <c r="J12" i="22" s="1"/>
  <c r="W12" i="22"/>
  <c r="Q12" i="22"/>
  <c r="P12" i="22"/>
  <c r="U12" i="22"/>
  <c r="T12" i="22"/>
  <c r="V12" i="22"/>
  <c r="Y12" i="22" s="1"/>
  <c r="N12" i="22" s="1"/>
  <c r="N8" i="23" s="1"/>
  <c r="J8" i="23"/>
  <c r="R12" i="22"/>
  <c r="E27" i="20"/>
  <c r="D27" i="20" l="1"/>
  <c r="X12" i="22"/>
  <c r="M12" i="22" s="1"/>
  <c r="M8" i="23" s="1"/>
  <c r="S12" i="22"/>
  <c r="L12" i="22" s="1"/>
  <c r="L8" i="2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tc={AECD47EE-DF37-4549-9B14-21E193BC75D8}</author>
  </authors>
  <commentList>
    <comment ref="C4" authorId="0" shapeId="0" xr:uid="{AECD47EE-DF37-4549-9B14-21E193BC75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According to ICER tornado: CR and PR utility lower input corresponds to higher CE ratio. Flipped both the input and resulting CE ratios (columns CD and FG)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<sst xmlns="http://schemas.openxmlformats.org/spreadsheetml/2006/main" count="235" uniqueCount="87">
  <si>
    <t>Base case</t>
  </si>
  <si>
    <t>Lower bound</t>
  </si>
  <si>
    <t>Upper bound</t>
  </si>
  <si>
    <t>Min</t>
  </si>
  <si>
    <t>Median</t>
  </si>
  <si>
    <t>Max</t>
  </si>
  <si>
    <t>Expert 1 CE ratio</t>
  </si>
  <si>
    <t>Expert 2 CE ratio</t>
  </si>
  <si>
    <t>Avg pct deviation</t>
  </si>
  <si>
    <t>Cross $100K benchmark</t>
  </si>
  <si>
    <t>Cross $150K benchmark</t>
  </si>
  <si>
    <t>All &lt;= BM1</t>
  </si>
  <si>
    <t>All &gt; BM1</t>
  </si>
  <si>
    <t>All &lt;= BM2</t>
  </si>
  <si>
    <t>All &gt; BM2</t>
  </si>
  <si>
    <t>Expert 1 ICER</t>
  </si>
  <si>
    <t>Expert 2 ICER</t>
  </si>
  <si>
    <t>Utility Progressed Disease Rucaparib</t>
  </si>
  <si>
    <t>Utility Progression-Free Disease on Treatment Rucaparib</t>
  </si>
  <si>
    <t>Benchmark1</t>
  </si>
  <si>
    <t>Benchmark2</t>
  </si>
  <si>
    <t>CE_Scale</t>
  </si>
  <si>
    <t>RoundPlace</t>
  </si>
  <si>
    <t>extreme</t>
  </si>
  <si>
    <t>Expert 1</t>
  </si>
  <si>
    <t>Expert 2</t>
  </si>
  <si>
    <t>Lower bound assumption</t>
  </si>
  <si>
    <t>Upper bound assumption</t>
  </si>
  <si>
    <t>Expert Group 1</t>
  </si>
  <si>
    <t>Expert Group 2</t>
  </si>
  <si>
    <t>Expert group imputed CE ratios (iv)</t>
  </si>
  <si>
    <t>Influence measures (v)</t>
  </si>
  <si>
    <t>Utility Progressed Disease Olaparib</t>
  </si>
  <si>
    <t>Utility Progressed Disease PLD+C</t>
  </si>
  <si>
    <t>Utility Progression-free Disease on Treatment Olaparib</t>
  </si>
  <si>
    <t xml:space="preserve">Utility Progression-Free Disease on Treatment PLD+C  </t>
  </si>
  <si>
    <t>Utility Progression-Free Disease on Treatment PLD+Cs</t>
  </si>
  <si>
    <t>ICER</t>
  </si>
  <si>
    <t>Assumption Group</t>
  </si>
  <si>
    <t>Utility weights</t>
  </si>
  <si>
    <t>100K Benchmark</t>
  </si>
  <si>
    <t>150K Benchmark</t>
  </si>
  <si>
    <t>Utility weight assumptions from ICER (i)</t>
  </si>
  <si>
    <t>Expert group utility weight assumptions (iii)</t>
  </si>
  <si>
    <t>CE ratios from ICER ($000/QALY) (ii)</t>
  </si>
  <si>
    <t>Analysis (a) Belimumab</t>
  </si>
  <si>
    <t>Analysis (b) Voclosporin</t>
  </si>
  <si>
    <t>Assumptions</t>
  </si>
  <si>
    <t>CE Ratios</t>
  </si>
  <si>
    <t>Utility weight - Partial response</t>
  </si>
  <si>
    <t>Utility weight - Complete response</t>
  </si>
  <si>
    <t>Utility weight - Active disease</t>
  </si>
  <si>
    <t>Base case (a)</t>
  </si>
  <si>
    <t>Belimumab</t>
  </si>
  <si>
    <t>Voclosporin</t>
  </si>
  <si>
    <t>(a)</t>
  </si>
  <si>
    <t>Low CE value (b)</t>
  </si>
  <si>
    <t>High CE value (b)</t>
  </si>
  <si>
    <t>(b)</t>
  </si>
  <si>
    <t>Base case (c)</t>
  </si>
  <si>
    <t>Low CE value (d)</t>
  </si>
  <si>
    <t>High CE value (d)</t>
  </si>
  <si>
    <t>Notes - Belimumab</t>
  </si>
  <si>
    <t>(c)</t>
  </si>
  <si>
    <t>Cost-per-QALY base case value comes from Table 4.5</t>
  </si>
  <si>
    <t>(d)</t>
  </si>
  <si>
    <t>For CR, PR, and AD, utility weight lower and upper cost-effectiveness values come from Table E15 for Belimumab</t>
  </si>
  <si>
    <t>For CR, PR, and AD, utility weight lower and upper utility values come from Table E15 for Belimumab</t>
  </si>
  <si>
    <t>Experts</t>
  </si>
  <si>
    <t>Group 1</t>
  </si>
  <si>
    <t>Group 2</t>
  </si>
  <si>
    <t>For CR, PR, AD, and ESRD, utility weight base case values come from Table 4.4.</t>
  </si>
  <si>
    <t>Notes - Voclosporin</t>
  </si>
  <si>
    <t>Same as note (a) for Belimumab</t>
  </si>
  <si>
    <t>For CR, PR, and AD, utility weight lower and upper utility values come from Table E17 for Voclosporin</t>
  </si>
  <si>
    <t>Cost-per-QALY base case value comes from Table 4.6</t>
  </si>
  <si>
    <t>For CR, PR, and AD, utility weight lower and upper cost-effectiveness values come from Table E17 for Voclosporin</t>
  </si>
  <si>
    <t>Cost per month - Complete response</t>
  </si>
  <si>
    <t>Cost per month - Active disease</t>
  </si>
  <si>
    <t>Cost per month - End stage renal disease</t>
  </si>
  <si>
    <t>For CR, PR, AD, and ESRD, monthly cost lower and upper cost-effectiveness values come from Table E15 for Belimumab</t>
  </si>
  <si>
    <t>For CR, PR, AD, and ESRD, monthly cost lower and upper cost-effectiveness values come from Table E17 for Voclosporin</t>
  </si>
  <si>
    <t>Monthly cost assumptions from ICER (i)</t>
  </si>
  <si>
    <t>Expert group monthly cost assumptions (iii)</t>
  </si>
  <si>
    <t>Monthly costs</t>
  </si>
  <si>
    <t>For CR, PR, AD, and ESRD, costs come from Table 4.4.</t>
  </si>
  <si>
    <t>For CR, PR, and AD, utility weight lower and upper utility values come from Table E15 for Belimumab.  For ESRD, see formulas.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</si>
</sst>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&quot;$&quot;#,##0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6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  <xf numFmtId="2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/>
    <xf numFmtId="2" fontId="6" fillId="0" borderId="0" xfId="0" applyNumberFormat="1" applyFont="1" applyAlignment="1">
      <alignment horizontal="center"/>
    </xf>
    <xf numFmtId="164" fontId="6" fillId="0" borderId="0" xfId="1" applyNumberFormat="1" applyFont="1"/>
    <xf numFmtId="9" fontId="6" fillId="0" borderId="0" xfId="2" applyFont="1" applyAlignment="1">
      <alignment horizontal="center"/>
    </xf>
    <xf numFmtId="9" fontId="0" fillId="0" borderId="0" xfId="2" applyFont="1"/>
    <xf numFmtId="0" fontId="6" fillId="0" borderId="0" xfId="0" applyFont="1" applyAlignment="1">
      <alignment horizontal="center"/>
    </xf>
    <xf numFmtId="6" fontId="0" fillId="0" borderId="0" xfId="0" applyNumberForma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2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/>
    <xf numFmtId="3" fontId="11" fillId="0" borderId="0" xfId="0" applyNumberFormat="1" applyFont="1" applyAlignment="1">
      <alignment horizontal="center"/>
    </xf>
    <xf numFmtId="2" fontId="11" fillId="0" borderId="0" xfId="0" applyNumberFormat="1" applyFont="1"/>
    <xf numFmtId="0" fontId="11" fillId="0" borderId="0" xfId="0" applyFont="1" applyAlignment="1">
      <alignment horizontal="center"/>
    </xf>
    <xf numFmtId="164" fontId="11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44" fontId="9" fillId="0" borderId="0" xfId="1" applyFont="1"/>
    <xf numFmtId="6" fontId="9" fillId="0" borderId="0" xfId="0" applyNumberFormat="1" applyFont="1"/>
    <xf numFmtId="164" fontId="9" fillId="0" borderId="0" xfId="1" applyNumberFormat="1" applyFont="1"/>
    <xf numFmtId="164" fontId="9" fillId="0" borderId="0" xfId="0" applyNumberFormat="1" applyFont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164" fontId="6" fillId="0" borderId="1" xfId="1" applyNumberFormat="1" applyFont="1" applyBorder="1"/>
    <xf numFmtId="9" fontId="6" fillId="0" borderId="1" xfId="2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4" fontId="13" fillId="0" borderId="0" xfId="1" applyNumberFormat="1" applyFont="1" applyAlignment="1">
      <alignment horizontal="center"/>
    </xf>
    <xf numFmtId="164" fontId="12" fillId="0" borderId="0" xfId="1" applyNumberFormat="1" applyFont="1" applyAlignment="1">
      <alignment horizontal="center"/>
    </xf>
    <xf numFmtId="164" fontId="6" fillId="0" borderId="0" xfId="0" applyNumberFormat="1" applyFont="1"/>
    <xf numFmtId="9" fontId="6" fillId="0" borderId="0" xfId="2" applyFont="1"/>
    <xf numFmtId="0" fontId="6" fillId="0" borderId="1" xfId="0" applyFont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164" fontId="9" fillId="0" borderId="0" xfId="1" applyNumberFormat="1" applyFont="1" applyFill="1"/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wrapText="1"/>
    </xf>
    <xf numFmtId="0" fontId="9" fillId="0" borderId="0" xfId="0" applyFont="1" applyFill="1"/>
    <xf numFmtId="166" fontId="6" fillId="0" borderId="1" xfId="0" applyNumberFormat="1" applyFont="1" applyBorder="1" applyAlignment="1">
      <alignment horizontal="center"/>
    </xf>
    <xf numFmtId="167" fontId="9" fillId="0" borderId="0" xfId="0" applyNumberFormat="1" applyFont="1" applyFill="1" applyAlignment="1">
      <alignment horizontal="center"/>
    </xf>
    <xf numFmtId="164" fontId="9" fillId="0" borderId="0" xfId="1" applyNumberFormat="1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164" fontId="14" fillId="0" borderId="0" xfId="1" applyNumberFormat="1" applyFont="1" applyFill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0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Figures!$C$3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>
              <a:noFill/>
            </a:ln>
          </c:spPr>
          <c:marker>
            <c:symbol val="square"/>
            <c:size val="7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Figures!$C$4:$C$12</c:f>
              <c:numCache>
                <c:formatCode>_("$"* #,##0_);_("$"* \(#,##0\);_("$"* "-"??_);_(@_)</c:formatCode>
                <c:ptCount val="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</c:numCache>
            </c:numRef>
          </c:xVal>
          <c:yVal>
            <c:numRef>
              <c:f>Figures!$H$4:$H$12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5">
                  <c:v>2.5</c:v>
                </c:pt>
                <c:pt idx="6">
                  <c:v>2.25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15A-4C54-8224-D3B95E7B7A6B}"/>
            </c:ext>
          </c:extLst>
        </c:ser>
        <c:ser>
          <c:idx val="6"/>
          <c:order val="1"/>
          <c:tx>
            <c:strRef>
              <c:f>Figures!$D$3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Figures!$D$4:$D$12</c:f>
              <c:numCache>
                <c:formatCode>_("$"* #,##0_);_("$"* \(#,##0\);_("$"* "-"??_);_(@_)</c:formatCode>
                <c:ptCount val="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</c:numCache>
            </c:numRef>
          </c:xVal>
          <c:yVal>
            <c:numRef>
              <c:f>Figures!$H$4:$H$12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5">
                  <c:v>2.5</c:v>
                </c:pt>
                <c:pt idx="6">
                  <c:v>2.25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15A-4C54-8224-D3B95E7B7A6B}"/>
            </c:ext>
          </c:extLst>
        </c:ser>
        <c:ser>
          <c:idx val="7"/>
          <c:order val="2"/>
          <c:tx>
            <c:strRef>
              <c:f>Figures!$E$3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>
              <a:noFill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Figures!$E$4:$E$12</c:f>
              <c:numCache>
                <c:formatCode>_("$"* #,##0_);_("$"* \(#,##0\);_("$"* "-"??_);_(@_)</c:formatCode>
                <c:ptCount val="9"/>
                <c:pt idx="0">
                  <c:v>81</c:v>
                </c:pt>
                <c:pt idx="1">
                  <c:v>89</c:v>
                </c:pt>
                <c:pt idx="2">
                  <c:v>82</c:v>
                </c:pt>
                <c:pt idx="5">
                  <c:v>124</c:v>
                </c:pt>
                <c:pt idx="6">
                  <c:v>53</c:v>
                </c:pt>
                <c:pt idx="7">
                  <c:v>89</c:v>
                </c:pt>
              </c:numCache>
            </c:numRef>
          </c:xVal>
          <c:yVal>
            <c:numRef>
              <c:f>Figures!$H$4:$H$12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5">
                  <c:v>2.5</c:v>
                </c:pt>
                <c:pt idx="6">
                  <c:v>2.25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15A-4C54-8224-D3B95E7B7A6B}"/>
            </c:ext>
          </c:extLst>
        </c:ser>
        <c:ser>
          <c:idx val="8"/>
          <c:order val="3"/>
          <c:tx>
            <c:strRef>
              <c:f>Figures!$F$3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Figures!$F$14:$F$15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Figures!$H$14:$H$15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15A-4C54-8224-D3B95E7B7A6B}"/>
            </c:ext>
          </c:extLst>
        </c:ser>
        <c:ser>
          <c:idx val="9"/>
          <c:order val="4"/>
          <c:tx>
            <c:strRef>
              <c:f>Figures!$G$3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Figures!$G$17:$G$18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Figures!$H$17:$H$18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15A-4C54-8224-D3B95E7B7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3168"/>
        <c:axId val="529118192"/>
      </c:scatterChart>
      <c:valAx>
        <c:axId val="52913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Cost-Effectiveness ($000/QALY)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118192"/>
        <c:crosses val="autoZero"/>
        <c:crossBetween val="midCat"/>
      </c:valAx>
      <c:valAx>
        <c:axId val="5291181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3168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Figures!$C$21</c:f>
              <c:strCache>
                <c:ptCount val="1"/>
                <c:pt idx="0">
                  <c:v>ICER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Figures!$C$22:$C$31</c:f>
              <c:numCache>
                <c:formatCode>_("$"* #,##0_);_("$"* \(#,##0\);_("$"* "-"??_);_(@_)</c:formatCode>
                <c:ptCount val="10"/>
                <c:pt idx="0">
                  <c:v>149</c:v>
                </c:pt>
                <c:pt idx="1">
                  <c:v>149</c:v>
                </c:pt>
                <c:pt idx="2">
                  <c:v>149</c:v>
                </c:pt>
                <c:pt idx="5">
                  <c:v>149</c:v>
                </c:pt>
                <c:pt idx="6">
                  <c:v>149</c:v>
                </c:pt>
                <c:pt idx="7">
                  <c:v>149</c:v>
                </c:pt>
              </c:numCache>
            </c:numRef>
          </c:xVal>
          <c:yVal>
            <c:numRef>
              <c:f>Figures!$H$22:$H$31</c:f>
              <c:numCache>
                <c:formatCode>General</c:formatCode>
                <c:ptCount val="10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5">
                  <c:v>2.5</c:v>
                </c:pt>
                <c:pt idx="6">
                  <c:v>2.25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E-4DE1-8B17-0A07D42B963F}"/>
            </c:ext>
          </c:extLst>
        </c:ser>
        <c:ser>
          <c:idx val="1"/>
          <c:order val="1"/>
          <c:tx>
            <c:strRef>
              <c:f>Figures!$D$21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Figures!$D$22:$D$31</c:f>
              <c:numCache>
                <c:formatCode>_("$"* #,##0_);_("$"* \(#,##0\);_("$"* "-"??_);_(@_)</c:formatCode>
                <c:ptCount val="10"/>
                <c:pt idx="0">
                  <c:v>149</c:v>
                </c:pt>
                <c:pt idx="1">
                  <c:v>149</c:v>
                </c:pt>
                <c:pt idx="2">
                  <c:v>165</c:v>
                </c:pt>
                <c:pt idx="5">
                  <c:v>149</c:v>
                </c:pt>
                <c:pt idx="6">
                  <c:v>149</c:v>
                </c:pt>
                <c:pt idx="7">
                  <c:v>149</c:v>
                </c:pt>
              </c:numCache>
            </c:numRef>
          </c:xVal>
          <c:yVal>
            <c:numRef>
              <c:f>Figures!$H$22:$H$31</c:f>
              <c:numCache>
                <c:formatCode>General</c:formatCode>
                <c:ptCount val="10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5">
                  <c:v>2.5</c:v>
                </c:pt>
                <c:pt idx="6">
                  <c:v>2.25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DE-4DE1-8B17-0A07D42B963F}"/>
            </c:ext>
          </c:extLst>
        </c:ser>
        <c:ser>
          <c:idx val="2"/>
          <c:order val="2"/>
          <c:tx>
            <c:strRef>
              <c:f>Figures!$E$21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Figures!$E$22:$E$31</c:f>
              <c:numCache>
                <c:formatCode>_("$"* #,##0_);_("$"* \(#,##0\);_("$"* "-"??_);_(@_)</c:formatCode>
                <c:ptCount val="10"/>
                <c:pt idx="0">
                  <c:v>155</c:v>
                </c:pt>
                <c:pt idx="1">
                  <c:v>150</c:v>
                </c:pt>
                <c:pt idx="2">
                  <c:v>194</c:v>
                </c:pt>
                <c:pt idx="5">
                  <c:v>222</c:v>
                </c:pt>
                <c:pt idx="6">
                  <c:v>118</c:v>
                </c:pt>
                <c:pt idx="7">
                  <c:v>149</c:v>
                </c:pt>
              </c:numCache>
            </c:numRef>
          </c:xVal>
          <c:yVal>
            <c:numRef>
              <c:f>Figures!$H$22:$H$31</c:f>
              <c:numCache>
                <c:formatCode>General</c:formatCode>
                <c:ptCount val="10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5">
                  <c:v>2.5</c:v>
                </c:pt>
                <c:pt idx="6">
                  <c:v>2.25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E-4DE1-8B17-0A07D42B963F}"/>
            </c:ext>
          </c:extLst>
        </c:ser>
        <c:ser>
          <c:idx val="3"/>
          <c:order val="3"/>
          <c:tx>
            <c:strRef>
              <c:f>Figures!$F$3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Figures!$F$33:$F$34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Figures!$H$33:$H$34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DE-4DE1-8B17-0A07D42B963F}"/>
            </c:ext>
          </c:extLst>
        </c:ser>
        <c:ser>
          <c:idx val="4"/>
          <c:order val="4"/>
          <c:tx>
            <c:strRef>
              <c:f>Figures!$G$3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Figures!$G$36:$G$37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Figures!$H$36:$H$37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DE-4DE1-8B17-0A07D42B9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3168"/>
        <c:axId val="529118192"/>
      </c:scatterChart>
      <c:valAx>
        <c:axId val="52913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Cost-Effectiveness ($000/QALY)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118192"/>
        <c:crosses val="autoZero"/>
        <c:crossBetween val="midCat"/>
      </c:valAx>
      <c:valAx>
        <c:axId val="5291181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316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'Figures main'!$C$3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>
              <a:noFill/>
            </a:ln>
          </c:spPr>
          <c:marker>
            <c:symbol val="square"/>
            <c:size val="7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'Figures main'!$C$4:$C$24</c:f>
              <c:numCache>
                <c:formatCode>_("$"* #,##0_);_("$"* \(#,##0\);_("$"* "-"??_);_(@_)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11">
                  <c:v>149</c:v>
                </c:pt>
                <c:pt idx="12">
                  <c:v>149</c:v>
                </c:pt>
                <c:pt idx="13">
                  <c:v>149</c:v>
                </c:pt>
                <c:pt idx="16">
                  <c:v>149</c:v>
                </c:pt>
                <c:pt idx="17">
                  <c:v>149</c:v>
                </c:pt>
                <c:pt idx="18">
                  <c:v>149</c:v>
                </c:pt>
              </c:numCache>
            </c:numRef>
          </c:xVal>
          <c:yVal>
            <c:numRef>
              <c:f>'Figures main'!$H$4:$H$24</c:f>
              <c:numCache>
                <c:formatCode>General</c:formatCode>
                <c:ptCount val="21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B-4705-94CA-92BF82C6E3F8}"/>
            </c:ext>
          </c:extLst>
        </c:ser>
        <c:ser>
          <c:idx val="6"/>
          <c:order val="1"/>
          <c:tx>
            <c:strRef>
              <c:f>'Figures main'!$D$3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'Figures main'!$D$4:$D$24</c:f>
              <c:numCache>
                <c:formatCode>_("$"* #,##0_);_("$"* \(#,##0\);_("$"* "-"??_);_(@_)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11">
                  <c:v>149</c:v>
                </c:pt>
                <c:pt idx="12">
                  <c:v>149</c:v>
                </c:pt>
                <c:pt idx="13">
                  <c:v>165</c:v>
                </c:pt>
                <c:pt idx="16">
                  <c:v>149</c:v>
                </c:pt>
                <c:pt idx="17">
                  <c:v>149</c:v>
                </c:pt>
                <c:pt idx="18">
                  <c:v>149</c:v>
                </c:pt>
              </c:numCache>
            </c:numRef>
          </c:xVal>
          <c:yVal>
            <c:numRef>
              <c:f>'Figures main'!$H$4:$H$23</c:f>
              <c:numCache>
                <c:formatCode>General</c:formatCode>
                <c:ptCount val="20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B-4705-94CA-92BF82C6E3F8}"/>
            </c:ext>
          </c:extLst>
        </c:ser>
        <c:ser>
          <c:idx val="7"/>
          <c:order val="2"/>
          <c:tx>
            <c:strRef>
              <c:f>'Figures main'!$E$3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'Figures main'!$E$4:$E$24</c:f>
              <c:numCache>
                <c:formatCode>_("$"* #,##0_);_("$"* \(#,##0\);_("$"* "-"??_);_(@_)</c:formatCode>
                <c:ptCount val="21"/>
                <c:pt idx="0">
                  <c:v>81</c:v>
                </c:pt>
                <c:pt idx="1">
                  <c:v>89</c:v>
                </c:pt>
                <c:pt idx="2">
                  <c:v>82</c:v>
                </c:pt>
                <c:pt idx="5">
                  <c:v>124</c:v>
                </c:pt>
                <c:pt idx="6">
                  <c:v>53</c:v>
                </c:pt>
                <c:pt idx="7">
                  <c:v>89</c:v>
                </c:pt>
                <c:pt idx="11">
                  <c:v>155</c:v>
                </c:pt>
                <c:pt idx="12">
                  <c:v>150</c:v>
                </c:pt>
                <c:pt idx="13">
                  <c:v>194</c:v>
                </c:pt>
                <c:pt idx="16">
                  <c:v>222</c:v>
                </c:pt>
                <c:pt idx="17">
                  <c:v>118</c:v>
                </c:pt>
                <c:pt idx="18">
                  <c:v>149</c:v>
                </c:pt>
              </c:numCache>
            </c:numRef>
          </c:xVal>
          <c:yVal>
            <c:numRef>
              <c:f>'Figures main'!$H$4:$H$24</c:f>
              <c:numCache>
                <c:formatCode>General</c:formatCode>
                <c:ptCount val="21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B-4705-94CA-92BF82C6E3F8}"/>
            </c:ext>
          </c:extLst>
        </c:ser>
        <c:ser>
          <c:idx val="8"/>
          <c:order val="3"/>
          <c:tx>
            <c:strRef>
              <c:f>'Figures main'!$F$3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'Figures main'!$F$27:$F$28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'Figures main'!$H$27:$H$28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B-4705-94CA-92BF82C6E3F8}"/>
            </c:ext>
          </c:extLst>
        </c:ser>
        <c:ser>
          <c:idx val="4"/>
          <c:order val="4"/>
          <c:tx>
            <c:strRef>
              <c:f>'Figures main'!$G$3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'Figures main'!$G$30:$G$31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'Figures main'!$H$30:$H$31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3B-4705-94CA-92BF82C6E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3168"/>
        <c:axId val="529118192"/>
      </c:scatterChart>
      <c:valAx>
        <c:axId val="52913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Cost-Effectiveness ($000/QALY)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118192"/>
        <c:crosses val="autoZero"/>
        <c:crossBetween val="midCat"/>
        <c:minorUnit val="50"/>
      </c:valAx>
      <c:valAx>
        <c:axId val="5291181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3168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243841</xdr:colOff>
      <xdr:row>0</xdr:row>
      <xdr:rowOff>150495</xdr:rowOff>
    </xdr:from>
    <xdr:to>
      <xdr:col>19</xdr:col>
      <xdr:colOff>136053</xdr:colOff>
      <xdr:row>15</xdr:row>
      <xdr:rowOff>59055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6721" y="150495"/>
          <a:ext cx="5527202" cy="2594610"/>
        </a:xfrm>
        <a:prstGeom prst="rect">
          <a:avLst/>
        </a:prstGeom>
      </xdr:spPr>
    </xdr:pic>
    <xdr:clientData/>
  </xdr:twoCellAnchor>
  <xdr:twoCellAnchor editAs="oneCell">
    <xdr:from>
      <xdr:col>28</xdr:col>
      <xdr:colOff>342901</xdr:colOff>
      <xdr:row>0</xdr:row>
      <xdr:rowOff>152399</xdr:rowOff>
    </xdr:from>
    <xdr:to>
      <xdr:col>37</xdr:col>
      <xdr:colOff>3378</xdr:colOff>
      <xdr:row>22</xdr:row>
      <xdr:rowOff>98351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45276" y="3390899"/>
          <a:ext cx="5146877" cy="3856917"/>
        </a:xfrm>
        <a:prstGeom prst="rect">
          <a:avLst/>
        </a:prstGeom>
      </xdr:spPr>
    </xdr:pic>
    <xdr:clientData/>
  </xdr:twoCellAnchor>
  <xdr:twoCellAnchor editAs="oneCell">
    <xdr:from>
      <xdr:col>19</xdr:col>
      <xdr:colOff>219075</xdr:colOff>
      <xdr:row>1</xdr:row>
      <xdr:rowOff>71437</xdr:rowOff>
    </xdr:from>
    <xdr:to>
      <xdr:col>27</xdr:col>
      <xdr:colOff>437198</xdr:colOff>
      <xdr:row>10</xdr:row>
      <xdr:rowOff>58757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35050" y="3471862"/>
          <a:ext cx="5104448" cy="1595140"/>
        </a:xfrm>
        <a:prstGeom prst="rect">
          <a:avLst/>
        </a:prstGeom>
      </xdr:spPr>
    </xdr:pic>
    <xdr:clientData/>
  </xdr:twoCellAnchor>
  <xdr:twoCellAnchor editAs="oneCell">
    <xdr:from>
      <xdr:col>10</xdr:col>
      <xdr:colOff>131665</xdr:colOff>
      <xdr:row>16</xdr:row>
      <xdr:rowOff>38100</xdr:rowOff>
    </xdr:from>
    <xdr:to>
      <xdr:col>19</xdr:col>
      <xdr:colOff>173355</xdr:colOff>
      <xdr:row>36</xdr:row>
      <xdr:rowOff>56169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75690" y="6191250"/>
          <a:ext cx="5535710" cy="3418494"/>
        </a:xfrm>
        <a:prstGeom prst="rect">
          <a:avLst/>
        </a:prstGeom>
      </xdr:spPr>
    </xdr:pic>
    <xdr:clientData/>
  </xdr:twoCellAnchor>
  <xdr:twoCellAnchor editAs="oneCell">
    <xdr:from>
      <xdr:col>19</xdr:col>
      <xdr:colOff>352425</xdr:colOff>
      <xdr:row>16</xdr:row>
      <xdr:rowOff>38100</xdr:rowOff>
    </xdr:from>
    <xdr:to>
      <xdr:col>27</xdr:col>
      <xdr:colOff>397270</xdr:colOff>
      <xdr:row>24</xdr:row>
      <xdr:rowOff>18775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82850" y="6191250"/>
          <a:ext cx="4917835" cy="143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190501</xdr:colOff>
      <xdr:row>0</xdr:row>
      <xdr:rowOff>142875</xdr:rowOff>
    </xdr:from>
    <xdr:to>
      <xdr:col>19</xdr:col>
      <xdr:colOff>94143</xdr:colOff>
      <xdr:row>15</xdr:row>
      <xdr:rowOff>55245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4526" y="142875"/>
          <a:ext cx="5401472" cy="2514600"/>
        </a:xfrm>
        <a:prstGeom prst="rect">
          <a:avLst/>
        </a:prstGeom>
      </xdr:spPr>
    </xdr:pic>
    <xdr:clientData/>
  </xdr:twoCellAnchor>
  <xdr:twoCellAnchor editAs="oneCell">
    <xdr:from>
      <xdr:col>28</xdr:col>
      <xdr:colOff>342901</xdr:colOff>
      <xdr:row>0</xdr:row>
      <xdr:rowOff>152399</xdr:rowOff>
    </xdr:from>
    <xdr:to>
      <xdr:col>37</xdr:col>
      <xdr:colOff>3378</xdr:colOff>
      <xdr:row>22</xdr:row>
      <xdr:rowOff>134546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59726" y="152399"/>
          <a:ext cx="5146877" cy="3856917"/>
        </a:xfrm>
        <a:prstGeom prst="rect">
          <a:avLst/>
        </a:prstGeom>
      </xdr:spPr>
    </xdr:pic>
    <xdr:clientData/>
  </xdr:twoCellAnchor>
  <xdr:twoCellAnchor editAs="oneCell">
    <xdr:from>
      <xdr:col>19</xdr:col>
      <xdr:colOff>219075</xdr:colOff>
      <xdr:row>1</xdr:row>
      <xdr:rowOff>71437</xdr:rowOff>
    </xdr:from>
    <xdr:to>
      <xdr:col>27</xdr:col>
      <xdr:colOff>441008</xdr:colOff>
      <xdr:row>10</xdr:row>
      <xdr:rowOff>58757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49500" y="233362"/>
          <a:ext cx="5104448" cy="1595140"/>
        </a:xfrm>
        <a:prstGeom prst="rect">
          <a:avLst/>
        </a:prstGeom>
      </xdr:spPr>
    </xdr:pic>
    <xdr:clientData/>
  </xdr:twoCellAnchor>
  <xdr:twoCellAnchor editAs="oneCell">
    <xdr:from>
      <xdr:col>10</xdr:col>
      <xdr:colOff>131665</xdr:colOff>
      <xdr:row>16</xdr:row>
      <xdr:rowOff>38100</xdr:rowOff>
    </xdr:from>
    <xdr:to>
      <xdr:col>19</xdr:col>
      <xdr:colOff>169545</xdr:colOff>
      <xdr:row>36</xdr:row>
      <xdr:rowOff>56169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75690" y="2952750"/>
          <a:ext cx="5535710" cy="3418494"/>
        </a:xfrm>
        <a:prstGeom prst="rect">
          <a:avLst/>
        </a:prstGeom>
      </xdr:spPr>
    </xdr:pic>
    <xdr:clientData/>
  </xdr:twoCellAnchor>
  <xdr:twoCellAnchor editAs="oneCell">
    <xdr:from>
      <xdr:col>19</xdr:col>
      <xdr:colOff>352425</xdr:colOff>
      <xdr:row>16</xdr:row>
      <xdr:rowOff>38100</xdr:rowOff>
    </xdr:from>
    <xdr:to>
      <xdr:col>27</xdr:col>
      <xdr:colOff>401080</xdr:colOff>
      <xdr:row>24</xdr:row>
      <xdr:rowOff>18775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82850" y="2952750"/>
          <a:ext cx="4917835" cy="143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342899</xdr:colOff>
      <xdr:row>1</xdr:row>
      <xdr:rowOff>214311</xdr:rowOff>
    </xdr:from>
    <xdr:to>
      <xdr:col>19</xdr:col>
      <xdr:colOff>439270</xdr:colOff>
      <xdr:row>17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555252</xdr:colOff>
      <xdr:row>19</xdr:row>
      <xdr:rowOff>116541</xdr:rowOff>
    </xdr:from>
    <xdr:to>
      <xdr:col>19</xdr:col>
      <xdr:colOff>517152</xdr:colOff>
      <xdr:row>43</xdr:row>
      <xdr:rowOff>41666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263887</xdr:colOff>
      <xdr:row>10</xdr:row>
      <xdr:rowOff>41413</xdr:rowOff>
    </xdr:from>
    <xdr:ext cx="1027012" cy="25449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11022996" y="2252870"/>
          <a:ext cx="102701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Utility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weights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278426</xdr:colOff>
      <xdr:row>3</xdr:row>
      <xdr:rowOff>48616</xdr:rowOff>
    </xdr:from>
    <xdr:ext cx="987898" cy="2544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11037535" y="984551"/>
          <a:ext cx="987898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Monthly costs</a:t>
          </a:r>
        </a:p>
      </xdr:txBody>
    </xdr:sp>
    <xdr:clientData/>
  </xdr:oneCellAnchor>
  <xdr:twoCellAnchor>
    <xdr:from>
      <xdr:col>12</xdr:col>
      <xdr:colOff>65105</xdr:colOff>
      <xdr:row>2</xdr:row>
      <xdr:rowOff>301527</xdr:rowOff>
    </xdr:from>
    <xdr:to>
      <xdr:col>12</xdr:col>
      <xdr:colOff>223612</xdr:colOff>
      <xdr:row>5</xdr:row>
      <xdr:rowOff>53181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50040" y="873027"/>
          <a:ext cx="158507" cy="480524"/>
        </a:xfrm>
        <a:prstGeom prst="lef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95171</xdr:colOff>
      <xdr:row>9</xdr:row>
      <xdr:rowOff>39797</xdr:rowOff>
    </xdr:from>
    <xdr:to>
      <xdr:col>12</xdr:col>
      <xdr:colOff>265043</xdr:colOff>
      <xdr:row>12</xdr:row>
      <xdr:rowOff>107674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80106" y="2069036"/>
          <a:ext cx="169872" cy="614529"/>
        </a:xfrm>
        <a:prstGeom prst="lef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0.36278</cdr:x>
      <cdr:y>0.12652</cdr:y>
    </cdr:from>
    <cdr:to>
      <cdr:x>0.5108</cdr:x>
      <cdr:y>0.17402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AEE91C-7EBA-45EC-90DB-1DFB646DD100}"/>
            </a:ext>
          </a:extLst>
        </cdr:cNvPr>
        <cdr:cNvSpPr txBox="1"/>
      </cdr:nvSpPr>
      <cdr:spPr>
        <a:xfrm xmlns:a="http://schemas.openxmlformats.org/drawingml/2006/main">
          <a:off x="2257098" y="413655"/>
          <a:ext cx="920935" cy="1553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Complete Response</a:t>
          </a:r>
        </a:p>
      </cdr:txBody>
    </cdr:sp>
  </cdr:relSizeAnchor>
  <cdr:relSizeAnchor xmlns:cdr="http://schemas.openxmlformats.org/drawingml/2006/chartDrawing">
    <cdr:from>
      <cdr:x>0.38733</cdr:x>
      <cdr:y>0.18696</cdr:y>
    </cdr:from>
    <cdr:to>
      <cdr:x>0.53534</cdr:x>
      <cdr:y>0.23446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A0C918E-6BBF-4E16-B732-8CBB56587A41}"/>
            </a:ext>
          </a:extLst>
        </cdr:cNvPr>
        <cdr:cNvSpPr txBox="1"/>
      </cdr:nvSpPr>
      <cdr:spPr>
        <a:xfrm xmlns:a="http://schemas.openxmlformats.org/drawingml/2006/main">
          <a:off x="2409840" y="611263"/>
          <a:ext cx="920873" cy="1553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Partial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Response</a:t>
          </a:r>
        </a:p>
      </cdr:txBody>
    </cdr:sp>
  </cdr:relSizeAnchor>
  <cdr:relSizeAnchor xmlns:cdr="http://schemas.openxmlformats.org/drawingml/2006/chartDrawing">
    <cdr:from>
      <cdr:x>0.45917</cdr:x>
      <cdr:y>0.2564</cdr:y>
    </cdr:from>
    <cdr:to>
      <cdr:x>0.53563</cdr:x>
      <cdr:y>0.30518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9A0C918E-6BBF-4E16-B732-8CBB56587A41}"/>
            </a:ext>
          </a:extLst>
        </cdr:cNvPr>
        <cdr:cNvSpPr txBox="1"/>
      </cdr:nvSpPr>
      <cdr:spPr>
        <a:xfrm xmlns:a="http://schemas.openxmlformats.org/drawingml/2006/main">
          <a:off x="2856790" y="838296"/>
          <a:ext cx="475711" cy="1594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ESRD</a:t>
          </a:r>
        </a:p>
      </cdr:txBody>
    </cdr:sp>
  </cdr:relSizeAnchor>
  <cdr:relSizeAnchor xmlns:cdr="http://schemas.openxmlformats.org/drawingml/2006/chartDrawing">
    <cdr:from>
      <cdr:x>0.31223</cdr:x>
      <cdr:y>0.49504</cdr:y>
    </cdr:from>
    <cdr:to>
      <cdr:x>0.46024</cdr:x>
      <cdr:y>0.54254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CA19F346-9657-4C09-97EF-2717F3EC8A6D}"/>
            </a:ext>
          </a:extLst>
        </cdr:cNvPr>
        <cdr:cNvSpPr txBox="1"/>
      </cdr:nvSpPr>
      <cdr:spPr>
        <a:xfrm xmlns:a="http://schemas.openxmlformats.org/drawingml/2006/main">
          <a:off x="1942590" y="1618531"/>
          <a:ext cx="920873" cy="1553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Complete Response</a:t>
          </a:r>
        </a:p>
      </cdr:txBody>
    </cdr:sp>
  </cdr:relSizeAnchor>
  <cdr:relSizeAnchor xmlns:cdr="http://schemas.openxmlformats.org/drawingml/2006/chartDrawing">
    <cdr:from>
      <cdr:x>0.3248</cdr:x>
      <cdr:y>0.56326</cdr:y>
    </cdr:from>
    <cdr:to>
      <cdr:x>0.47282</cdr:x>
      <cdr:y>0.61076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B391092-8140-4F20-A279-4477534F1AF6}"/>
            </a:ext>
          </a:extLst>
        </cdr:cNvPr>
        <cdr:cNvSpPr txBox="1"/>
      </cdr:nvSpPr>
      <cdr:spPr>
        <a:xfrm xmlns:a="http://schemas.openxmlformats.org/drawingml/2006/main">
          <a:off x="2020797" y="1841597"/>
          <a:ext cx="920935" cy="1553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Partial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Response</a:t>
          </a:r>
        </a:p>
      </cdr:txBody>
    </cdr:sp>
  </cdr:relSizeAnchor>
  <cdr:relSizeAnchor xmlns:cdr="http://schemas.openxmlformats.org/drawingml/2006/chartDrawing">
    <cdr:from>
      <cdr:x>0.33678</cdr:x>
      <cdr:y>0.63036</cdr:y>
    </cdr:from>
    <cdr:to>
      <cdr:x>0.4848</cdr:x>
      <cdr:y>0.67786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04B0EE3F-37B5-4E2F-82BD-4E374635A7D9}"/>
            </a:ext>
          </a:extLst>
        </cdr:cNvPr>
        <cdr:cNvSpPr txBox="1"/>
      </cdr:nvSpPr>
      <cdr:spPr>
        <a:xfrm xmlns:a="http://schemas.openxmlformats.org/drawingml/2006/main">
          <a:off x="2095356" y="2060958"/>
          <a:ext cx="920935" cy="1553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Active disease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0.0473</cdr:x>
      <cdr:y>0.60456</cdr:y>
    </cdr:from>
    <cdr:to>
      <cdr:x>0.21896</cdr:x>
      <cdr:y>0.65764</cdr:y>
    </cdr:to>
    <cdr:sp macro="" textlink="">
      <cdr:nvSpPr>
        <cdr:cNvPr id="2" name="TextBox 14">
          <a:extLst xmlns:a="http://schemas.openxmlformats.org/drawingml/2006/main">
            <a:ext uri="{FF2B5EF4-FFF2-40B4-BE49-F238E27FC236}">
              <a16:creationId xmlns:a16="http://schemas.microsoft.com/office/drawing/2014/main" id="{91A94028-43F4-4115-92F0-70843E8DEB59}"/>
            </a:ext>
          </a:extLst>
        </cdr:cNvPr>
        <cdr:cNvSpPr txBox="1"/>
      </cdr:nvSpPr>
      <cdr:spPr>
        <a:xfrm xmlns:a="http://schemas.openxmlformats.org/drawingml/2006/main">
          <a:off x="317070" y="2708763"/>
          <a:ext cx="1150799" cy="23782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Utility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weights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0.0623</cdr:x>
      <cdr:y>0.19196</cdr:y>
    </cdr:from>
    <cdr:to>
      <cdr:x>0.22248</cdr:x>
      <cdr:y>0.24876</cdr:y>
    </cdr:to>
    <cdr:sp macro="" textlink="">
      <cdr:nvSpPr>
        <cdr:cNvPr id="3" name="TextBox 15">
          <a:extLst xmlns:a="http://schemas.openxmlformats.org/drawingml/2006/main">
            <a:ext uri="{FF2B5EF4-FFF2-40B4-BE49-F238E27FC236}">
              <a16:creationId xmlns:a16="http://schemas.microsoft.com/office/drawing/2014/main" id="{BCBC11F6-EAE5-42E3-AC21-EB3AC2FB27E6}"/>
            </a:ext>
          </a:extLst>
        </cdr:cNvPr>
        <cdr:cNvSpPr txBox="1"/>
      </cdr:nvSpPr>
      <cdr:spPr>
        <a:xfrm xmlns:a="http://schemas.openxmlformats.org/drawingml/2006/main">
          <a:off x="417623" y="860076"/>
          <a:ext cx="1073858" cy="25449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Monthly costs</a:t>
          </a:r>
        </a:p>
      </cdr:txBody>
    </cdr:sp>
  </cdr:relSizeAnchor>
  <cdr:relSizeAnchor xmlns:cdr="http://schemas.openxmlformats.org/drawingml/2006/chartDrawing">
    <cdr:from>
      <cdr:x>0.2303</cdr:x>
      <cdr:y>0.15001</cdr:y>
    </cdr:from>
    <cdr:to>
      <cdr:x>0.25379</cdr:x>
      <cdr:y>0.33261</cdr:y>
    </cdr:to>
    <cdr:sp macro="" textlink="">
      <cdr:nvSpPr>
        <cdr:cNvPr id="4" name="Left Brace 3">
          <a:extLst xmlns:a="http://schemas.openxmlformats.org/drawingml/2006/main">
            <a:ext uri="{FF2B5EF4-FFF2-40B4-BE49-F238E27FC236}">
              <a16:creationId xmlns:a16="http://schemas.microsoft.com/office/drawing/2014/main" id="{5C68FB32-0583-415A-B835-E55F7D95C88F}"/>
            </a:ext>
          </a:extLst>
        </cdr:cNvPr>
        <cdr:cNvSpPr/>
      </cdr:nvSpPr>
      <cdr:spPr>
        <a:xfrm xmlns:a="http://schemas.openxmlformats.org/drawingml/2006/main">
          <a:off x="1543901" y="672113"/>
          <a:ext cx="157526" cy="818172"/>
        </a:xfrm>
        <a:prstGeom xmlns:a="http://schemas.openxmlformats.org/drawingml/2006/main" prst="leftBrac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0.22503</cdr:x>
      <cdr:y>0.53041</cdr:y>
    </cdr:from>
    <cdr:to>
      <cdr:x>0.25703</cdr:x>
      <cdr:y>0.72584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C0366709-EE55-413F-9972-916A4D6BC49C}"/>
            </a:ext>
          </a:extLst>
        </cdr:cNvPr>
        <cdr:cNvSpPr/>
      </cdr:nvSpPr>
      <cdr:spPr>
        <a:xfrm xmlns:a="http://schemas.openxmlformats.org/drawingml/2006/main">
          <a:off x="1508562" y="2376525"/>
          <a:ext cx="214565" cy="875666"/>
        </a:xfrm>
        <a:prstGeom xmlns:a="http://schemas.openxmlformats.org/drawingml/2006/main" prst="leftBrac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0.23985</cdr:x>
      <cdr:y>0.14736</cdr:y>
    </cdr:from>
    <cdr:to>
      <cdr:x>0.3773</cdr:x>
      <cdr:y>0.17899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B8F3C29-CD9F-435D-87D2-A5DBEC5A4AC3}"/>
            </a:ext>
          </a:extLst>
        </cdr:cNvPr>
        <cdr:cNvSpPr txBox="1"/>
      </cdr:nvSpPr>
      <cdr:spPr>
        <a:xfrm xmlns:a="http://schemas.openxmlformats.org/drawingml/2006/main">
          <a:off x="1607928" y="660265"/>
          <a:ext cx="921457" cy="141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Complete Response</a:t>
          </a:r>
        </a:p>
      </cdr:txBody>
    </cdr:sp>
  </cdr:relSizeAnchor>
  <cdr:relSizeAnchor xmlns:cdr="http://schemas.openxmlformats.org/drawingml/2006/chartDrawing">
    <cdr:from>
      <cdr:x>0.26017</cdr:x>
      <cdr:y>0.21084</cdr:y>
    </cdr:from>
    <cdr:to>
      <cdr:x>0.39763</cdr:x>
      <cdr:y>0.24247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CDC665B-59B5-4983-9E28-B26976062A23}"/>
            </a:ext>
          </a:extLst>
        </cdr:cNvPr>
        <cdr:cNvSpPr txBox="1"/>
      </cdr:nvSpPr>
      <cdr:spPr>
        <a:xfrm xmlns:a="http://schemas.openxmlformats.org/drawingml/2006/main">
          <a:off x="1744146" y="944703"/>
          <a:ext cx="921524" cy="141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Partial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Response</a:t>
          </a:r>
        </a:p>
      </cdr:txBody>
    </cdr:sp>
  </cdr:relSizeAnchor>
  <cdr:relSizeAnchor xmlns:cdr="http://schemas.openxmlformats.org/drawingml/2006/chartDrawing">
    <cdr:from>
      <cdr:x>0.32689</cdr:x>
      <cdr:y>0.27712</cdr:y>
    </cdr:from>
    <cdr:to>
      <cdr:x>0.39788</cdr:x>
      <cdr:y>0.30959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2835883E-F3FD-44AA-A254-DD7D8FDCBEE4}"/>
            </a:ext>
          </a:extLst>
        </cdr:cNvPr>
        <cdr:cNvSpPr txBox="1"/>
      </cdr:nvSpPr>
      <cdr:spPr>
        <a:xfrm xmlns:a="http://schemas.openxmlformats.org/drawingml/2006/main">
          <a:off x="2191457" y="1241636"/>
          <a:ext cx="475913" cy="1454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ESRD</a:t>
          </a:r>
        </a:p>
      </cdr:txBody>
    </cdr:sp>
  </cdr:relSizeAnchor>
  <cdr:relSizeAnchor xmlns:cdr="http://schemas.openxmlformats.org/drawingml/2006/chartDrawing">
    <cdr:from>
      <cdr:x>0.24547</cdr:x>
      <cdr:y>0.54396</cdr:y>
    </cdr:from>
    <cdr:to>
      <cdr:x>0.38293</cdr:x>
      <cdr:y>0.57559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BF62805A-1F6E-442E-A87A-B955329AF195}"/>
            </a:ext>
          </a:extLst>
        </cdr:cNvPr>
        <cdr:cNvSpPr txBox="1"/>
      </cdr:nvSpPr>
      <cdr:spPr>
        <a:xfrm xmlns:a="http://schemas.openxmlformats.org/drawingml/2006/main">
          <a:off x="1645611" y="2437235"/>
          <a:ext cx="921524" cy="141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Complete Response</a:t>
          </a:r>
        </a:p>
      </cdr:txBody>
    </cdr:sp>
  </cdr:relSizeAnchor>
  <cdr:relSizeAnchor xmlns:cdr="http://schemas.openxmlformats.org/drawingml/2006/chartDrawing">
    <cdr:from>
      <cdr:x>0.26703</cdr:x>
      <cdr:y>0.61349</cdr:y>
    </cdr:from>
    <cdr:to>
      <cdr:x>0.40449</cdr:x>
      <cdr:y>0.64511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EE1871DF-4E24-42CC-85F9-B0D30FC6AB85}"/>
            </a:ext>
          </a:extLst>
        </cdr:cNvPr>
        <cdr:cNvSpPr txBox="1"/>
      </cdr:nvSpPr>
      <cdr:spPr>
        <a:xfrm xmlns:a="http://schemas.openxmlformats.org/drawingml/2006/main">
          <a:off x="1790123" y="2748794"/>
          <a:ext cx="921524" cy="141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Partial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Response</a:t>
          </a:r>
        </a:p>
      </cdr:txBody>
    </cdr:sp>
  </cdr:relSizeAnchor>
  <cdr:relSizeAnchor xmlns:cdr="http://schemas.openxmlformats.org/drawingml/2006/chartDrawing">
    <cdr:from>
      <cdr:x>0.27691</cdr:x>
      <cdr:y>0.67539</cdr:y>
    </cdr:from>
    <cdr:to>
      <cdr:x>0.41436</cdr:x>
      <cdr:y>0.70701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12F2B216-CB65-4740-B465-FA834B18E472}"/>
            </a:ext>
          </a:extLst>
        </cdr:cNvPr>
        <cdr:cNvSpPr txBox="1"/>
      </cdr:nvSpPr>
      <cdr:spPr>
        <a:xfrm xmlns:a="http://schemas.openxmlformats.org/drawingml/2006/main">
          <a:off x="1856413" y="3026134"/>
          <a:ext cx="921457" cy="141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Active disease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358724</xdr:colOff>
      <xdr:row>1</xdr:row>
      <xdr:rowOff>364441</xdr:rowOff>
    </xdr:from>
    <xdr:to>
      <xdr:col>15</xdr:col>
      <xdr:colOff>586153</xdr:colOff>
      <xdr:row>18</xdr:row>
      <xdr:rowOff>53623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C2D73-4BA1-4E56-99B1-68646BC99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0.00179</cdr:x>
      <cdr:y>0.17737</cdr:y>
    </cdr:from>
    <cdr:to>
      <cdr:x>0.19805</cdr:x>
      <cdr:y>0.25481</cdr:y>
    </cdr:to>
    <cdr:sp macro="" textlink="">
      <cdr:nvSpPr>
        <cdr:cNvPr id="2" name="TextBox 15">
          <a:extLst xmlns:a="http://schemas.openxmlformats.org/drawingml/2006/main">
            <a:ext uri="{FF2B5EF4-FFF2-40B4-BE49-F238E27FC236}">
              <a16:creationId xmlns:a16="http://schemas.microsoft.com/office/drawing/2014/main" id="{E76D93DB-586D-AB16-930E-BF68E066ADA5}"/>
            </a:ext>
          </a:extLst>
        </cdr:cNvPr>
        <cdr:cNvSpPr txBox="1"/>
      </cdr:nvSpPr>
      <cdr:spPr>
        <a:xfrm xmlns:a="http://schemas.openxmlformats.org/drawingml/2006/main">
          <a:off x="7620" y="566079"/>
          <a:ext cx="835926" cy="2471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Belimumab</a:t>
          </a:r>
        </a:p>
      </cdr:txBody>
    </cdr:sp>
  </cdr:relSizeAnchor>
  <cdr:relSizeAnchor xmlns:cdr="http://schemas.openxmlformats.org/drawingml/2006/chartDrawing">
    <cdr:from>
      <cdr:x>0.19031</cdr:x>
      <cdr:y>0.10316</cdr:y>
    </cdr:from>
    <cdr:to>
      <cdr:x>0.25031</cdr:x>
      <cdr:y>0.33709</cdr:y>
    </cdr:to>
    <cdr:sp macro="" textlink="">
      <cdr:nvSpPr>
        <cdr:cNvPr id="3" name="Left Brace 2">
          <a:extLst xmlns:a="http://schemas.openxmlformats.org/drawingml/2006/main">
            <a:ext uri="{FF2B5EF4-FFF2-40B4-BE49-F238E27FC236}">
              <a16:creationId xmlns:a16="http://schemas.microsoft.com/office/drawing/2014/main" id="{9FE95BB2-1295-275E-3968-EDCE8C4A6681}"/>
            </a:ext>
          </a:extLst>
        </cdr:cNvPr>
        <cdr:cNvSpPr/>
      </cdr:nvSpPr>
      <cdr:spPr>
        <a:xfrm xmlns:a="http://schemas.openxmlformats.org/drawingml/2006/main">
          <a:off x="810603" y="329224"/>
          <a:ext cx="255564" cy="746580"/>
        </a:xfrm>
        <a:prstGeom xmlns:a="http://schemas.openxmlformats.org/drawingml/2006/main" prst="leftBrac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0.00867</cdr:x>
      <cdr:y>0.54929</cdr:y>
    </cdr:from>
    <cdr:to>
      <cdr:x>0.21163</cdr:x>
      <cdr:y>0.62672</cdr:y>
    </cdr:to>
    <cdr:sp macro="" textlink="">
      <cdr:nvSpPr>
        <cdr:cNvPr id="4" name="TextBox 15">
          <a:extLst xmlns:a="http://schemas.openxmlformats.org/drawingml/2006/main">
            <a:ext uri="{FF2B5EF4-FFF2-40B4-BE49-F238E27FC236}">
              <a16:creationId xmlns:a16="http://schemas.microsoft.com/office/drawing/2014/main" id="{B17051C4-9F7B-74BC-1346-D7C1F5B0DA76}"/>
            </a:ext>
          </a:extLst>
        </cdr:cNvPr>
        <cdr:cNvSpPr txBox="1"/>
      </cdr:nvSpPr>
      <cdr:spPr>
        <a:xfrm xmlns:a="http://schemas.openxmlformats.org/drawingml/2006/main">
          <a:off x="36928" y="1753039"/>
          <a:ext cx="864452" cy="2471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Voclosporin</a:t>
          </a:r>
        </a:p>
      </cdr:txBody>
    </cdr:sp>
  </cdr:relSizeAnchor>
  <cdr:relSizeAnchor xmlns:cdr="http://schemas.openxmlformats.org/drawingml/2006/chartDrawing">
    <cdr:from>
      <cdr:x>0.20389</cdr:x>
      <cdr:y>0.47508</cdr:y>
    </cdr:from>
    <cdr:to>
      <cdr:x>0.26389</cdr:x>
      <cdr:y>0.70901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BC902C0C-66FA-E860-C04F-C38C56DCF1D1}"/>
            </a:ext>
          </a:extLst>
        </cdr:cNvPr>
        <cdr:cNvSpPr/>
      </cdr:nvSpPr>
      <cdr:spPr>
        <a:xfrm xmlns:a="http://schemas.openxmlformats.org/drawingml/2006/main">
          <a:off x="868437" y="1516184"/>
          <a:ext cx="255564" cy="746580"/>
        </a:xfrm>
        <a:prstGeom xmlns:a="http://schemas.openxmlformats.org/drawingml/2006/main" prst="leftBrac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0.79483</cdr:x>
      <cdr:y>0.09168</cdr:y>
    </cdr:from>
    <cdr:to>
      <cdr:x>0.9897</cdr:x>
      <cdr:y>0.16201</cdr:y>
    </cdr:to>
    <cdr:sp macro="" textlink="">
      <cdr:nvSpPr>
        <cdr:cNvPr id="6" name="TextBox 14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F000000}"/>
            </a:ext>
          </a:extLst>
        </cdr:cNvPr>
        <cdr:cNvSpPr txBox="1"/>
      </cdr:nvSpPr>
      <cdr:spPr>
        <a:xfrm xmlns:a="http://schemas.openxmlformats.org/drawingml/2006/main">
          <a:off x="3564304" y="293288"/>
          <a:ext cx="873894" cy="22499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Utility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weights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0.79483</cdr:x>
      <cdr:y>0.46435</cdr:y>
    </cdr:from>
    <cdr:to>
      <cdr:x>1</cdr:x>
      <cdr:y>0.5318</cdr:y>
    </cdr:to>
    <cdr:sp macro="" textlink="">
      <cdr:nvSpPr>
        <cdr:cNvPr id="7" name="TextBox 14">
          <a:extLst xmlns:a="http://schemas.openxmlformats.org/drawingml/2006/main">
            <a:ext uri="{FF2B5EF4-FFF2-40B4-BE49-F238E27FC236}">
              <a16:creationId xmlns:a16="http://schemas.microsoft.com/office/drawing/2014/main" id="{9C4F4E28-E46F-0CF8-0CBC-CDF31591584E}"/>
            </a:ext>
          </a:extLst>
        </cdr:cNvPr>
        <cdr:cNvSpPr txBox="1"/>
      </cdr:nvSpPr>
      <cdr:spPr>
        <a:xfrm xmlns:a="http://schemas.openxmlformats.org/drawingml/2006/main">
          <a:off x="3385432" y="1481943"/>
          <a:ext cx="873894" cy="21527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Utility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weights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0.79483</cdr:x>
      <cdr:y>0.26157</cdr:y>
    </cdr:from>
    <cdr:to>
      <cdr:x>1</cdr:x>
      <cdr:y>0.32902</cdr:y>
    </cdr:to>
    <cdr:sp macro="" textlink="">
      <cdr:nvSpPr>
        <cdr:cNvPr id="8" name="TextBox 14">
          <a:extLst xmlns:a="http://schemas.openxmlformats.org/drawingml/2006/main">
            <a:ext uri="{FF2B5EF4-FFF2-40B4-BE49-F238E27FC236}">
              <a16:creationId xmlns:a16="http://schemas.microsoft.com/office/drawing/2014/main" id="{84E08375-2A62-BB2D-B7FD-3186F30F79EE}"/>
            </a:ext>
          </a:extLst>
        </cdr:cNvPr>
        <cdr:cNvSpPr txBox="1"/>
      </cdr:nvSpPr>
      <cdr:spPr>
        <a:xfrm xmlns:a="http://schemas.openxmlformats.org/drawingml/2006/main">
          <a:off x="3385432" y="834781"/>
          <a:ext cx="873894" cy="21527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Monthly costs</a:t>
          </a:r>
        </a:p>
      </cdr:txBody>
    </cdr:sp>
  </cdr:relSizeAnchor>
  <cdr:relSizeAnchor xmlns:cdr="http://schemas.openxmlformats.org/drawingml/2006/chartDrawing">
    <cdr:from>
      <cdr:x>0.82759</cdr:x>
      <cdr:y>0.64956</cdr:y>
    </cdr:from>
    <cdr:to>
      <cdr:x>0.99346</cdr:x>
      <cdr:y>0.71701</cdr:y>
    </cdr:to>
    <cdr:sp macro="" textlink="">
      <cdr:nvSpPr>
        <cdr:cNvPr id="9" name="TextBox 14">
          <a:extLst xmlns:a="http://schemas.openxmlformats.org/drawingml/2006/main">
            <a:ext uri="{FF2B5EF4-FFF2-40B4-BE49-F238E27FC236}">
              <a16:creationId xmlns:a16="http://schemas.microsoft.com/office/drawing/2014/main" id="{E57181B9-EEA1-B903-C0E9-D052BBC076C2}"/>
            </a:ext>
          </a:extLst>
        </cdr:cNvPr>
        <cdr:cNvSpPr txBox="1"/>
      </cdr:nvSpPr>
      <cdr:spPr>
        <a:xfrm xmlns:a="http://schemas.openxmlformats.org/drawingml/2006/main">
          <a:off x="3711235" y="2077980"/>
          <a:ext cx="743828" cy="21579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Monthly costs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hared\HEOR\PROJECTS\Tufts\tuf47175.icer_uncertainty_case_studies\05.Deliverables\AB07.%20Prepare%20report\2023%2011%2016a%20-%20calculations%20-%20CS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play"/>
      <sheetName val="Table 3 - inputs"/>
      <sheetName val="Table 3"/>
      <sheetName val="Table 3 fmt"/>
      <sheetName val="Table 4 - inputs"/>
      <sheetName val="Table 4"/>
      <sheetName val="Table 4 fmt"/>
      <sheetName val="Figures"/>
      <sheetName val="Figures main"/>
    </sheetNames>
    <sheetDataSet>
      <sheetData sheetId="0">
        <row r="3">
          <cell r="B3">
            <v>100000</v>
          </cell>
        </row>
        <row r="4">
          <cell r="B4">
            <v>150000</v>
          </cell>
        </row>
        <row r="6">
          <cell r="B6">
            <v>1000</v>
          </cell>
        </row>
        <row r="7">
          <cell r="B7">
            <v>0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/>
      <sheetData sheetId="8">
        <row r="3">
          <cell r="C3" t="str">
            <v>ICER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ewer, Iris" id="{ED29059B-0CB6-422D-8B76-F7B89804CE3D}" userId="S::Iris.Brewer@precisionvh.com::50d7abb3-68a7-4d43-ba57-06d6b3da00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3-11-16T23:00:09.47" personId="{ED29059B-0CB6-422D-8B76-F7B89804CE3D}" id="{AECD47EE-DF37-4549-9B14-21E193BC75D8}">
    <text xml:space="preserve">According to ICER tornado: CR and PR utility lower input corresponds to higher CE ratio. Flipped both the input and resulting CE ratios (columns CD and FG)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8DB6-F6C5-4220-9D69-DA32E4829C25}">
  <sheetPr>
    <tabColor rgb="FF00B0F0"/>
  </sheetPr>
  <dimension ref="A3:B7"/>
  <sheetViews>
    <sheetView workbookViewId="0">
      <selection activeCell="C29" sqref="C29"/>
    </sheetView>
  </sheetViews>
  <sheetFormatPr defaultRowHeight="15" x14ac:dyDescent="0.25"/>
  <cols>
    <col min="1" max="1" width="17.5703125" customWidth="1"/>
  </cols>
  <sheetData>
    <row r="3" spans="1:2" x14ac:dyDescent="0.25">
      <c r="A3" t="s">
        <v>19</v>
      </c>
      <c r="B3" s="33">
        <v>100000</v>
      </c>
    </row>
    <row r="4" spans="1:2" x14ac:dyDescent="0.25">
      <c r="A4" t="s">
        <v>20</v>
      </c>
      <c r="B4" s="33">
        <v>150000</v>
      </c>
    </row>
    <row r="6" spans="1:2" x14ac:dyDescent="0.25">
      <c r="A6" t="s">
        <v>21</v>
      </c>
      <c r="B6">
        <v>1000</v>
      </c>
    </row>
    <row r="7" spans="1:2" x14ac:dyDescent="0.25">
      <c r="A7" t="s">
        <v>22</v>
      </c>
      <c r="B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F575-5829-47D8-A44B-C8D41C42AE2C}">
  <sheetPr>
    <tabColor rgb="FFFFC000"/>
  </sheetPr>
  <dimension ref="A2:J45"/>
  <sheetViews>
    <sheetView workbookViewId="0">
      <selection activeCell="C11" sqref="C11"/>
    </sheetView>
  </sheetViews>
  <sheetFormatPr defaultColWidth="9.140625" defaultRowHeight="12.75" x14ac:dyDescent="0.2"/>
  <cols>
    <col min="1" max="1" width="28.140625" style="18" bestFit="1" customWidth="1"/>
    <col min="2" max="4" width="9.140625" style="18"/>
    <col min="5" max="5" width="9.7109375" style="18" bestFit="1" customWidth="1"/>
    <col min="6" max="7" width="9.85546875" style="18" bestFit="1" customWidth="1"/>
    <col min="8" max="9" width="9.85546875" style="18" customWidth="1"/>
    <col min="10" max="16384" width="9.140625" style="18"/>
  </cols>
  <sheetData>
    <row r="2" spans="1:10" x14ac:dyDescent="0.2">
      <c r="B2" s="62" t="s">
        <v>47</v>
      </c>
      <c r="C2" s="62"/>
      <c r="D2" s="62"/>
      <c r="E2" s="62" t="s">
        <v>48</v>
      </c>
      <c r="F2" s="62"/>
      <c r="G2" s="62"/>
      <c r="H2" s="62" t="s">
        <v>68</v>
      </c>
      <c r="I2" s="62"/>
    </row>
    <row r="3" spans="1:10" ht="25.5" x14ac:dyDescent="0.2">
      <c r="A3" s="19" t="s">
        <v>53</v>
      </c>
      <c r="B3" s="51" t="s">
        <v>52</v>
      </c>
      <c r="C3" s="51" t="s">
        <v>56</v>
      </c>
      <c r="D3" s="51" t="s">
        <v>57</v>
      </c>
      <c r="E3" s="51" t="s">
        <v>59</v>
      </c>
      <c r="F3" s="51" t="s">
        <v>60</v>
      </c>
      <c r="G3" s="51" t="s">
        <v>61</v>
      </c>
      <c r="H3" s="51" t="s">
        <v>69</v>
      </c>
      <c r="I3" s="51" t="s">
        <v>70</v>
      </c>
      <c r="J3" s="52"/>
    </row>
    <row r="4" spans="1:10" x14ac:dyDescent="0.2">
      <c r="A4" s="18" t="s">
        <v>50</v>
      </c>
      <c r="B4" s="48">
        <v>0.8</v>
      </c>
      <c r="C4" s="56">
        <v>0.72</v>
      </c>
      <c r="D4" s="56">
        <v>0.9</v>
      </c>
      <c r="E4" s="49">
        <v>89663</v>
      </c>
      <c r="F4" s="57">
        <v>113403</v>
      </c>
      <c r="G4" s="57">
        <v>76975</v>
      </c>
      <c r="H4" s="50">
        <v>0.8</v>
      </c>
      <c r="I4" s="50">
        <v>0.85</v>
      </c>
      <c r="J4" s="52"/>
    </row>
    <row r="5" spans="1:10" x14ac:dyDescent="0.2">
      <c r="A5" s="18" t="s">
        <v>49</v>
      </c>
      <c r="B5" s="50">
        <v>0.71</v>
      </c>
      <c r="C5" s="56">
        <v>0.63</v>
      </c>
      <c r="D5" s="56">
        <v>0.79</v>
      </c>
      <c r="E5" s="49">
        <v>89663</v>
      </c>
      <c r="F5" s="57">
        <v>90766</v>
      </c>
      <c r="G5" s="57">
        <v>88589</v>
      </c>
      <c r="H5" s="50">
        <v>0.71</v>
      </c>
      <c r="I5" s="50">
        <v>0.74</v>
      </c>
      <c r="J5" s="52"/>
    </row>
    <row r="6" spans="1:10" x14ac:dyDescent="0.2">
      <c r="A6" s="18" t="s">
        <v>51</v>
      </c>
      <c r="B6" s="50">
        <v>0.624</v>
      </c>
      <c r="C6" s="48">
        <v>0.6</v>
      </c>
      <c r="D6" s="48">
        <v>0.7</v>
      </c>
      <c r="E6" s="49">
        <v>89663</v>
      </c>
      <c r="F6" s="49">
        <v>86106</v>
      </c>
      <c r="G6" s="49">
        <v>103155</v>
      </c>
      <c r="H6" s="50">
        <v>0.624</v>
      </c>
      <c r="I6" s="50">
        <v>0.56999999999999995</v>
      </c>
      <c r="J6" s="52"/>
    </row>
    <row r="7" spans="1:10" x14ac:dyDescent="0.2">
      <c r="B7" s="50"/>
      <c r="C7" s="54"/>
      <c r="D7" s="50"/>
      <c r="E7" s="52"/>
      <c r="F7" s="52"/>
      <c r="G7" s="52"/>
      <c r="H7" s="52"/>
      <c r="I7" s="52"/>
      <c r="J7" s="52"/>
    </row>
    <row r="8" spans="1:10" x14ac:dyDescent="0.2">
      <c r="B8" s="52"/>
      <c r="C8" s="52"/>
      <c r="D8" s="52"/>
      <c r="E8" s="52"/>
      <c r="F8" s="49"/>
      <c r="G8" s="49"/>
      <c r="H8" s="52"/>
      <c r="I8" s="52"/>
      <c r="J8" s="52"/>
    </row>
    <row r="9" spans="1:10" x14ac:dyDescent="0.2">
      <c r="B9" s="52"/>
      <c r="C9" s="56"/>
      <c r="D9" s="56"/>
      <c r="E9" s="52"/>
      <c r="F9" s="49"/>
      <c r="G9" s="49"/>
      <c r="H9" s="52"/>
      <c r="I9" s="52"/>
      <c r="J9" s="52"/>
    </row>
    <row r="10" spans="1:10" x14ac:dyDescent="0.2">
      <c r="B10" s="52"/>
      <c r="C10" s="56"/>
      <c r="D10" s="56"/>
      <c r="E10" s="52"/>
      <c r="F10" s="52"/>
      <c r="G10" s="52"/>
      <c r="H10" s="52"/>
      <c r="I10" s="52"/>
      <c r="J10" s="52"/>
    </row>
    <row r="11" spans="1:10" x14ac:dyDescent="0.2">
      <c r="B11" s="52"/>
      <c r="C11" s="52"/>
      <c r="D11" s="52"/>
      <c r="E11" s="52"/>
      <c r="F11" s="52"/>
      <c r="G11" s="52"/>
      <c r="H11" s="52"/>
      <c r="I11" s="52"/>
      <c r="J11" s="52"/>
    </row>
    <row r="12" spans="1:10" x14ac:dyDescent="0.2"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2">
      <c r="B13" s="52"/>
      <c r="C13" s="52"/>
      <c r="D13" s="52"/>
      <c r="E13" s="52"/>
      <c r="F13" s="52"/>
      <c r="G13" s="52"/>
      <c r="H13" s="52"/>
      <c r="I13" s="52"/>
      <c r="J13" s="52"/>
    </row>
    <row r="14" spans="1:10" x14ac:dyDescent="0.2"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2"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2">
      <c r="B16" s="63" t="s">
        <v>47</v>
      </c>
      <c r="C16" s="63"/>
      <c r="D16" s="63"/>
      <c r="E16" s="63" t="s">
        <v>48</v>
      </c>
      <c r="F16" s="63"/>
      <c r="G16" s="63"/>
      <c r="H16" s="63" t="s">
        <v>68</v>
      </c>
      <c r="I16" s="63"/>
      <c r="J16" s="52"/>
    </row>
    <row r="17" spans="1:10" ht="25.5" x14ac:dyDescent="0.2">
      <c r="A17" s="19" t="s">
        <v>54</v>
      </c>
      <c r="B17" s="51" t="s">
        <v>52</v>
      </c>
      <c r="C17" s="51" t="s">
        <v>56</v>
      </c>
      <c r="D17" s="51" t="s">
        <v>57</v>
      </c>
      <c r="E17" s="51" t="s">
        <v>59</v>
      </c>
      <c r="F17" s="51" t="s">
        <v>60</v>
      </c>
      <c r="G17" s="51" t="s">
        <v>61</v>
      </c>
      <c r="H17" s="51" t="s">
        <v>69</v>
      </c>
      <c r="I17" s="51" t="s">
        <v>70</v>
      </c>
      <c r="J17" s="52"/>
    </row>
    <row r="18" spans="1:10" x14ac:dyDescent="0.2">
      <c r="A18" s="18" t="str">
        <f>+A4</f>
        <v>Utility weight - Complete response</v>
      </c>
      <c r="B18" s="48">
        <f>+B4</f>
        <v>0.8</v>
      </c>
      <c r="C18" s="56">
        <f>+C4</f>
        <v>0.72</v>
      </c>
      <c r="D18" s="56">
        <f>+D4</f>
        <v>0.9</v>
      </c>
      <c r="E18" s="49">
        <v>149260</v>
      </c>
      <c r="F18" s="57">
        <v>143404</v>
      </c>
      <c r="G18" s="57">
        <v>162185</v>
      </c>
      <c r="H18" s="50">
        <v>0.8</v>
      </c>
      <c r="I18" s="50">
        <v>0.85</v>
      </c>
      <c r="J18" s="52"/>
    </row>
    <row r="19" spans="1:10" x14ac:dyDescent="0.2">
      <c r="A19" s="18" t="str">
        <f t="shared" ref="A19:C20" si="0">+A5</f>
        <v>Utility weight - Partial response</v>
      </c>
      <c r="B19" s="50">
        <f t="shared" si="0"/>
        <v>0.71</v>
      </c>
      <c r="C19" s="56">
        <f>+C5</f>
        <v>0.63</v>
      </c>
      <c r="D19" s="56">
        <f>+D5</f>
        <v>0.79</v>
      </c>
      <c r="E19" s="49">
        <v>149260</v>
      </c>
      <c r="F19" s="57">
        <v>146446</v>
      </c>
      <c r="G19" s="57">
        <v>152177</v>
      </c>
      <c r="H19" s="50">
        <v>0.71</v>
      </c>
      <c r="I19" s="50">
        <v>0.74</v>
      </c>
      <c r="J19" s="52"/>
    </row>
    <row r="20" spans="1:10" x14ac:dyDescent="0.2">
      <c r="A20" s="18" t="str">
        <f t="shared" si="0"/>
        <v>Utility weight - Active disease</v>
      </c>
      <c r="B20" s="50">
        <f t="shared" si="0"/>
        <v>0.624</v>
      </c>
      <c r="C20" s="48">
        <f t="shared" si="0"/>
        <v>0.6</v>
      </c>
      <c r="D20" s="48">
        <f t="shared" ref="D20" si="1">+D6</f>
        <v>0.7</v>
      </c>
      <c r="E20" s="49">
        <v>149260</v>
      </c>
      <c r="F20" s="49">
        <v>189881</v>
      </c>
      <c r="G20" s="49">
        <v>127235</v>
      </c>
      <c r="H20" s="50">
        <v>0.624</v>
      </c>
      <c r="I20" s="50">
        <v>0.56999999999999995</v>
      </c>
      <c r="J20" s="52"/>
    </row>
    <row r="37" spans="1:3" x14ac:dyDescent="0.2">
      <c r="A37" s="19" t="s">
        <v>62</v>
      </c>
      <c r="B37" s="28" t="s">
        <v>55</v>
      </c>
      <c r="C37" s="18" t="s">
        <v>71</v>
      </c>
    </row>
    <row r="38" spans="1:3" x14ac:dyDescent="0.2">
      <c r="B38" s="28" t="s">
        <v>58</v>
      </c>
      <c r="C38" s="18" t="s">
        <v>86</v>
      </c>
    </row>
    <row r="39" spans="1:3" x14ac:dyDescent="0.2">
      <c r="B39" s="28" t="s">
        <v>63</v>
      </c>
      <c r="C39" s="18" t="s">
        <v>64</v>
      </c>
    </row>
    <row r="40" spans="1:3" x14ac:dyDescent="0.2">
      <c r="B40" s="28" t="s">
        <v>65</v>
      </c>
      <c r="C40" s="18" t="s">
        <v>66</v>
      </c>
    </row>
    <row r="41" spans="1:3" x14ac:dyDescent="0.2">
      <c r="B41" s="28"/>
    </row>
    <row r="42" spans="1:3" x14ac:dyDescent="0.2">
      <c r="A42" s="19" t="s">
        <v>72</v>
      </c>
      <c r="B42" s="28" t="s">
        <v>55</v>
      </c>
      <c r="C42" s="18" t="s">
        <v>73</v>
      </c>
    </row>
    <row r="43" spans="1:3" x14ac:dyDescent="0.2">
      <c r="B43" s="28" t="s">
        <v>58</v>
      </c>
      <c r="C43" s="18" t="s">
        <v>74</v>
      </c>
    </row>
    <row r="44" spans="1:3" x14ac:dyDescent="0.2">
      <c r="B44" s="28" t="s">
        <v>63</v>
      </c>
      <c r="C44" s="18" t="s">
        <v>75</v>
      </c>
    </row>
    <row r="45" spans="1:3" x14ac:dyDescent="0.2">
      <c r="B45" s="28" t="s">
        <v>65</v>
      </c>
      <c r="C45" s="18" t="s">
        <v>76</v>
      </c>
    </row>
  </sheetData>
  <mergeCells count="6">
    <mergeCell ref="B2:D2"/>
    <mergeCell ref="E2:G2"/>
    <mergeCell ref="H2:I2"/>
    <mergeCell ref="B16:D16"/>
    <mergeCell ref="E16:G16"/>
    <mergeCell ref="H16:I16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B537-BE21-48EF-9454-90509A4B3093}">
  <sheetPr>
    <tabColor rgb="FFFFFF00"/>
  </sheetPr>
  <dimension ref="A1:BH63"/>
  <sheetViews>
    <sheetView workbookViewId="0">
      <selection activeCell="D23" sqref="D23"/>
    </sheetView>
  </sheetViews>
  <sheetFormatPr defaultRowHeight="15" x14ac:dyDescent="0.25"/>
  <cols>
    <col min="1" max="1" width="30.7109375" customWidth="1"/>
    <col min="2" max="2" width="6.5703125" customWidth="1"/>
    <col min="3" max="3" width="6.140625" bestFit="1" customWidth="1"/>
    <col min="4" max="4" width="7.42578125" bestFit="1" customWidth="1"/>
    <col min="5" max="5" width="9.28515625" bestFit="1" customWidth="1"/>
    <col min="6" max="6" width="8.85546875" customWidth="1"/>
    <col min="7" max="7" width="8.5703125" customWidth="1"/>
    <col min="8" max="8" width="8.140625" customWidth="1"/>
    <col min="9" max="9" width="8.28515625" customWidth="1"/>
    <col min="10" max="10" width="8.85546875" customWidth="1"/>
    <col min="11" max="11" width="9.42578125" customWidth="1"/>
    <col min="12" max="14" width="8.140625" customWidth="1"/>
    <col min="15" max="15" width="3.140625" customWidth="1"/>
    <col min="16" max="18" width="8.7109375" customWidth="1"/>
    <col min="19" max="23" width="10.7109375" customWidth="1"/>
    <col min="24" max="24" width="11.42578125" customWidth="1"/>
    <col min="25" max="25" width="9.7109375" customWidth="1"/>
    <col min="26" max="26" width="4" customWidth="1"/>
    <col min="27" max="27" width="50.28515625" hidden="1" customWidth="1"/>
    <col min="28" max="28" width="3.42578125" hidden="1" customWidth="1"/>
    <col min="30" max="30" width="10" bestFit="1" customWidth="1"/>
    <col min="31" max="32" width="10" customWidth="1"/>
    <col min="35" max="35" width="2.7109375" customWidth="1"/>
    <col min="37" max="37" width="10" bestFit="1" customWidth="1"/>
    <col min="38" max="39" width="10" customWidth="1"/>
    <col min="42" max="42" width="3.85546875" customWidth="1"/>
    <col min="44" max="44" width="10" bestFit="1" customWidth="1"/>
    <col min="45" max="46" width="10" customWidth="1"/>
    <col min="49" max="49" width="3" customWidth="1"/>
    <col min="50" max="50" width="3.140625" customWidth="1"/>
    <col min="51" max="51" width="8.7109375" customWidth="1"/>
    <col min="52" max="52" width="10" bestFit="1" customWidth="1"/>
    <col min="57" max="57" width="3.42578125" customWidth="1"/>
    <col min="58" max="58" width="9.140625" customWidth="1"/>
    <col min="59" max="59" width="10" bestFit="1" customWidth="1"/>
    <col min="60" max="60" width="9.5703125" customWidth="1"/>
    <col min="64" max="64" width="4" customWidth="1"/>
    <col min="71" max="71" width="3.42578125" customWidth="1"/>
  </cols>
  <sheetData>
    <row r="1" spans="1:60" ht="39.75" customHeight="1" x14ac:dyDescent="0.25">
      <c r="A1" s="3"/>
      <c r="B1" s="66" t="s">
        <v>42</v>
      </c>
      <c r="C1" s="66"/>
      <c r="D1" s="66"/>
      <c r="E1" s="66" t="s">
        <v>44</v>
      </c>
      <c r="F1" s="66"/>
      <c r="G1" s="66"/>
      <c r="H1" s="66" t="s">
        <v>43</v>
      </c>
      <c r="I1" s="66"/>
      <c r="J1" s="66" t="s">
        <v>30</v>
      </c>
      <c r="K1" s="66"/>
      <c r="L1" s="66" t="s">
        <v>31</v>
      </c>
      <c r="M1" s="66"/>
      <c r="N1" s="66"/>
      <c r="O1" s="3"/>
      <c r="X1" s="6" t="s">
        <v>6</v>
      </c>
      <c r="Y1" s="6" t="s">
        <v>7</v>
      </c>
    </row>
    <row r="2" spans="1:60" ht="36" customHeight="1" x14ac:dyDescent="0.25">
      <c r="A2" s="7"/>
      <c r="B2" s="8" t="s">
        <v>0</v>
      </c>
      <c r="C2" s="8" t="s">
        <v>1</v>
      </c>
      <c r="D2" s="8" t="s">
        <v>2</v>
      </c>
      <c r="E2" s="8" t="s">
        <v>0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28</v>
      </c>
      <c r="K2" s="8" t="s">
        <v>29</v>
      </c>
      <c r="L2" s="8" t="s">
        <v>8</v>
      </c>
      <c r="M2" s="8" t="s">
        <v>9</v>
      </c>
      <c r="N2" s="8" t="s">
        <v>10</v>
      </c>
      <c r="P2" s="25" t="s">
        <v>3</v>
      </c>
      <c r="Q2" s="25" t="s">
        <v>4</v>
      </c>
      <c r="R2" s="25" t="s">
        <v>5</v>
      </c>
      <c r="S2" s="9" t="s">
        <v>8</v>
      </c>
      <c r="T2" s="9" t="s">
        <v>11</v>
      </c>
      <c r="U2" s="9" t="s">
        <v>12</v>
      </c>
      <c r="V2" s="9" t="s">
        <v>13</v>
      </c>
      <c r="W2" s="9" t="s">
        <v>14</v>
      </c>
      <c r="X2" s="9" t="s">
        <v>15</v>
      </c>
      <c r="Y2" s="9" t="s">
        <v>16</v>
      </c>
      <c r="AC2" s="64" t="str">
        <f>+A4</f>
        <v>Utility weight - Complete response</v>
      </c>
      <c r="AD2" s="64"/>
      <c r="AE2" s="64"/>
      <c r="AF2" s="64"/>
      <c r="AG2" s="64"/>
      <c r="AH2" s="64"/>
      <c r="AJ2" s="64" t="str">
        <f>+A5</f>
        <v>Utility weight - Partial response</v>
      </c>
      <c r="AK2" s="64"/>
      <c r="AL2" s="64"/>
      <c r="AM2" s="64"/>
      <c r="AN2" s="64"/>
      <c r="AO2" s="64"/>
      <c r="AQ2" s="64" t="str">
        <f>+A6</f>
        <v>Utility weight - Active disease</v>
      </c>
      <c r="AR2" s="64"/>
      <c r="AS2" s="64"/>
      <c r="AT2" s="64"/>
      <c r="AU2" s="64"/>
      <c r="AV2" s="64"/>
    </row>
    <row r="3" spans="1:60" x14ac:dyDescent="0.25">
      <c r="A3" s="10" t="s">
        <v>45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P3" s="22"/>
      <c r="Q3" s="22"/>
      <c r="R3" s="22"/>
      <c r="BH3" s="2"/>
    </row>
    <row r="4" spans="1:60" x14ac:dyDescent="0.25">
      <c r="A4" s="7" t="str">
        <f>+'Table 4-3 - inputs'!A4</f>
        <v>Utility weight - Complete response</v>
      </c>
      <c r="B4" s="11">
        <f>+'Table 4-3 - inputs'!B4</f>
        <v>0.8</v>
      </c>
      <c r="C4" s="11">
        <f>+'Table 4-3 - inputs'!C4</f>
        <v>0.72</v>
      </c>
      <c r="D4" s="11">
        <f>+'Table 4-3 - inputs'!D4</f>
        <v>0.9</v>
      </c>
      <c r="E4" s="12">
        <f>+'Table 4-3 - inputs'!E4</f>
        <v>89663</v>
      </c>
      <c r="F4" s="12">
        <f>+'Table 4-3 - inputs'!F4</f>
        <v>113403</v>
      </c>
      <c r="G4" s="12">
        <f>+'Table 4-3 - inputs'!G4</f>
        <v>76975</v>
      </c>
      <c r="H4" s="11">
        <f>+'Table 4-3 - inputs'!H4</f>
        <v>0.8</v>
      </c>
      <c r="I4" s="11">
        <f>+'Table 4-3 - inputs'!I4</f>
        <v>0.85</v>
      </c>
      <c r="J4" s="12">
        <f>+AH5</f>
        <v>89663</v>
      </c>
      <c r="K4" s="12">
        <f>+AH6</f>
        <v>80959.694444444263</v>
      </c>
      <c r="L4" s="13">
        <f>+S4</f>
        <v>4.8533428256670737E-2</v>
      </c>
      <c r="M4" s="15" t="str">
        <f t="shared" ref="M4:N6" si="0">+IF(X4,"YES","NO")</f>
        <v>NO</v>
      </c>
      <c r="N4" s="15" t="str">
        <f t="shared" si="0"/>
        <v>NO</v>
      </c>
      <c r="O4" s="7"/>
      <c r="P4" s="45">
        <f>+MIN(E4,J4,K4)</f>
        <v>80959.694444444263</v>
      </c>
      <c r="Q4" s="45">
        <f>+MEDIAN(E4,J4,K4)</f>
        <v>89663</v>
      </c>
      <c r="R4" s="45">
        <f>+MAX(E4,J4,K4)</f>
        <v>89663</v>
      </c>
      <c r="S4" s="46">
        <f>+AVERAGE((Q4-P4)/Q4,(R4-Q4)/Q4)</f>
        <v>4.8533428256670737E-2</v>
      </c>
      <c r="T4" s="7" t="b">
        <f>+AND(E4&lt;=Benchmark1,J4&lt;=Benchmark1,K4&lt;=Benchmark1)</f>
        <v>1</v>
      </c>
      <c r="U4" s="46" t="b">
        <f>+AND(E4&gt;Benchmark1,J4&gt;Benchmark1,K4&gt;Benchmark1)</f>
        <v>0</v>
      </c>
      <c r="V4" s="7" t="b">
        <f>+AND(E4&lt;=Benchmark2,J4&lt;=Benchmark2,K4&lt;=Benchmark2)</f>
        <v>1</v>
      </c>
      <c r="W4" s="46" t="b">
        <f>+AND(E4&gt;Benchmark2,J4&gt;Benchmark2,K4&gt;Benchmark2)</f>
        <v>0</v>
      </c>
      <c r="X4" s="12" t="b">
        <f>+AND(NOT(T4),NOT(U4))</f>
        <v>0</v>
      </c>
      <c r="Y4" s="12" t="b">
        <f>+AND(NOT(V4),NOT(W4))</f>
        <v>0</v>
      </c>
      <c r="AA4" s="12" t="s">
        <v>32</v>
      </c>
      <c r="AC4" s="20">
        <f>+B4</f>
        <v>0.8</v>
      </c>
      <c r="AD4" s="21">
        <f>+E4</f>
        <v>89663</v>
      </c>
      <c r="AE4" s="21"/>
      <c r="AF4" s="21" t="s">
        <v>23</v>
      </c>
      <c r="AG4" s="24">
        <f>-AD7/(2*AC7)</f>
        <v>0.91722317065991577</v>
      </c>
      <c r="AH4" s="24"/>
      <c r="AJ4" s="20">
        <f>+B5</f>
        <v>0.71</v>
      </c>
      <c r="AK4" s="21">
        <f>+E5</f>
        <v>89663</v>
      </c>
      <c r="AL4" s="21"/>
      <c r="AM4" s="21" t="s">
        <v>23</v>
      </c>
      <c r="AN4" s="24">
        <f>-AK7/(2*AJ7)</f>
        <v>3.7127586206894434</v>
      </c>
      <c r="AO4" s="24"/>
      <c r="AQ4" s="20">
        <f>+B6</f>
        <v>0.624</v>
      </c>
      <c r="AR4" s="21">
        <f>+E6</f>
        <v>89663</v>
      </c>
      <c r="AS4" s="21"/>
      <c r="AT4" s="21" t="s">
        <v>23</v>
      </c>
      <c r="AU4" s="24">
        <f>-AR7/(2*AQ7)</f>
        <v>0.35923988331214285</v>
      </c>
      <c r="AV4" s="24"/>
      <c r="BH4" s="2"/>
    </row>
    <row r="5" spans="1:60" x14ac:dyDescent="0.25">
      <c r="A5" s="7" t="str">
        <f>+'Table 4-3 - inputs'!A5</f>
        <v>Utility weight - Partial response</v>
      </c>
      <c r="B5" s="11">
        <f>+'Table 4-3 - inputs'!B5</f>
        <v>0.71</v>
      </c>
      <c r="C5" s="11">
        <f>+'Table 4-3 - inputs'!C5</f>
        <v>0.63</v>
      </c>
      <c r="D5" s="11">
        <f>+'Table 4-3 - inputs'!D5</f>
        <v>0.79</v>
      </c>
      <c r="E5" s="12">
        <f>+'Table 4-3 - inputs'!E5</f>
        <v>89663</v>
      </c>
      <c r="F5" s="12">
        <f>+'Table 4-3 - inputs'!F5</f>
        <v>90766</v>
      </c>
      <c r="G5" s="12">
        <f>+'Table 4-3 - inputs'!G5</f>
        <v>88589</v>
      </c>
      <c r="H5" s="11">
        <f>+'Table 4-3 - inputs'!H5</f>
        <v>0.71</v>
      </c>
      <c r="I5" s="11">
        <f>+'Table 4-3 - inputs'!I5</f>
        <v>0.74</v>
      </c>
      <c r="J5" s="12">
        <f>+AO5</f>
        <v>89663</v>
      </c>
      <c r="K5" s="12">
        <f>+AO6</f>
        <v>89256.8515625</v>
      </c>
      <c r="L5" s="13">
        <f t="shared" ref="L5:L6" si="1">+S5</f>
        <v>2.2648608539754412E-3</v>
      </c>
      <c r="M5" s="15" t="str">
        <f t="shared" si="0"/>
        <v>NO</v>
      </c>
      <c r="N5" s="15" t="str">
        <f t="shared" si="0"/>
        <v>NO</v>
      </c>
      <c r="O5" s="7"/>
      <c r="P5" s="45">
        <f>+MIN(E5,J5,K5)</f>
        <v>89256.8515625</v>
      </c>
      <c r="Q5" s="45">
        <f>+MEDIAN(E5,J5,K5)</f>
        <v>89663</v>
      </c>
      <c r="R5" s="45">
        <f>+MAX(E5,J5,K5)</f>
        <v>89663</v>
      </c>
      <c r="S5" s="46">
        <f t="shared" ref="S5:S6" si="2">+AVERAGE((Q5-P5)/Q5,(R5-Q5)/Q5)</f>
        <v>2.2648608539754412E-3</v>
      </c>
      <c r="T5" s="7" t="b">
        <f>+AND(E5&lt;=Benchmark1,J5&lt;=Benchmark1,K5&lt;=Benchmark1)</f>
        <v>1</v>
      </c>
      <c r="U5" s="46" t="b">
        <f>+AND(E5&gt;Benchmark1,J5&gt;Benchmark1,K5&gt;Benchmark1)</f>
        <v>0</v>
      </c>
      <c r="V5" s="7" t="b">
        <f>+AND(E5&lt;=Benchmark2,J5&lt;=Benchmark2,K5&lt;=Benchmark2)</f>
        <v>1</v>
      </c>
      <c r="W5" s="46" t="b">
        <f>+AND(E5&gt;Benchmark2,J5&gt;Benchmark2,K5&gt;Benchmark2)</f>
        <v>0</v>
      </c>
      <c r="X5" s="12" t="b">
        <f>+AND(NOT(T5),NOT(U5))</f>
        <v>0</v>
      </c>
      <c r="Y5" s="12" t="b">
        <f>+AND(NOT(V5),NOT(W5))</f>
        <v>0</v>
      </c>
      <c r="AA5" s="12" t="s">
        <v>33</v>
      </c>
      <c r="AC5" s="20">
        <f>+C4</f>
        <v>0.72</v>
      </c>
      <c r="AD5" s="21">
        <f>+F4</f>
        <v>113403</v>
      </c>
      <c r="AE5" s="21"/>
      <c r="AF5" s="21" t="s">
        <v>24</v>
      </c>
      <c r="AG5" s="24">
        <f>+H4</f>
        <v>0.8</v>
      </c>
      <c r="AH5" s="21">
        <f>+AC9*AG5^2+AD9*AG5+AE9</f>
        <v>89663</v>
      </c>
      <c r="AJ5" s="20">
        <f>+C5</f>
        <v>0.63</v>
      </c>
      <c r="AK5" s="21">
        <f>+F5</f>
        <v>90766</v>
      </c>
      <c r="AL5" s="21"/>
      <c r="AM5" s="21" t="s">
        <v>24</v>
      </c>
      <c r="AN5" s="24">
        <f>+H5</f>
        <v>0.71</v>
      </c>
      <c r="AO5" s="21">
        <f>+AJ9*AN5^2+AK9*AN5+AL9</f>
        <v>89663</v>
      </c>
      <c r="AQ5" s="20">
        <f>+C6</f>
        <v>0.6</v>
      </c>
      <c r="AR5" s="21">
        <f>+F6</f>
        <v>86106</v>
      </c>
      <c r="AS5" s="21"/>
      <c r="AT5" s="21" t="s">
        <v>24</v>
      </c>
      <c r="AU5" s="24">
        <f>+H6</f>
        <v>0.624</v>
      </c>
      <c r="AV5" s="21">
        <f>+AQ9*AU5^2+AR9*AU5+AS9</f>
        <v>89662.999999999956</v>
      </c>
      <c r="BH5" s="2"/>
    </row>
    <row r="6" spans="1:60" x14ac:dyDescent="0.25">
      <c r="A6" s="7" t="str">
        <f>+'Table 4-3 - inputs'!A6</f>
        <v>Utility weight - Active disease</v>
      </c>
      <c r="B6" s="11">
        <f>+'Table 4-3 - inputs'!B6</f>
        <v>0.624</v>
      </c>
      <c r="C6" s="11">
        <f>+'Table 4-3 - inputs'!C6</f>
        <v>0.6</v>
      </c>
      <c r="D6" s="11">
        <f>+'Table 4-3 - inputs'!D6</f>
        <v>0.7</v>
      </c>
      <c r="E6" s="12">
        <f>+'Table 4-3 - inputs'!E6</f>
        <v>89663</v>
      </c>
      <c r="F6" s="12">
        <f>+'Table 4-3 - inputs'!F6</f>
        <v>86106</v>
      </c>
      <c r="G6" s="12">
        <f>+'Table 4-3 - inputs'!G6</f>
        <v>103155</v>
      </c>
      <c r="H6" s="11">
        <f>+'Table 4-3 - inputs'!H6</f>
        <v>0.624</v>
      </c>
      <c r="I6" s="11">
        <f>+'Table 4-3 - inputs'!I6</f>
        <v>0.56999999999999995</v>
      </c>
      <c r="J6" s="12">
        <f>+AV5</f>
        <v>89662.999999999956</v>
      </c>
      <c r="K6" s="12">
        <f>+AV6</f>
        <v>82134.701315789454</v>
      </c>
      <c r="L6" s="13">
        <f t="shared" si="1"/>
        <v>4.198107739095585E-2</v>
      </c>
      <c r="M6" s="15" t="str">
        <f t="shared" si="0"/>
        <v>NO</v>
      </c>
      <c r="N6" s="15" t="str">
        <f t="shared" si="0"/>
        <v>NO</v>
      </c>
      <c r="O6" s="7"/>
      <c r="P6" s="45">
        <f>+MIN(E6,J6,K6)</f>
        <v>82134.701315789454</v>
      </c>
      <c r="Q6" s="45">
        <f>+MEDIAN(E6,J6,K6)</f>
        <v>89662.999999999956</v>
      </c>
      <c r="R6" s="45">
        <f>+MAX(E6,J6,K6)</f>
        <v>89663</v>
      </c>
      <c r="S6" s="46">
        <f t="shared" si="2"/>
        <v>4.198107739095585E-2</v>
      </c>
      <c r="T6" s="7" t="b">
        <f>+AND(E6&lt;=Benchmark1,J6&lt;=Benchmark1,K6&lt;=Benchmark1)</f>
        <v>1</v>
      </c>
      <c r="U6" s="46" t="b">
        <f>+AND(E6&gt;Benchmark1,J6&gt;Benchmark1,K6&gt;Benchmark1)</f>
        <v>0</v>
      </c>
      <c r="V6" s="7" t="b">
        <f>+AND(E6&lt;=Benchmark2,J6&lt;=Benchmark2,K6&lt;=Benchmark2)</f>
        <v>1</v>
      </c>
      <c r="W6" s="46" t="b">
        <f>+AND(E6&gt;Benchmark2,J6&gt;Benchmark2,K6&gt;Benchmark2)</f>
        <v>0</v>
      </c>
      <c r="X6" s="12" t="b">
        <f>+AND(NOT(T6),NOT(U6))</f>
        <v>0</v>
      </c>
      <c r="Y6" s="12" t="b">
        <f>+AND(NOT(V6),NOT(W6))</f>
        <v>0</v>
      </c>
      <c r="AA6" s="12" t="s">
        <v>34</v>
      </c>
      <c r="AC6" s="20">
        <f>+D4</f>
        <v>0.9</v>
      </c>
      <c r="AD6" s="21">
        <f>+G4</f>
        <v>76975</v>
      </c>
      <c r="AE6" s="21"/>
      <c r="AF6" s="21" t="s">
        <v>25</v>
      </c>
      <c r="AG6" s="24">
        <f>+I4</f>
        <v>0.85</v>
      </c>
      <c r="AH6" s="21">
        <f>+AC9*AG6^2+AD9*AG6+AE9</f>
        <v>80959.694444444263</v>
      </c>
      <c r="AJ6" s="20">
        <f>+D5</f>
        <v>0.79</v>
      </c>
      <c r="AK6" s="21">
        <f>+G5</f>
        <v>88589</v>
      </c>
      <c r="AL6" s="21"/>
      <c r="AM6" s="21" t="s">
        <v>25</v>
      </c>
      <c r="AN6" s="24">
        <f>+I5</f>
        <v>0.74</v>
      </c>
      <c r="AO6" s="21">
        <f>+AJ9*AN6^2+AK9*AN6+AL9</f>
        <v>89256.8515625</v>
      </c>
      <c r="AQ6" s="20">
        <f>+D6</f>
        <v>0.7</v>
      </c>
      <c r="AR6" s="21">
        <f>+G6</f>
        <v>103155</v>
      </c>
      <c r="AS6" s="21"/>
      <c r="AT6" s="21" t="s">
        <v>25</v>
      </c>
      <c r="AU6" s="24">
        <f>+I6</f>
        <v>0.56999999999999995</v>
      </c>
      <c r="AV6" s="21">
        <f>+AQ9*AU6^2+AR9*AU6+AS9</f>
        <v>82134.701315789454</v>
      </c>
      <c r="BH6" s="2"/>
    </row>
    <row r="7" spans="1:60" x14ac:dyDescent="0.25">
      <c r="A7" s="7"/>
      <c r="B7" s="11"/>
      <c r="C7" s="11"/>
      <c r="D7" s="11"/>
      <c r="E7" s="12"/>
      <c r="F7" s="12"/>
      <c r="G7" s="12"/>
      <c r="H7" s="11"/>
      <c r="I7" s="11"/>
      <c r="J7" s="12"/>
      <c r="K7" s="12"/>
      <c r="L7" s="13"/>
      <c r="M7" s="15"/>
      <c r="N7" s="15"/>
      <c r="O7" s="7"/>
      <c r="P7" s="45"/>
      <c r="Q7" s="45"/>
      <c r="R7" s="45"/>
      <c r="S7" s="46"/>
      <c r="T7" s="7"/>
      <c r="U7" s="46"/>
      <c r="V7" s="7"/>
      <c r="W7" s="46"/>
      <c r="X7" s="12"/>
      <c r="Y7" s="12"/>
      <c r="AA7" s="12" t="s">
        <v>35</v>
      </c>
      <c r="AC7" s="23" cm="1">
        <f t="array" ref="AC7:AE7">+LINEST(AD4:AD6,AC4:AC6^{1,2})</f>
        <v>943722.22222222912</v>
      </c>
      <c r="AD7" s="23">
        <v>-1731207.7777777892</v>
      </c>
      <c r="AE7" s="23">
        <v>870647.00000000454</v>
      </c>
      <c r="AG7" s="22">
        <f>+OR(AG4=MIN(AG4:AG6,AC4:AC6),AG4=MAX(AG4:AG6,AC4:AC6))*1</f>
        <v>1</v>
      </c>
      <c r="AI7" s="5"/>
      <c r="AJ7" s="23" cm="1">
        <f t="array" ref="AJ7:AL7">+LINEST(AK4:AK6,AJ4:AJ6^{1,2})</f>
        <v>2265.6250000001605</v>
      </c>
      <c r="AK7" s="23">
        <v>-16823.437500000233</v>
      </c>
      <c r="AL7" s="23">
        <v>100465.53906250009</v>
      </c>
      <c r="AM7" s="23"/>
      <c r="AN7" s="22">
        <f>+OR(AN4=MIN(AN4:AN6,AJ4:AJ6),AN4=MAX(AN4:AN6,AJ4:AJ6))*1</f>
        <v>1</v>
      </c>
      <c r="AQ7" s="23" cm="1">
        <f t="array" ref="AQ7:AS7">+LINEST(AR4:AR6,AQ4:AQ6^{1,2})</f>
        <v>293179.82456140657</v>
      </c>
      <c r="AR7" s="23">
        <v>-210643.77192982842</v>
      </c>
      <c r="AS7" s="23">
        <v>106947.52631579066</v>
      </c>
      <c r="AT7" s="23"/>
      <c r="AU7" s="22">
        <f>+OR(AU4=MIN(AU4:AU6,AQ4:AQ6),AU4=MAX(AU4:AU6,AQ4:AQ6))*1</f>
        <v>1</v>
      </c>
      <c r="BH7" s="2"/>
    </row>
    <row r="8" spans="1:60" x14ac:dyDescent="0.25">
      <c r="A8" s="7"/>
      <c r="B8" s="11"/>
      <c r="C8" s="11"/>
      <c r="D8" s="15"/>
      <c r="E8" s="7"/>
      <c r="F8" s="7"/>
      <c r="G8" s="7"/>
      <c r="H8" s="11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AA8" s="12"/>
      <c r="AD8" s="23" cm="1">
        <f t="array" ref="AD8:AE8">+LINEST(AD4:AD6,AC4:AC6^{1})</f>
        <v>-199283.60655737703</v>
      </c>
      <c r="AE8" s="23">
        <v>254102.4426229508</v>
      </c>
      <c r="AG8" s="22">
        <f>+NOT(AG7)*1</f>
        <v>0</v>
      </c>
      <c r="AK8" s="23" cm="1">
        <f t="array" ref="AK8:AL8">+LINEST(AK4:AK6,AJ4:AJ6^{1})</f>
        <v>-13606.249999999993</v>
      </c>
      <c r="AL8" s="23">
        <v>99333.104166666672</v>
      </c>
      <c r="AM8" s="23"/>
      <c r="AN8" s="22">
        <f>+NOT(AN7)*1</f>
        <v>0</v>
      </c>
      <c r="AR8" s="23" cm="1">
        <f t="array" ref="AR8:AS8">+LINEST(AR4:AR6,AQ4:AQ6^{1})</f>
        <v>172190.55772994139</v>
      </c>
      <c r="AS8" s="23">
        <v>-17456.877690802401</v>
      </c>
      <c r="AT8" s="23"/>
      <c r="AU8" s="22">
        <f>+NOT(AU7)*1</f>
        <v>0</v>
      </c>
      <c r="BH8" s="2"/>
    </row>
    <row r="9" spans="1:60" x14ac:dyDescent="0.25">
      <c r="A9" s="7"/>
      <c r="B9" s="11"/>
      <c r="C9" s="11"/>
      <c r="D9" s="15"/>
      <c r="E9" s="7"/>
      <c r="F9" s="7"/>
      <c r="G9" s="7"/>
      <c r="H9" s="11"/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AA9" s="12"/>
      <c r="AC9" s="23">
        <f>+SUMPRODUCT(AC7:AC8,AG7:AG8)</f>
        <v>943722.22222222912</v>
      </c>
      <c r="AD9" s="23">
        <f>+SUMPRODUCT(AD7:AD8,AG7:AG8)</f>
        <v>-1731207.7777777892</v>
      </c>
      <c r="AE9" s="23">
        <f>+SUMPRODUCT(AE7:AE8,AG7:AG8)</f>
        <v>870647.00000000454</v>
      </c>
      <c r="AJ9" s="23">
        <f>+SUMPRODUCT(AJ7:AJ8,AN7:AN8)</f>
        <v>2265.6250000001605</v>
      </c>
      <c r="AK9" s="23">
        <f>+SUMPRODUCT(AK7:AK8,AN7:AN8)</f>
        <v>-16823.437500000233</v>
      </c>
      <c r="AL9" s="23">
        <f>+SUMPRODUCT(AL7:AL8,AN7:AN8)</f>
        <v>100465.53906250009</v>
      </c>
      <c r="AQ9" s="23">
        <f>+SUMPRODUCT(AQ7:AQ8,AU7:AU8)</f>
        <v>293179.82456140657</v>
      </c>
      <c r="AR9" s="23">
        <f>+SUMPRODUCT(AR7:AR8,AU7:AU8)</f>
        <v>-210643.77192982842</v>
      </c>
      <c r="AS9" s="23">
        <f>+SUMPRODUCT(AS7:AS8,AU7:AU8)</f>
        <v>106947.52631579066</v>
      </c>
      <c r="AV9" s="4"/>
      <c r="BH9" s="2"/>
    </row>
    <row r="10" spans="1:60" x14ac:dyDescent="0.25">
      <c r="A10" s="7"/>
      <c r="B10" s="11"/>
      <c r="C10" s="11"/>
      <c r="D10" s="15"/>
      <c r="E10" s="7"/>
      <c r="F10" s="7"/>
      <c r="G10" s="7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AA10" s="12"/>
      <c r="AC10" s="23"/>
      <c r="AD10" s="23"/>
      <c r="AE10" s="23"/>
      <c r="AJ10" s="23"/>
      <c r="AK10" s="23"/>
      <c r="AL10" s="23"/>
      <c r="AQ10" s="23"/>
      <c r="AR10" s="23"/>
      <c r="AS10" s="23"/>
      <c r="AV10" s="4"/>
      <c r="BH10" s="2"/>
    </row>
    <row r="11" spans="1:60" x14ac:dyDescent="0.25">
      <c r="A11" s="10" t="s">
        <v>46</v>
      </c>
      <c r="B11" s="11"/>
      <c r="C11" s="11"/>
      <c r="D11" s="15"/>
      <c r="E11" s="7"/>
      <c r="F11" s="7"/>
      <c r="G11" s="7"/>
      <c r="H11" s="11"/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AA11" s="12"/>
      <c r="AC11" s="65" t="str">
        <f>+A12</f>
        <v>Utility weight - Complete response</v>
      </c>
      <c r="AD11" s="65"/>
      <c r="AE11" s="65"/>
      <c r="AF11" s="65"/>
      <c r="AG11" s="65"/>
      <c r="AH11" s="65"/>
      <c r="AJ11" s="65" t="str">
        <f>+A13</f>
        <v>Utility weight - Partial response</v>
      </c>
      <c r="AK11" s="65"/>
      <c r="AL11" s="65"/>
      <c r="AM11" s="65"/>
      <c r="AN11" s="65"/>
      <c r="AO11" s="65"/>
      <c r="AQ11" s="65" t="str">
        <f>+A14</f>
        <v>Utility weight - Active disease</v>
      </c>
      <c r="AR11" s="65"/>
      <c r="AS11" s="65"/>
      <c r="AT11" s="65"/>
      <c r="AU11" s="65"/>
      <c r="AV11" s="65"/>
      <c r="BH11" s="2"/>
    </row>
    <row r="12" spans="1:60" x14ac:dyDescent="0.25">
      <c r="A12" s="7" t="str">
        <f>+'Table 4-3 - inputs'!A4</f>
        <v>Utility weight - Complete response</v>
      </c>
      <c r="B12" s="11">
        <f>+'Table 4-3 - inputs'!B18</f>
        <v>0.8</v>
      </c>
      <c r="C12" s="11">
        <f>+'Table 4-3 - inputs'!C18</f>
        <v>0.72</v>
      </c>
      <c r="D12" s="11">
        <f>+'Table 4-3 - inputs'!D18</f>
        <v>0.9</v>
      </c>
      <c r="E12" s="12">
        <f>+'Table 4-3 - inputs'!E18</f>
        <v>149260</v>
      </c>
      <c r="F12" s="12">
        <f>+'Table 4-3 - inputs'!F18</f>
        <v>143404</v>
      </c>
      <c r="G12" s="12">
        <f>+'Table 4-3 - inputs'!G18</f>
        <v>162185</v>
      </c>
      <c r="H12" s="11">
        <f>+'Table 4-3 - inputs'!H18</f>
        <v>0.8</v>
      </c>
      <c r="I12" s="11">
        <f>+'Table 4-3 - inputs'!I18</f>
        <v>0.85</v>
      </c>
      <c r="J12" s="12">
        <f>+AH13</f>
        <v>149260.00000000003</v>
      </c>
      <c r="K12" s="12">
        <f>+AH14</f>
        <v>154944.02777777775</v>
      </c>
      <c r="L12" s="13">
        <f t="shared" ref="L12:L14" si="3">+S12</f>
        <v>1.9040693346434913E-2</v>
      </c>
      <c r="M12" s="15" t="str">
        <f t="shared" ref="M12:N14" si="4">+IF(X12,"YES","NO")</f>
        <v>NO</v>
      </c>
      <c r="N12" s="15" t="str">
        <f t="shared" si="4"/>
        <v>YES</v>
      </c>
      <c r="O12" s="7"/>
      <c r="P12" s="45">
        <f>+MIN(E12,J12,K12)</f>
        <v>149260</v>
      </c>
      <c r="Q12" s="45">
        <f>+MEDIAN(E12,J12,K12)</f>
        <v>149260.00000000003</v>
      </c>
      <c r="R12" s="45">
        <f>+MAX(E12,J12,K12)</f>
        <v>154944.02777777775</v>
      </c>
      <c r="S12" s="46">
        <f t="shared" ref="S12:S14" si="5">+AVERAGE((Q12-P12)/Q12,(R12-Q12)/Q12)</f>
        <v>1.9040693346434913E-2</v>
      </c>
      <c r="T12" s="7" t="b">
        <f>+AND(E12&lt;=Benchmark1,J12&lt;=Benchmark1,K12&lt;=Benchmark1)</f>
        <v>0</v>
      </c>
      <c r="U12" s="46" t="b">
        <f>+AND(E12&gt;Benchmark1,J12&gt;Benchmark1,K12&gt;Benchmark1)</f>
        <v>1</v>
      </c>
      <c r="V12" s="7" t="b">
        <f>+AND(E12&lt;=Benchmark2,J12&lt;=Benchmark2,K12&lt;=Benchmark2)</f>
        <v>0</v>
      </c>
      <c r="W12" s="46" t="b">
        <f>+AND(E12&gt;Benchmark2,J12&gt;Benchmark2,K12&gt;Benchmark2)</f>
        <v>0</v>
      </c>
      <c r="X12" s="12" t="b">
        <f>+AND(NOT(T12),NOT(U12))</f>
        <v>0</v>
      </c>
      <c r="Y12" s="12" t="b">
        <f>+AND(NOT(V12),NOT(W12))</f>
        <v>1</v>
      </c>
      <c r="AA12" s="12" t="s">
        <v>17</v>
      </c>
      <c r="AC12" s="20">
        <f>+B12</f>
        <v>0.8</v>
      </c>
      <c r="AD12" s="21">
        <f>+E12</f>
        <v>149260</v>
      </c>
      <c r="AE12" s="21"/>
      <c r="AF12" s="21" t="s">
        <v>23</v>
      </c>
      <c r="AG12" s="24">
        <f>-AD15/(2*AC15)</f>
        <v>0.64246208742194655</v>
      </c>
      <c r="AH12" s="24"/>
      <c r="AJ12" s="20">
        <f>+B13</f>
        <v>0.71</v>
      </c>
      <c r="AK12" s="21">
        <f>+E13</f>
        <v>149260</v>
      </c>
      <c r="AL12" s="21"/>
      <c r="AM12" s="21" t="s">
        <v>23</v>
      </c>
      <c r="AN12" s="24">
        <f>-AK15/(2*AJ15)</f>
        <v>-1.5156310679612366</v>
      </c>
      <c r="AO12" s="24"/>
      <c r="AQ12" s="20">
        <f>+B14</f>
        <v>0.624</v>
      </c>
      <c r="AR12" s="21">
        <f>+E14</f>
        <v>149260</v>
      </c>
      <c r="AS12" s="21"/>
      <c r="AT12" s="21" t="s">
        <v>23</v>
      </c>
      <c r="AU12" s="24">
        <f>-AR15/(2*AQ15)</f>
        <v>0.6723298840457812</v>
      </c>
      <c r="AV12" s="24"/>
    </row>
    <row r="13" spans="1:60" x14ac:dyDescent="0.25">
      <c r="A13" s="7" t="str">
        <f>+'Table 4-3 - inputs'!A5</f>
        <v>Utility weight - Partial response</v>
      </c>
      <c r="B13" s="11">
        <f>+'Table 4-3 - inputs'!B19</f>
        <v>0.71</v>
      </c>
      <c r="C13" s="11">
        <f>+'Table 4-3 - inputs'!C19</f>
        <v>0.63</v>
      </c>
      <c r="D13" s="11">
        <f>+'Table 4-3 - inputs'!D19</f>
        <v>0.79</v>
      </c>
      <c r="E13" s="12">
        <f>+'Table 4-3 - inputs'!E19</f>
        <v>149260</v>
      </c>
      <c r="F13" s="12">
        <f>+'Table 4-3 - inputs'!F19</f>
        <v>146446</v>
      </c>
      <c r="G13" s="12">
        <f>+'Table 4-3 - inputs'!G19</f>
        <v>152177</v>
      </c>
      <c r="H13" s="11">
        <f>+'Table 4-3 - inputs'!H19</f>
        <v>0.71</v>
      </c>
      <c r="I13" s="11">
        <f>+'Table 4-3 - inputs'!I19</f>
        <v>0.74</v>
      </c>
      <c r="J13" s="12">
        <f>+AO13</f>
        <v>149260</v>
      </c>
      <c r="K13" s="12">
        <f>+AO14</f>
        <v>150341.8046875</v>
      </c>
      <c r="L13" s="13">
        <f t="shared" si="3"/>
        <v>3.623893499598017E-3</v>
      </c>
      <c r="M13" s="15" t="str">
        <f t="shared" si="4"/>
        <v>NO</v>
      </c>
      <c r="N13" s="15" t="str">
        <f t="shared" si="4"/>
        <v>YES</v>
      </c>
      <c r="O13" s="7"/>
      <c r="P13" s="45">
        <f>+MIN(E13,J13,K13)</f>
        <v>149260</v>
      </c>
      <c r="Q13" s="45">
        <f>+MEDIAN(E13,J13,K13)</f>
        <v>149260</v>
      </c>
      <c r="R13" s="45">
        <f>+MAX(E13,J13,K13)</f>
        <v>150341.8046875</v>
      </c>
      <c r="S13" s="46">
        <f t="shared" si="5"/>
        <v>3.623893499598017E-3</v>
      </c>
      <c r="T13" s="7" t="b">
        <f>+AND(E13&lt;=Benchmark1,J13&lt;=Benchmark1,K13&lt;=Benchmark1)</f>
        <v>0</v>
      </c>
      <c r="U13" s="46" t="b">
        <f>+AND(E13&gt;Benchmark1,J13&gt;Benchmark1,K13&gt;Benchmark1)</f>
        <v>1</v>
      </c>
      <c r="V13" s="7" t="b">
        <f>+AND(E13&lt;=Benchmark2,J13&lt;=Benchmark2,K13&lt;=Benchmark2)</f>
        <v>0</v>
      </c>
      <c r="W13" s="46" t="b">
        <f>+AND(E13&gt;Benchmark2,J13&gt;Benchmark2,K13&gt;Benchmark2)</f>
        <v>0</v>
      </c>
      <c r="X13" s="12" t="b">
        <f>+AND(NOT(T13),NOT(U13))</f>
        <v>0</v>
      </c>
      <c r="Y13" s="12" t="b">
        <f>+AND(NOT(V13),NOT(W13))</f>
        <v>1</v>
      </c>
      <c r="AA13" s="12" t="s">
        <v>33</v>
      </c>
      <c r="AC13" s="20">
        <f>+C12</f>
        <v>0.72</v>
      </c>
      <c r="AD13" s="21">
        <f>+F12</f>
        <v>143404</v>
      </c>
      <c r="AE13" s="21"/>
      <c r="AF13" s="21" t="s">
        <v>24</v>
      </c>
      <c r="AG13" s="24">
        <f>+H12</f>
        <v>0.8</v>
      </c>
      <c r="AH13" s="21">
        <f>+AC17*AG13^2+AD17*AG13+AE17</f>
        <v>149260.00000000003</v>
      </c>
      <c r="AJ13" s="20">
        <f>+C13</f>
        <v>0.63</v>
      </c>
      <c r="AK13" s="21">
        <f>+F13</f>
        <v>146446</v>
      </c>
      <c r="AL13" s="21"/>
      <c r="AM13" s="21" t="s">
        <v>24</v>
      </c>
      <c r="AN13" s="24">
        <f>+H13</f>
        <v>0.71</v>
      </c>
      <c r="AO13" s="21">
        <f>+AJ17*AN13^2+AK17*AN13+AL17</f>
        <v>149260</v>
      </c>
      <c r="AQ13" s="20">
        <f>+C14</f>
        <v>0.6</v>
      </c>
      <c r="AR13" s="21">
        <f>+F14</f>
        <v>189881</v>
      </c>
      <c r="AS13" s="21"/>
      <c r="AT13" s="21" t="s">
        <v>24</v>
      </c>
      <c r="AU13" s="24">
        <f>+H14</f>
        <v>0.624</v>
      </c>
      <c r="AV13" s="21">
        <f>+AQ17*AU13^2+AR17*AU13+AS17</f>
        <v>164906.99119373778</v>
      </c>
    </row>
    <row r="14" spans="1:60" x14ac:dyDescent="0.25">
      <c r="A14" s="7" t="str">
        <f>+'Table 4-3 - inputs'!A6</f>
        <v>Utility weight - Active disease</v>
      </c>
      <c r="B14" s="11">
        <f>+'Table 4-3 - inputs'!B20</f>
        <v>0.624</v>
      </c>
      <c r="C14" s="11">
        <f>+'Table 4-3 - inputs'!C20</f>
        <v>0.6</v>
      </c>
      <c r="D14" s="11">
        <f>+'Table 4-3 - inputs'!D20</f>
        <v>0.7</v>
      </c>
      <c r="E14" s="12">
        <f>+'Table 4-3 - inputs'!E20</f>
        <v>149260</v>
      </c>
      <c r="F14" s="12">
        <f>+'Table 4-3 - inputs'!F20</f>
        <v>189881</v>
      </c>
      <c r="G14" s="12">
        <f>+'Table 4-3 - inputs'!G20</f>
        <v>127235</v>
      </c>
      <c r="H14" s="11">
        <f>+'Table 4-3 - inputs'!H20</f>
        <v>0.624</v>
      </c>
      <c r="I14" s="11">
        <f>+'Table 4-3 - inputs'!I20</f>
        <v>0.56999999999999995</v>
      </c>
      <c r="J14" s="12">
        <f>+AV13</f>
        <v>164906.99119373778</v>
      </c>
      <c r="K14" s="12">
        <f>+AV14</f>
        <v>194342.1560665362</v>
      </c>
      <c r="L14" s="13">
        <f t="shared" si="3"/>
        <v>0.1366896446906011</v>
      </c>
      <c r="M14" s="15" t="str">
        <f t="shared" si="4"/>
        <v>NO</v>
      </c>
      <c r="N14" s="15" t="str">
        <f t="shared" si="4"/>
        <v>YES</v>
      </c>
      <c r="O14" s="7"/>
      <c r="P14" s="45">
        <f>+MIN(E14,J14,K14)</f>
        <v>149260</v>
      </c>
      <c r="Q14" s="45">
        <f>+MEDIAN(E14,J14,K14)</f>
        <v>164906.99119373778</v>
      </c>
      <c r="R14" s="45">
        <f>+MAX(E14,J14,K14)</f>
        <v>194342.1560665362</v>
      </c>
      <c r="S14" s="46">
        <f t="shared" si="5"/>
        <v>0.1366896446906011</v>
      </c>
      <c r="T14" s="7" t="b">
        <f>+AND(E14&lt;=Benchmark1,J14&lt;=Benchmark1,K14&lt;=Benchmark1)</f>
        <v>0</v>
      </c>
      <c r="U14" s="46" t="b">
        <f>+AND(E14&gt;Benchmark1,J14&gt;Benchmark1,K14&gt;Benchmark1)</f>
        <v>1</v>
      </c>
      <c r="V14" s="7" t="b">
        <f>+AND(E14&lt;=Benchmark2,J14&lt;=Benchmark2,K14&lt;=Benchmark2)</f>
        <v>0</v>
      </c>
      <c r="W14" s="46" t="b">
        <f>+AND(E14&gt;Benchmark2,J14&gt;Benchmark2,K14&gt;Benchmark2)</f>
        <v>0</v>
      </c>
      <c r="X14" s="12" t="b">
        <f>+AND(NOT(T14),NOT(U14))</f>
        <v>0</v>
      </c>
      <c r="Y14" s="12" t="b">
        <f>+AND(NOT(V14),NOT(W14))</f>
        <v>1</v>
      </c>
      <c r="AA14" s="12" t="s">
        <v>18</v>
      </c>
      <c r="AC14" s="20">
        <f>+D12</f>
        <v>0.9</v>
      </c>
      <c r="AD14" s="21">
        <f>+G12</f>
        <v>162185</v>
      </c>
      <c r="AE14" s="21"/>
      <c r="AF14" s="21" t="s">
        <v>25</v>
      </c>
      <c r="AG14" s="24">
        <f>+I12</f>
        <v>0.85</v>
      </c>
      <c r="AH14" s="21">
        <f>+AC17*AG14^2+AD17*AG14+AE17</f>
        <v>154944.02777777775</v>
      </c>
      <c r="AJ14" s="20">
        <f>+D13</f>
        <v>0.79</v>
      </c>
      <c r="AK14" s="21">
        <f>+G13</f>
        <v>152177</v>
      </c>
      <c r="AL14" s="21"/>
      <c r="AM14" s="21" t="s">
        <v>25</v>
      </c>
      <c r="AN14" s="24">
        <f>+I13</f>
        <v>0.74</v>
      </c>
      <c r="AO14" s="21">
        <f>+AJ17*AN14^2+AK17*AN14+AL17</f>
        <v>150341.8046875</v>
      </c>
      <c r="AQ14" s="20">
        <f>+D14</f>
        <v>0.7</v>
      </c>
      <c r="AR14" s="21">
        <f>+G14</f>
        <v>127235</v>
      </c>
      <c r="AS14" s="21"/>
      <c r="AT14" s="21" t="s">
        <v>25</v>
      </c>
      <c r="AU14" s="24">
        <f>+I14</f>
        <v>0.56999999999999995</v>
      </c>
      <c r="AV14" s="21">
        <f>+AQ17*AU14^2+AR17*AU14+AS17</f>
        <v>194342.1560665362</v>
      </c>
    </row>
    <row r="15" spans="1:60" x14ac:dyDescent="0.25">
      <c r="A15" s="7"/>
      <c r="B15" s="11"/>
      <c r="C15" s="11"/>
      <c r="D15" s="11"/>
      <c r="E15" s="12"/>
      <c r="F15" s="12"/>
      <c r="G15" s="12"/>
      <c r="H15" s="11"/>
      <c r="I15" s="11"/>
      <c r="J15" s="12"/>
      <c r="K15" s="12"/>
      <c r="L15" s="13"/>
      <c r="M15" s="15"/>
      <c r="N15" s="15"/>
      <c r="O15" s="7"/>
      <c r="P15" s="45"/>
      <c r="Q15" s="45"/>
      <c r="R15" s="45"/>
      <c r="S15" s="46"/>
      <c r="T15" s="7"/>
      <c r="U15" s="46"/>
      <c r="V15" s="7"/>
      <c r="W15" s="46"/>
      <c r="X15" s="12"/>
      <c r="Y15" s="12"/>
      <c r="AA15" s="12" t="s">
        <v>36</v>
      </c>
      <c r="AC15" s="23" cm="1">
        <f t="array" ref="AC15:AE15">+LINEST(AD12:AD14,AC12:AC14^{1,2})</f>
        <v>311388.88888889179</v>
      </c>
      <c r="AD15" s="23">
        <v>-400111.11111111601</v>
      </c>
      <c r="AE15" s="23">
        <v>270060.0000000021</v>
      </c>
      <c r="AG15" s="22">
        <f>+OR(AG12=MIN(AG12:AG14,AC12:AC14),AG12=MAX(AG12:AG14,AC12:AC14))*1</f>
        <v>1</v>
      </c>
      <c r="AJ15" s="23" cm="1">
        <f t="array" ref="AJ15:AL15">+LINEST(AK12:AK14,AJ12:AJ14^{1,2})</f>
        <v>8046.8749999997399</v>
      </c>
      <c r="AK15" s="23">
        <v>24392.187500000364</v>
      </c>
      <c r="AL15" s="23">
        <v>127885.11718749988</v>
      </c>
      <c r="AM15" s="23"/>
      <c r="AN15" s="22">
        <f>+OR(AN12=MIN(AN12:AN14,AJ12:AJ14),AN12=MAX(AN12:AN14,AJ12:AJ14))*1</f>
        <v>1</v>
      </c>
      <c r="AQ15" s="23" cm="1">
        <f t="array" ref="AQ15:AS15">+LINEST(AR12:AR14,AQ12:AQ14^{1,2})</f>
        <v>14027390.350877242</v>
      </c>
      <c r="AR15" s="23">
        <v>-18862067.456140414</v>
      </c>
      <c r="AS15" s="23">
        <v>6457260.9473684402</v>
      </c>
      <c r="AT15" s="23"/>
      <c r="AU15" s="22">
        <f>+OR(AU12=MIN(AU12:AU14,AQ12:AQ14),AU12=MAX(AU12:AU14,AQ12:AQ14))*1</f>
        <v>0</v>
      </c>
    </row>
    <row r="16" spans="1:60" x14ac:dyDescent="0.25">
      <c r="A16" s="7"/>
      <c r="B16" s="11"/>
      <c r="C16" s="11"/>
      <c r="D16" s="11"/>
      <c r="E16" s="12"/>
      <c r="F16" s="12"/>
      <c r="G16" s="12"/>
      <c r="H16" s="11"/>
      <c r="I16" s="11"/>
      <c r="J16" s="12"/>
      <c r="K16" s="12"/>
      <c r="L16" s="13"/>
      <c r="M16" s="25"/>
      <c r="N16" s="25"/>
      <c r="P16" s="26"/>
      <c r="Q16" s="26"/>
      <c r="R16" s="26"/>
      <c r="S16" s="14"/>
      <c r="U16" s="14"/>
      <c r="W16" s="14"/>
      <c r="X16" s="12"/>
      <c r="Y16" s="12"/>
      <c r="AA16" s="12"/>
      <c r="AD16" s="23" cm="1">
        <f t="array" ref="AD16:AE16">+LINEST(AD12:AD14,AC12:AC14^{1})</f>
        <v>105359.83606557373</v>
      </c>
      <c r="AE16" s="23">
        <v>66626.065573770538</v>
      </c>
      <c r="AG16" s="22">
        <f>+NOT(AG15)*1</f>
        <v>0</v>
      </c>
      <c r="AK16" s="23" cm="1">
        <f t="array" ref="AK16:AL16">+LINEST(AK12:AK14,AJ12:AJ14^{1})</f>
        <v>35818.749999999993</v>
      </c>
      <c r="AL16" s="23">
        <v>123863.02083333334</v>
      </c>
      <c r="AM16" s="23"/>
      <c r="AN16" s="22">
        <f>+NOT(AN15)*1</f>
        <v>0</v>
      </c>
      <c r="AR16" s="23" cm="1">
        <f t="array" ref="AR16:AS16">+LINEST(AR12:AR14,AQ12:AQ14^{1})</f>
        <v>-545095.6457925638</v>
      </c>
      <c r="AS16" s="23">
        <v>505046.67416829756</v>
      </c>
      <c r="AT16" s="23"/>
      <c r="AU16" s="22">
        <f>+NOT(AU15)*1</f>
        <v>1</v>
      </c>
    </row>
    <row r="17" spans="1:48" x14ac:dyDescent="0.25">
      <c r="A17" s="7"/>
      <c r="B17" s="11"/>
      <c r="C17" s="11"/>
      <c r="D17" s="11"/>
      <c r="E17" s="12"/>
      <c r="F17" s="12"/>
      <c r="G17" s="12"/>
      <c r="H17" s="11"/>
      <c r="I17" s="11"/>
      <c r="J17" s="12"/>
      <c r="K17" s="12"/>
      <c r="L17" s="13"/>
      <c r="M17" s="25"/>
      <c r="N17" s="25"/>
      <c r="P17" s="26"/>
      <c r="Q17" s="26"/>
      <c r="R17" s="26"/>
      <c r="S17" s="14"/>
      <c r="U17" s="14"/>
      <c r="W17" s="14"/>
      <c r="X17" s="12"/>
      <c r="Y17" s="12"/>
      <c r="AA17" s="12"/>
      <c r="AC17" s="23">
        <f>+SUMPRODUCT(AC15:AC16,AG15:AG16)</f>
        <v>311388.88888889179</v>
      </c>
      <c r="AD17" s="23">
        <f>+SUMPRODUCT(AD15:AD16,AG15:AG16)</f>
        <v>-400111.11111111601</v>
      </c>
      <c r="AE17" s="23">
        <f>+SUMPRODUCT(AE15:AE16,AG15:AG16)</f>
        <v>270060.0000000021</v>
      </c>
      <c r="AJ17" s="23">
        <f>+SUMPRODUCT(AJ15:AJ16,AN15:AN16)</f>
        <v>8046.8749999997399</v>
      </c>
      <c r="AK17" s="23">
        <f>+SUMPRODUCT(AK15:AK16,AN15:AN16)</f>
        <v>24392.187500000364</v>
      </c>
      <c r="AL17" s="23">
        <f>+SUMPRODUCT(AL15:AL16,AN15:AN16)</f>
        <v>127885.11718749988</v>
      </c>
      <c r="AQ17" s="23">
        <f>+SUMPRODUCT(AQ15:AQ16,AU15:AU16)</f>
        <v>0</v>
      </c>
      <c r="AR17" s="23">
        <f>+SUMPRODUCT(AR15:AR16,AU15:AU16)</f>
        <v>-545095.6457925638</v>
      </c>
      <c r="AS17" s="23">
        <f>+SUMPRODUCT(AS15:AS16,AU15:AU16)</f>
        <v>505046.67416829756</v>
      </c>
      <c r="AV17" s="4"/>
    </row>
    <row r="18" spans="1:48" x14ac:dyDescent="0.25">
      <c r="A18" s="7"/>
      <c r="B18" s="11"/>
      <c r="C18" s="11"/>
      <c r="D18" s="11"/>
      <c r="E18" s="12"/>
      <c r="F18" s="12"/>
      <c r="G18" s="12"/>
      <c r="H18" s="11"/>
      <c r="I18" s="11"/>
      <c r="J18" s="12"/>
      <c r="K18" s="12"/>
      <c r="L18" s="13"/>
      <c r="M18" s="25"/>
      <c r="N18" s="25"/>
      <c r="P18" s="26"/>
      <c r="Q18" s="26"/>
      <c r="R18" s="26"/>
      <c r="S18" s="14"/>
      <c r="U18" s="14"/>
      <c r="W18" s="14"/>
      <c r="X18" s="12"/>
      <c r="Y18" s="12"/>
      <c r="AA18" s="12"/>
      <c r="AC18" s="23"/>
      <c r="AD18" s="23"/>
      <c r="AE18" s="23"/>
      <c r="AG18" s="22"/>
      <c r="AJ18" s="23"/>
      <c r="AK18" s="23"/>
      <c r="AL18" s="23"/>
      <c r="AM18" s="23"/>
      <c r="AN18" s="22"/>
      <c r="AQ18" s="23"/>
      <c r="AR18" s="23"/>
      <c r="AS18" s="23"/>
      <c r="AT18" s="23"/>
      <c r="AU18" s="22"/>
    </row>
    <row r="19" spans="1:48" x14ac:dyDescent="0.25">
      <c r="AA19" s="12"/>
    </row>
    <row r="20" spans="1:48" x14ac:dyDescent="0.25">
      <c r="E20" s="1"/>
      <c r="F20" s="1"/>
      <c r="G20" s="1"/>
      <c r="X20" s="1"/>
      <c r="Y20" s="1"/>
      <c r="AA20" s="12"/>
    </row>
    <row r="21" spans="1:48" x14ac:dyDescent="0.25">
      <c r="AA21" s="12"/>
    </row>
    <row r="22" spans="1:48" x14ac:dyDescent="0.25">
      <c r="AA22" s="12"/>
    </row>
    <row r="23" spans="1:48" x14ac:dyDescent="0.25">
      <c r="AA23" s="12"/>
    </row>
    <row r="24" spans="1:48" x14ac:dyDescent="0.25">
      <c r="AA24" s="12"/>
    </row>
    <row r="25" spans="1:48" x14ac:dyDescent="0.25">
      <c r="AA25" s="12"/>
    </row>
    <row r="26" spans="1:48" x14ac:dyDescent="0.25">
      <c r="AA26" s="12"/>
    </row>
    <row r="27" spans="1:48" x14ac:dyDescent="0.25">
      <c r="B27" s="16"/>
      <c r="C27" s="16"/>
      <c r="E27" s="16"/>
      <c r="F27" s="16"/>
      <c r="AA27" s="12"/>
    </row>
    <row r="28" spans="1:48" x14ac:dyDescent="0.25">
      <c r="B28" s="17"/>
      <c r="C28" s="17"/>
      <c r="AA28" s="12"/>
    </row>
    <row r="29" spans="1:48" x14ac:dyDescent="0.25">
      <c r="AA29" s="12"/>
    </row>
    <row r="30" spans="1:48" x14ac:dyDescent="0.25">
      <c r="AA30" s="12"/>
    </row>
    <row r="31" spans="1:48" x14ac:dyDescent="0.25">
      <c r="AA31" s="12"/>
    </row>
    <row r="32" spans="1:48" x14ac:dyDescent="0.25">
      <c r="B32" s="16"/>
      <c r="C32" s="16"/>
      <c r="E32" s="16"/>
      <c r="F32" s="16"/>
      <c r="AA32" s="12"/>
    </row>
    <row r="36" spans="2:7" x14ac:dyDescent="0.25">
      <c r="B36" s="16"/>
      <c r="C36" s="16"/>
      <c r="F36" s="16"/>
      <c r="G36" s="16"/>
    </row>
    <row r="58" spans="1:9" x14ac:dyDescent="0.25">
      <c r="A58" s="3"/>
    </row>
    <row r="59" spans="1:9" x14ac:dyDescent="0.25">
      <c r="B59" s="16"/>
      <c r="C59" s="16"/>
      <c r="D59" s="2"/>
      <c r="E59" s="2"/>
      <c r="F59" s="16"/>
      <c r="G59" s="16"/>
      <c r="H59" s="14"/>
      <c r="I59" s="14"/>
    </row>
    <row r="62" spans="1:9" x14ac:dyDescent="0.25">
      <c r="A62" s="3"/>
    </row>
    <row r="63" spans="1:9" x14ac:dyDescent="0.25">
      <c r="B63" s="16"/>
      <c r="C63" s="16"/>
      <c r="D63" s="2"/>
      <c r="E63" s="2"/>
      <c r="F63" s="16"/>
      <c r="G63" s="16"/>
      <c r="H63" s="14"/>
      <c r="I63" s="14"/>
    </row>
  </sheetData>
  <mergeCells count="11">
    <mergeCell ref="B1:D1"/>
    <mergeCell ref="E1:G1"/>
    <mergeCell ref="H1:I1"/>
    <mergeCell ref="J1:K1"/>
    <mergeCell ref="L1:N1"/>
    <mergeCell ref="AC2:AH2"/>
    <mergeCell ref="AJ2:AO2"/>
    <mergeCell ref="AQ2:AV2"/>
    <mergeCell ref="AC11:AH11"/>
    <mergeCell ref="AJ11:AO11"/>
    <mergeCell ref="AQ11:AV1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50B2-7292-485A-897C-9331646BDD1F}">
  <sheetPr>
    <tabColor rgb="FF92D050"/>
  </sheetPr>
  <dimension ref="A1:U10"/>
  <sheetViews>
    <sheetView zoomScaleNormal="100" workbookViewId="0">
      <selection activeCell="I19" sqref="I19"/>
    </sheetView>
  </sheetViews>
  <sheetFormatPr defaultRowHeight="15" x14ac:dyDescent="0.25"/>
  <cols>
    <col min="1" max="1" width="27.140625" customWidth="1"/>
    <col min="2" max="2" width="6.28515625" customWidth="1"/>
    <col min="3" max="3" width="7" customWidth="1"/>
    <col min="4" max="4" width="7.5703125" customWidth="1"/>
    <col min="5" max="5" width="6.140625" customWidth="1"/>
    <col min="6" max="6" width="8.5703125" customWidth="1"/>
    <col min="7" max="7" width="8.42578125" customWidth="1"/>
    <col min="8" max="8" width="6.85546875" customWidth="1"/>
    <col min="9" max="9" width="7" customWidth="1"/>
  </cols>
  <sheetData>
    <row r="1" spans="1:21" ht="39.75" customHeight="1" x14ac:dyDescent="0.25">
      <c r="A1" s="35"/>
      <c r="B1" s="70" t="str">
        <f>+'Table 4-3'!B1</f>
        <v>Utility weight assumptions from ICER (i)</v>
      </c>
      <c r="C1" s="70"/>
      <c r="D1" s="70"/>
      <c r="E1" s="70" t="str">
        <f>+'Table 4-3'!E1</f>
        <v>CE ratios from ICER ($000/QALY) (ii)</v>
      </c>
      <c r="F1" s="70"/>
      <c r="G1" s="70"/>
      <c r="H1" s="70" t="str">
        <f>+'Table 4-3'!H1</f>
        <v>Expert group utility weight assumptions (iii)</v>
      </c>
      <c r="I1" s="70"/>
      <c r="J1" s="70" t="str">
        <f>+'Table 4-3'!J1</f>
        <v>Expert group imputed CE ratios (iv)</v>
      </c>
      <c r="K1" s="70"/>
      <c r="L1" s="70" t="str">
        <f>+'Table 4-3'!L1</f>
        <v>Influence measures (v)</v>
      </c>
      <c r="M1" s="70"/>
      <c r="N1" s="70"/>
      <c r="O1" s="3"/>
    </row>
    <row r="2" spans="1:21" ht="36" customHeight="1" x14ac:dyDescent="0.25">
      <c r="A2" s="36"/>
      <c r="B2" s="37" t="str">
        <f>+'Table 4-3'!B2</f>
        <v>Base case</v>
      </c>
      <c r="C2" s="37" t="str">
        <f>+'Table 4-3'!C2</f>
        <v>Lower bound</v>
      </c>
      <c r="D2" s="37" t="str">
        <f>+'Table 4-3'!D2</f>
        <v>Upper bound</v>
      </c>
      <c r="E2" s="37" t="str">
        <f>+'Table 4-3'!E2</f>
        <v>Base case</v>
      </c>
      <c r="F2" s="37" t="str">
        <f>+'Table 4-3'!F2</f>
        <v>Lower bound assumption</v>
      </c>
      <c r="G2" s="37" t="str">
        <f>+'Table 4-3'!G2</f>
        <v>Upper bound assumption</v>
      </c>
      <c r="H2" s="37" t="str">
        <f>+'Table 4-3'!H2</f>
        <v>Expert Group 1</v>
      </c>
      <c r="I2" s="37" t="str">
        <f>+'Table 4-3'!I2</f>
        <v>Expert Group 2</v>
      </c>
      <c r="J2" s="37" t="str">
        <f>+'Table 4-3'!J2</f>
        <v>Expert Group 1</v>
      </c>
      <c r="K2" s="37" t="str">
        <f>+'Table 4-3'!K2</f>
        <v>Expert Group 2</v>
      </c>
      <c r="L2" s="37" t="str">
        <f>+'Table 4-3'!L2</f>
        <v>Avg pct deviation</v>
      </c>
      <c r="M2" s="37" t="str">
        <f>+'Table 4-3'!M2</f>
        <v>Cross $100K benchmark</v>
      </c>
      <c r="N2" s="37" t="str">
        <f>+'Table 4-3'!N2</f>
        <v>Cross $150K benchmark</v>
      </c>
    </row>
    <row r="3" spans="1:21" x14ac:dyDescent="0.25">
      <c r="A3" s="67" t="str">
        <f>+'Table 4-3'!A3</f>
        <v>Analysis (a) Belimumab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9"/>
      <c r="U3" s="2"/>
    </row>
    <row r="4" spans="1:21" x14ac:dyDescent="0.25">
      <c r="A4" s="36" t="str">
        <f>+'Table 4-3'!A4</f>
        <v>Utility weight - Complete response</v>
      </c>
      <c r="B4" s="38">
        <f>+'Table 4-3'!B4</f>
        <v>0.8</v>
      </c>
      <c r="C4" s="38">
        <f>+'Table 4-3'!C4</f>
        <v>0.72</v>
      </c>
      <c r="D4" s="38">
        <f>+'Table 4-3'!D4</f>
        <v>0.9</v>
      </c>
      <c r="E4" s="39">
        <f>+ROUND('Table 4-3'!E4/CE_Scale,RoundPlace)</f>
        <v>90</v>
      </c>
      <c r="F4" s="39">
        <f>+ROUND('Table 4-3'!F4/CE_Scale,RoundPlace)</f>
        <v>113</v>
      </c>
      <c r="G4" s="39">
        <f>+ROUND('Table 4-3'!G4/CE_Scale,RoundPlace)</f>
        <v>77</v>
      </c>
      <c r="H4" s="38">
        <f>+'Table 4-3'!H4</f>
        <v>0.8</v>
      </c>
      <c r="I4" s="38">
        <f>+'Table 4-3'!I4</f>
        <v>0.85</v>
      </c>
      <c r="J4" s="39">
        <f>+ROUND('Table 4-3'!J4/CE_Scale,RoundPlace)</f>
        <v>90</v>
      </c>
      <c r="K4" s="39">
        <f>+ROUND('Table 4-3'!K4/CE_Scale,RoundPlace)</f>
        <v>81</v>
      </c>
      <c r="L4" s="40">
        <f>+'Table 4-3'!L4</f>
        <v>4.8533428256670737E-2</v>
      </c>
      <c r="M4" s="41" t="str">
        <f>+'Table 4-3'!M4</f>
        <v>NO</v>
      </c>
      <c r="N4" s="41" t="str">
        <f>+'Table 4-3'!N4</f>
        <v>NO</v>
      </c>
      <c r="U4" s="2"/>
    </row>
    <row r="5" spans="1:21" x14ac:dyDescent="0.25">
      <c r="A5" s="36" t="str">
        <f>+'Table 4-3'!A5</f>
        <v>Utility weight - Partial response</v>
      </c>
      <c r="B5" s="38">
        <f>+'Table 4-3'!B5</f>
        <v>0.71</v>
      </c>
      <c r="C5" s="38">
        <f>+'Table 4-3'!C5</f>
        <v>0.63</v>
      </c>
      <c r="D5" s="38">
        <f>+'Table 4-3'!D5</f>
        <v>0.79</v>
      </c>
      <c r="E5" s="39">
        <f>+ROUND('Table 4-3'!E5/CE_Scale,RoundPlace)</f>
        <v>90</v>
      </c>
      <c r="F5" s="39">
        <f>+ROUND('Table 4-3'!F5/CE_Scale,RoundPlace)</f>
        <v>91</v>
      </c>
      <c r="G5" s="39">
        <f>+ROUND('Table 4-3'!G5/CE_Scale,RoundPlace)</f>
        <v>89</v>
      </c>
      <c r="H5" s="38">
        <f>+'Table 4-3'!H5</f>
        <v>0.71</v>
      </c>
      <c r="I5" s="38">
        <f>+'Table 4-3'!I5</f>
        <v>0.74</v>
      </c>
      <c r="J5" s="39">
        <f>+ROUND('Table 4-3'!J5/CE_Scale,RoundPlace)</f>
        <v>90</v>
      </c>
      <c r="K5" s="39">
        <f>+ROUND('Table 4-3'!K5/CE_Scale,RoundPlace)</f>
        <v>89</v>
      </c>
      <c r="L5" s="40">
        <f>+'Table 4-3'!L5</f>
        <v>2.2648608539754412E-3</v>
      </c>
      <c r="M5" s="41" t="str">
        <f>+'Table 4-3'!M5</f>
        <v>NO</v>
      </c>
      <c r="N5" s="41" t="str">
        <f>+'Table 4-3'!N5</f>
        <v>NO</v>
      </c>
      <c r="U5" s="2"/>
    </row>
    <row r="6" spans="1:21" x14ac:dyDescent="0.25">
      <c r="A6" s="36" t="str">
        <f>+'Table 4-3'!A6</f>
        <v>Utility weight - Active disease</v>
      </c>
      <c r="B6" s="38">
        <f>+'Table 4-3'!B6</f>
        <v>0.624</v>
      </c>
      <c r="C6" s="38">
        <f>+'Table 4-3'!C6</f>
        <v>0.6</v>
      </c>
      <c r="D6" s="38">
        <f>+'Table 4-3'!D6</f>
        <v>0.7</v>
      </c>
      <c r="E6" s="39">
        <f>+ROUND('Table 4-3'!E6/CE_Scale,RoundPlace)</f>
        <v>90</v>
      </c>
      <c r="F6" s="39">
        <f>+ROUND('Table 4-3'!F6/CE_Scale,RoundPlace)</f>
        <v>86</v>
      </c>
      <c r="G6" s="39">
        <f>+ROUND('Table 4-3'!G6/CE_Scale,RoundPlace)</f>
        <v>103</v>
      </c>
      <c r="H6" s="38">
        <f>+'Table 4-3'!H6</f>
        <v>0.624</v>
      </c>
      <c r="I6" s="38">
        <f>+'Table 4-3'!I6</f>
        <v>0.56999999999999995</v>
      </c>
      <c r="J6" s="39">
        <f>+ROUND('Table 4-3'!J6/CE_Scale,RoundPlace)</f>
        <v>90</v>
      </c>
      <c r="K6" s="39">
        <f>+ROUND('Table 4-3'!K6/CE_Scale,RoundPlace)</f>
        <v>82</v>
      </c>
      <c r="L6" s="40">
        <f>+'Table 4-3'!L6</f>
        <v>4.198107739095585E-2</v>
      </c>
      <c r="M6" s="41" t="str">
        <f>+'Table 4-3'!M6</f>
        <v>NO</v>
      </c>
      <c r="N6" s="41" t="str">
        <f>+'Table 4-3'!N6</f>
        <v>NO</v>
      </c>
      <c r="U6" s="2"/>
    </row>
    <row r="7" spans="1:21" x14ac:dyDescent="0.25">
      <c r="A7" s="67" t="str">
        <f>+'Table 4-3'!A11</f>
        <v>Analysis (b) Voclosporin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9"/>
    </row>
    <row r="8" spans="1:21" x14ac:dyDescent="0.25">
      <c r="A8" s="36" t="str">
        <f>+'Table 4-3'!A12</f>
        <v>Utility weight - Complete response</v>
      </c>
      <c r="B8" s="38">
        <f>+'Table 4-3'!B12</f>
        <v>0.8</v>
      </c>
      <c r="C8" s="38">
        <f>+'Table 4-3'!C12</f>
        <v>0.72</v>
      </c>
      <c r="D8" s="38">
        <f>+'Table 4-3'!D12</f>
        <v>0.9</v>
      </c>
      <c r="E8" s="39">
        <f>+ROUND('Table 4-3'!E12/CE_Scale,RoundPlace)</f>
        <v>149</v>
      </c>
      <c r="F8" s="39">
        <f>+ROUND('Table 4-3'!F12/CE_Scale,RoundPlace)</f>
        <v>143</v>
      </c>
      <c r="G8" s="39">
        <f>+ROUND('Table 4-3'!G12/CE_Scale,RoundPlace)</f>
        <v>162</v>
      </c>
      <c r="H8" s="38">
        <f>+'Table 4-3'!H12</f>
        <v>0.8</v>
      </c>
      <c r="I8" s="38">
        <f>+'Table 4-3'!I12</f>
        <v>0.85</v>
      </c>
      <c r="J8" s="39">
        <f>+ROUND('Table 4-3'!J12/CE_Scale,RoundPlace)</f>
        <v>149</v>
      </c>
      <c r="K8" s="39">
        <f>+ROUND('Table 4-3'!K12/CE_Scale,RoundPlace)</f>
        <v>155</v>
      </c>
      <c r="L8" s="40">
        <f>+'Table 4-3'!L12</f>
        <v>1.9040693346434913E-2</v>
      </c>
      <c r="M8" s="41" t="str">
        <f>+'Table 4-3'!M12</f>
        <v>NO</v>
      </c>
      <c r="N8" s="41" t="str">
        <f>+'Table 4-3'!N12</f>
        <v>YES</v>
      </c>
    </row>
    <row r="9" spans="1:21" x14ac:dyDescent="0.25">
      <c r="A9" s="36" t="str">
        <f>+'Table 4-3'!A13</f>
        <v>Utility weight - Partial response</v>
      </c>
      <c r="B9" s="38">
        <f>+'Table 4-3'!B13</f>
        <v>0.71</v>
      </c>
      <c r="C9" s="38">
        <f>+'Table 4-3'!C13</f>
        <v>0.63</v>
      </c>
      <c r="D9" s="38">
        <f>+'Table 4-3'!D13</f>
        <v>0.79</v>
      </c>
      <c r="E9" s="39">
        <f>+ROUND('Table 4-3'!E13/CE_Scale,RoundPlace)</f>
        <v>149</v>
      </c>
      <c r="F9" s="39">
        <f>+ROUND('Table 4-3'!F13/CE_Scale,RoundPlace)</f>
        <v>146</v>
      </c>
      <c r="G9" s="39">
        <f>+ROUND('Table 4-3'!G13/CE_Scale,RoundPlace)</f>
        <v>152</v>
      </c>
      <c r="H9" s="38">
        <f>+'Table 4-3'!H13</f>
        <v>0.71</v>
      </c>
      <c r="I9" s="38">
        <f>+'Table 4-3'!I13</f>
        <v>0.74</v>
      </c>
      <c r="J9" s="39">
        <f>+ROUND('Table 4-3'!J13/CE_Scale,RoundPlace)</f>
        <v>149</v>
      </c>
      <c r="K9" s="39">
        <f>+ROUND('Table 4-3'!K13/CE_Scale,RoundPlace)</f>
        <v>150</v>
      </c>
      <c r="L9" s="40">
        <f>+'Table 4-3'!L13</f>
        <v>3.623893499598017E-3</v>
      </c>
      <c r="M9" s="41" t="str">
        <f>+'Table 4-3'!M13</f>
        <v>NO</v>
      </c>
      <c r="N9" s="41" t="str">
        <f>+'Table 4-3'!N13</f>
        <v>YES</v>
      </c>
    </row>
    <row r="10" spans="1:21" x14ac:dyDescent="0.25">
      <c r="A10" s="36" t="str">
        <f>+'Table 4-3'!A14</f>
        <v>Utility weight - Active disease</v>
      </c>
      <c r="B10" s="38">
        <f>+'Table 4-3'!B14</f>
        <v>0.624</v>
      </c>
      <c r="C10" s="38">
        <f>+'Table 4-3'!C14</f>
        <v>0.6</v>
      </c>
      <c r="D10" s="38">
        <f>+'Table 4-3'!D14</f>
        <v>0.7</v>
      </c>
      <c r="E10" s="39">
        <f>+ROUND('Table 4-3'!E14/CE_Scale,RoundPlace)</f>
        <v>149</v>
      </c>
      <c r="F10" s="39">
        <f>+ROUND('Table 4-3'!F14/CE_Scale,RoundPlace)</f>
        <v>190</v>
      </c>
      <c r="G10" s="39">
        <f>+ROUND('Table 4-3'!G14/CE_Scale,RoundPlace)</f>
        <v>127</v>
      </c>
      <c r="H10" s="38">
        <f>+'Table 4-3'!H14</f>
        <v>0.624</v>
      </c>
      <c r="I10" s="38">
        <f>+'Table 4-3'!I14</f>
        <v>0.56999999999999995</v>
      </c>
      <c r="J10" s="39">
        <f>+ROUND('Table 4-3'!J14/CE_Scale,RoundPlace)</f>
        <v>165</v>
      </c>
      <c r="K10" s="39">
        <f>+ROUND('Table 4-3'!K14/CE_Scale,RoundPlace)</f>
        <v>194</v>
      </c>
      <c r="L10" s="40">
        <f>+'Table 4-3'!L14</f>
        <v>0.1366896446906011</v>
      </c>
      <c r="M10" s="41" t="str">
        <f>+'Table 4-3'!M14</f>
        <v>NO</v>
      </c>
      <c r="N10" s="41" t="str">
        <f>+'Table 4-3'!N14</f>
        <v>YES</v>
      </c>
    </row>
  </sheetData>
  <mergeCells count="7">
    <mergeCell ref="A3:N3"/>
    <mergeCell ref="A7:N7"/>
    <mergeCell ref="B1:D1"/>
    <mergeCell ref="E1:G1"/>
    <mergeCell ref="H1:I1"/>
    <mergeCell ref="J1:K1"/>
    <mergeCell ref="L1:N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D844-476E-4CFD-AEFD-625B417692D0}">
  <sheetPr>
    <tabColor rgb="FFFFC000"/>
  </sheetPr>
  <dimension ref="A2:I45"/>
  <sheetViews>
    <sheetView workbookViewId="0">
      <selection activeCell="G28" sqref="G28"/>
    </sheetView>
  </sheetViews>
  <sheetFormatPr defaultColWidth="9.140625" defaultRowHeight="12.75" x14ac:dyDescent="0.2"/>
  <cols>
    <col min="1" max="1" width="55" style="18" customWidth="1"/>
    <col min="2" max="4" width="9.140625" style="18"/>
    <col min="5" max="5" width="9.7109375" style="18" bestFit="1" customWidth="1"/>
    <col min="6" max="7" width="9.85546875" style="18" bestFit="1" customWidth="1"/>
    <col min="8" max="9" width="9.85546875" style="18" customWidth="1"/>
    <col min="10" max="16384" width="9.140625" style="18"/>
  </cols>
  <sheetData>
    <row r="2" spans="1:9" x14ac:dyDescent="0.2">
      <c r="B2" s="62" t="s">
        <v>47</v>
      </c>
      <c r="C2" s="62"/>
      <c r="D2" s="62"/>
      <c r="E2" s="62" t="s">
        <v>48</v>
      </c>
      <c r="F2" s="62"/>
      <c r="G2" s="62"/>
      <c r="H2" s="62" t="s">
        <v>68</v>
      </c>
      <c r="I2" s="62"/>
    </row>
    <row r="3" spans="1:9" ht="25.5" x14ac:dyDescent="0.2">
      <c r="A3" s="19" t="s">
        <v>53</v>
      </c>
      <c r="B3" s="51" t="s">
        <v>52</v>
      </c>
      <c r="C3" s="51" t="s">
        <v>56</v>
      </c>
      <c r="D3" s="51" t="s">
        <v>57</v>
      </c>
      <c r="E3" s="51" t="s">
        <v>59</v>
      </c>
      <c r="F3" s="51" t="s">
        <v>60</v>
      </c>
      <c r="G3" s="51" t="s">
        <v>61</v>
      </c>
      <c r="H3" s="51" t="s">
        <v>69</v>
      </c>
      <c r="I3" s="51" t="s">
        <v>70</v>
      </c>
    </row>
    <row r="4" spans="1:9" x14ac:dyDescent="0.2">
      <c r="A4" s="18" t="s">
        <v>77</v>
      </c>
      <c r="B4" s="49">
        <v>655.91666666666663</v>
      </c>
      <c r="C4" s="49">
        <v>500</v>
      </c>
      <c r="D4" s="49">
        <v>1000</v>
      </c>
      <c r="E4" s="49">
        <v>89663</v>
      </c>
      <c r="F4" s="49">
        <v>83759</v>
      </c>
      <c r="G4" s="49">
        <v>102691</v>
      </c>
      <c r="H4" s="55">
        <v>655.91666666666663</v>
      </c>
      <c r="I4" s="55">
        <v>1575.8333333333333</v>
      </c>
    </row>
    <row r="5" spans="1:9" x14ac:dyDescent="0.2">
      <c r="A5" s="18" t="s">
        <v>78</v>
      </c>
      <c r="B5" s="49">
        <f>42510/12</f>
        <v>3542.5</v>
      </c>
      <c r="C5" s="57">
        <v>3000</v>
      </c>
      <c r="D5" s="57">
        <v>7000</v>
      </c>
      <c r="E5" s="49">
        <v>89663</v>
      </c>
      <c r="F5" s="57">
        <v>104283</v>
      </c>
      <c r="G5" s="57">
        <v>-3515</v>
      </c>
      <c r="H5" s="55">
        <v>3542.5</v>
      </c>
      <c r="I5" s="55">
        <v>4916.666666666667</v>
      </c>
    </row>
    <row r="6" spans="1:9" x14ac:dyDescent="0.2">
      <c r="A6" s="18" t="s">
        <v>79</v>
      </c>
      <c r="B6" s="49">
        <f>120920/12</f>
        <v>10076.666666666666</v>
      </c>
      <c r="C6" s="57">
        <v>6000</v>
      </c>
      <c r="D6" s="57">
        <v>12000</v>
      </c>
      <c r="E6" s="49">
        <v>89663</v>
      </c>
      <c r="F6" s="57">
        <v>103025</v>
      </c>
      <c r="G6" s="57">
        <v>83359</v>
      </c>
      <c r="H6" s="55">
        <v>10076.666666666666</v>
      </c>
      <c r="I6" s="55">
        <v>10416.666666666666</v>
      </c>
    </row>
    <row r="7" spans="1:9" x14ac:dyDescent="0.2">
      <c r="B7" s="50"/>
      <c r="C7" s="50"/>
      <c r="D7" s="50"/>
      <c r="E7" s="52"/>
      <c r="F7" s="52"/>
      <c r="G7" s="52"/>
      <c r="H7" s="52"/>
      <c r="I7" s="52"/>
    </row>
    <row r="8" spans="1:9" x14ac:dyDescent="0.2">
      <c r="B8" s="52"/>
      <c r="C8" s="57"/>
      <c r="D8" s="57"/>
      <c r="E8" s="52"/>
      <c r="F8" s="49"/>
      <c r="G8" s="49"/>
      <c r="H8" s="52"/>
      <c r="I8" s="52"/>
    </row>
    <row r="9" spans="1:9" x14ac:dyDescent="0.2">
      <c r="B9" s="52"/>
      <c r="C9" s="57"/>
      <c r="D9" s="57"/>
      <c r="E9" s="52"/>
      <c r="F9" s="49"/>
      <c r="G9" s="49"/>
      <c r="H9" s="52"/>
      <c r="I9" s="52"/>
    </row>
    <row r="10" spans="1:9" x14ac:dyDescent="0.2">
      <c r="B10" s="52"/>
      <c r="C10" s="52"/>
      <c r="D10" s="52"/>
      <c r="E10" s="52"/>
      <c r="F10" s="52"/>
      <c r="G10" s="52"/>
      <c r="H10" s="52"/>
      <c r="I10" s="52"/>
    </row>
    <row r="11" spans="1:9" x14ac:dyDescent="0.2">
      <c r="B11" s="52"/>
      <c r="C11" s="52"/>
      <c r="D11" s="52"/>
      <c r="E11" s="52"/>
      <c r="F11" s="52"/>
      <c r="G11" s="52"/>
      <c r="H11" s="52"/>
      <c r="I11" s="52"/>
    </row>
    <row r="12" spans="1:9" x14ac:dyDescent="0.2">
      <c r="B12" s="52"/>
      <c r="C12" s="52"/>
      <c r="D12" s="52"/>
      <c r="E12" s="52"/>
      <c r="F12" s="52"/>
      <c r="G12" s="52"/>
      <c r="H12" s="52"/>
      <c r="I12" s="52"/>
    </row>
    <row r="13" spans="1:9" x14ac:dyDescent="0.2">
      <c r="B13" s="52"/>
      <c r="C13" s="52"/>
      <c r="D13" s="52"/>
      <c r="E13" s="52"/>
      <c r="F13" s="52"/>
      <c r="G13" s="52"/>
      <c r="H13" s="52"/>
      <c r="I13" s="52"/>
    </row>
    <row r="14" spans="1:9" x14ac:dyDescent="0.2">
      <c r="B14" s="52"/>
      <c r="C14" s="52"/>
      <c r="D14" s="52"/>
      <c r="E14" s="52"/>
      <c r="F14" s="52"/>
      <c r="G14" s="52"/>
      <c r="H14" s="52"/>
      <c r="I14" s="52"/>
    </row>
    <row r="15" spans="1:9" x14ac:dyDescent="0.2">
      <c r="B15" s="52"/>
      <c r="C15" s="52"/>
      <c r="D15" s="52"/>
      <c r="E15" s="52"/>
      <c r="F15" s="52"/>
      <c r="G15" s="52"/>
      <c r="H15" s="52"/>
      <c r="I15" s="52"/>
    </row>
    <row r="16" spans="1:9" x14ac:dyDescent="0.2">
      <c r="B16" s="63" t="s">
        <v>47</v>
      </c>
      <c r="C16" s="63"/>
      <c r="D16" s="63"/>
      <c r="E16" s="63" t="s">
        <v>48</v>
      </c>
      <c r="F16" s="63"/>
      <c r="G16" s="63"/>
      <c r="H16" s="63" t="s">
        <v>68</v>
      </c>
      <c r="I16" s="63"/>
    </row>
    <row r="17" spans="1:9" ht="25.5" x14ac:dyDescent="0.2">
      <c r="A17" s="19" t="s">
        <v>54</v>
      </c>
      <c r="B17" s="51" t="s">
        <v>52</v>
      </c>
      <c r="C17" s="51" t="s">
        <v>56</v>
      </c>
      <c r="D17" s="51" t="s">
        <v>57</v>
      </c>
      <c r="E17" s="51" t="s">
        <v>59</v>
      </c>
      <c r="F17" s="51" t="s">
        <v>60</v>
      </c>
      <c r="G17" s="51" t="s">
        <v>61</v>
      </c>
      <c r="H17" s="51" t="s">
        <v>69</v>
      </c>
      <c r="I17" s="51" t="s">
        <v>70</v>
      </c>
    </row>
    <row r="18" spans="1:9" x14ac:dyDescent="0.2">
      <c r="A18" s="18" t="str">
        <f t="shared" ref="A18:D20" si="0">+A4</f>
        <v>Cost per month - Complete response</v>
      </c>
      <c r="B18" s="49">
        <f t="shared" si="0"/>
        <v>655.91666666666663</v>
      </c>
      <c r="C18" s="49">
        <f t="shared" si="0"/>
        <v>500</v>
      </c>
      <c r="D18" s="49">
        <f t="shared" si="0"/>
        <v>1000</v>
      </c>
      <c r="E18" s="49">
        <v>149260</v>
      </c>
      <c r="F18" s="49">
        <v>144203</v>
      </c>
      <c r="G18" s="49">
        <v>167907</v>
      </c>
      <c r="H18" s="55">
        <v>655.91666666666663</v>
      </c>
      <c r="I18" s="55">
        <v>1575.8333333333333</v>
      </c>
    </row>
    <row r="19" spans="1:9" x14ac:dyDescent="0.2">
      <c r="A19" s="18" t="str">
        <f t="shared" si="0"/>
        <v>Cost per month - Active disease</v>
      </c>
      <c r="B19" s="49">
        <f t="shared" si="0"/>
        <v>3542.5</v>
      </c>
      <c r="C19" s="57">
        <f t="shared" si="0"/>
        <v>3000</v>
      </c>
      <c r="D19" s="57">
        <f>+D5</f>
        <v>7000</v>
      </c>
      <c r="E19" s="49">
        <v>149260</v>
      </c>
      <c r="F19" s="57">
        <v>161649</v>
      </c>
      <c r="G19" s="57">
        <v>70306</v>
      </c>
      <c r="H19" s="55">
        <v>3542.5</v>
      </c>
      <c r="I19" s="55">
        <v>4916.666666666667</v>
      </c>
    </row>
    <row r="20" spans="1:9" x14ac:dyDescent="0.2">
      <c r="A20" s="18" t="str">
        <f t="shared" si="0"/>
        <v>Cost per month - End stage renal disease</v>
      </c>
      <c r="B20" s="49">
        <f t="shared" si="0"/>
        <v>10076.666666666666</v>
      </c>
      <c r="C20" s="57">
        <f t="shared" si="0"/>
        <v>6000</v>
      </c>
      <c r="D20" s="57">
        <f>+D6</f>
        <v>12000</v>
      </c>
      <c r="E20" s="49">
        <v>149260</v>
      </c>
      <c r="F20" s="57">
        <v>155550</v>
      </c>
      <c r="G20" s="57">
        <v>146293</v>
      </c>
      <c r="H20" s="55">
        <v>10076.666666666666</v>
      </c>
      <c r="I20" s="55">
        <v>10416.666666666666</v>
      </c>
    </row>
    <row r="21" spans="1:9" x14ac:dyDescent="0.2">
      <c r="B21" s="52"/>
      <c r="C21" s="52"/>
      <c r="D21" s="52"/>
      <c r="E21" s="52"/>
      <c r="F21" s="52"/>
      <c r="G21" s="52"/>
      <c r="H21" s="52"/>
      <c r="I21" s="52"/>
    </row>
    <row r="24" spans="1:9" x14ac:dyDescent="0.2">
      <c r="F24" s="49"/>
      <c r="G24" s="49"/>
    </row>
    <row r="25" spans="1:9" x14ac:dyDescent="0.2">
      <c r="F25" s="49"/>
      <c r="G25" s="49"/>
    </row>
    <row r="37" spans="1:3" x14ac:dyDescent="0.2">
      <c r="A37" s="19" t="s">
        <v>62</v>
      </c>
      <c r="B37" s="28" t="s">
        <v>55</v>
      </c>
      <c r="C37" s="18" t="s">
        <v>85</v>
      </c>
    </row>
    <row r="38" spans="1:3" x14ac:dyDescent="0.2">
      <c r="B38" s="28" t="s">
        <v>58</v>
      </c>
      <c r="C38" s="18" t="s">
        <v>67</v>
      </c>
    </row>
    <row r="39" spans="1:3" x14ac:dyDescent="0.2">
      <c r="B39" s="28" t="s">
        <v>63</v>
      </c>
      <c r="C39" s="18" t="s">
        <v>64</v>
      </c>
    </row>
    <row r="40" spans="1:3" x14ac:dyDescent="0.2">
      <c r="B40" s="28" t="s">
        <v>65</v>
      </c>
      <c r="C40" s="18" t="s">
        <v>80</v>
      </c>
    </row>
    <row r="41" spans="1:3" x14ac:dyDescent="0.2">
      <c r="B41" s="28"/>
    </row>
    <row r="42" spans="1:3" x14ac:dyDescent="0.2">
      <c r="A42" s="19" t="s">
        <v>72</v>
      </c>
      <c r="B42" s="28" t="s">
        <v>55</v>
      </c>
      <c r="C42" s="18" t="s">
        <v>73</v>
      </c>
    </row>
    <row r="43" spans="1:3" x14ac:dyDescent="0.2">
      <c r="B43" s="28" t="s">
        <v>58</v>
      </c>
      <c r="C43" s="18" t="s">
        <v>74</v>
      </c>
    </row>
    <row r="44" spans="1:3" x14ac:dyDescent="0.2">
      <c r="B44" s="28" t="s">
        <v>63</v>
      </c>
      <c r="C44" s="18" t="s">
        <v>75</v>
      </c>
    </row>
    <row r="45" spans="1:3" x14ac:dyDescent="0.2">
      <c r="B45" s="28" t="s">
        <v>65</v>
      </c>
      <c r="C45" s="18" t="s">
        <v>81</v>
      </c>
    </row>
  </sheetData>
  <mergeCells count="6">
    <mergeCell ref="B2:D2"/>
    <mergeCell ref="E2:G2"/>
    <mergeCell ref="H2:I2"/>
    <mergeCell ref="B16:D16"/>
    <mergeCell ref="E16:G16"/>
    <mergeCell ref="H16:I16"/>
  </mergeCells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A340-4173-4186-9CFD-CA078C6D485B}">
  <sheetPr>
    <tabColor rgb="FFFFFF00"/>
  </sheetPr>
  <dimension ref="A1:BH58"/>
  <sheetViews>
    <sheetView workbookViewId="0">
      <selection activeCell="J15" sqref="J15"/>
    </sheetView>
  </sheetViews>
  <sheetFormatPr defaultRowHeight="15" x14ac:dyDescent="0.25"/>
  <cols>
    <col min="1" max="1" width="30.7109375" customWidth="1"/>
    <col min="2" max="2" width="6.5703125" customWidth="1"/>
    <col min="3" max="3" width="6.140625" bestFit="1" customWidth="1"/>
    <col min="4" max="4" width="7.42578125" bestFit="1" customWidth="1"/>
    <col min="5" max="5" width="9.28515625" bestFit="1" customWidth="1"/>
    <col min="6" max="6" width="8.85546875" customWidth="1"/>
    <col min="7" max="7" width="8.5703125" customWidth="1"/>
    <col min="8" max="8" width="8.140625" customWidth="1"/>
    <col min="9" max="9" width="8.28515625" customWidth="1"/>
    <col min="10" max="10" width="8.85546875" customWidth="1"/>
    <col min="11" max="11" width="9.42578125" customWidth="1"/>
    <col min="12" max="14" width="8.140625" customWidth="1"/>
    <col min="15" max="15" width="3.140625" customWidth="1"/>
    <col min="16" max="18" width="8.7109375" customWidth="1"/>
    <col min="19" max="23" width="10.7109375" customWidth="1"/>
    <col min="24" max="24" width="11.42578125" customWidth="1"/>
    <col min="25" max="25" width="9.7109375" customWidth="1"/>
    <col min="26" max="26" width="4" customWidth="1"/>
    <col min="27" max="27" width="50.28515625" hidden="1" customWidth="1"/>
    <col min="28" max="28" width="3.42578125" hidden="1" customWidth="1"/>
    <col min="30" max="30" width="10" bestFit="1" customWidth="1"/>
    <col min="31" max="32" width="10" customWidth="1"/>
    <col min="35" max="35" width="2.7109375" customWidth="1"/>
    <col min="36" max="36" width="3.85546875" customWidth="1"/>
    <col min="38" max="38" width="10" bestFit="1" customWidth="1"/>
    <col min="39" max="40" width="10" customWidth="1"/>
    <col min="43" max="43" width="3" customWidth="1"/>
    <col min="45" max="45" width="10" bestFit="1" customWidth="1"/>
    <col min="46" max="47" width="10" customWidth="1"/>
    <col min="50" max="50" width="3.140625" customWidth="1"/>
    <col min="51" max="51" width="8.7109375" customWidth="1"/>
    <col min="52" max="52" width="10" bestFit="1" customWidth="1"/>
    <col min="57" max="57" width="3.42578125" customWidth="1"/>
    <col min="58" max="58" width="9.140625" customWidth="1"/>
    <col min="59" max="59" width="10" bestFit="1" customWidth="1"/>
    <col min="60" max="60" width="9.5703125" customWidth="1"/>
    <col min="64" max="64" width="4" customWidth="1"/>
    <col min="71" max="71" width="3.42578125" customWidth="1"/>
  </cols>
  <sheetData>
    <row r="1" spans="1:60" ht="39.75" customHeight="1" x14ac:dyDescent="0.25">
      <c r="A1" s="3"/>
      <c r="B1" s="66" t="s">
        <v>82</v>
      </c>
      <c r="C1" s="66"/>
      <c r="D1" s="66"/>
      <c r="E1" s="66" t="s">
        <v>44</v>
      </c>
      <c r="F1" s="66"/>
      <c r="G1" s="66"/>
      <c r="H1" s="66" t="s">
        <v>83</v>
      </c>
      <c r="I1" s="66"/>
      <c r="J1" s="66" t="s">
        <v>30</v>
      </c>
      <c r="K1" s="66"/>
      <c r="L1" s="66" t="s">
        <v>31</v>
      </c>
      <c r="M1" s="66"/>
      <c r="N1" s="66"/>
      <c r="O1" s="3"/>
      <c r="X1" s="6" t="s">
        <v>6</v>
      </c>
      <c r="Y1" s="6" t="s">
        <v>7</v>
      </c>
    </row>
    <row r="2" spans="1:60" ht="36" customHeight="1" x14ac:dyDescent="0.25">
      <c r="A2" s="7"/>
      <c r="B2" s="8" t="s">
        <v>0</v>
      </c>
      <c r="C2" s="8" t="s">
        <v>1</v>
      </c>
      <c r="D2" s="8" t="s">
        <v>2</v>
      </c>
      <c r="E2" s="8" t="s">
        <v>0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28</v>
      </c>
      <c r="K2" s="8" t="s">
        <v>29</v>
      </c>
      <c r="L2" s="8" t="s">
        <v>8</v>
      </c>
      <c r="M2" s="8" t="s">
        <v>9</v>
      </c>
      <c r="N2" s="8" t="s">
        <v>10</v>
      </c>
      <c r="P2" s="25" t="s">
        <v>3</v>
      </c>
      <c r="Q2" s="25" t="s">
        <v>4</v>
      </c>
      <c r="R2" s="25" t="s">
        <v>5</v>
      </c>
      <c r="S2" s="9" t="s">
        <v>8</v>
      </c>
      <c r="T2" s="9" t="s">
        <v>11</v>
      </c>
      <c r="U2" s="9" t="s">
        <v>12</v>
      </c>
      <c r="V2" s="9" t="s">
        <v>13</v>
      </c>
      <c r="W2" s="9" t="s">
        <v>14</v>
      </c>
      <c r="X2" s="9" t="s">
        <v>15</v>
      </c>
      <c r="Y2" s="9" t="s">
        <v>16</v>
      </c>
      <c r="AC2" s="64" t="str">
        <f>+A4</f>
        <v>Cost per month - Complete response</v>
      </c>
      <c r="AD2" s="64"/>
      <c r="AE2" s="64"/>
      <c r="AF2" s="64"/>
      <c r="AG2" s="64"/>
      <c r="AH2" s="64"/>
      <c r="AK2" s="64" t="str">
        <f>+A5</f>
        <v>Cost per month - Active disease</v>
      </c>
      <c r="AL2" s="64"/>
      <c r="AM2" s="64"/>
      <c r="AN2" s="64"/>
      <c r="AO2" s="64"/>
      <c r="AP2" s="64"/>
      <c r="AR2" s="64" t="str">
        <f>+A6</f>
        <v>Cost per month - End stage renal disease</v>
      </c>
      <c r="AS2" s="64"/>
      <c r="AT2" s="64"/>
      <c r="AU2" s="64"/>
      <c r="AV2" s="64"/>
      <c r="AW2" s="64"/>
    </row>
    <row r="3" spans="1:60" x14ac:dyDescent="0.25">
      <c r="A3" s="10" t="s">
        <v>45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P3" s="22"/>
      <c r="Q3" s="22"/>
      <c r="R3" s="22"/>
      <c r="BH3" s="2"/>
    </row>
    <row r="4" spans="1:60" x14ac:dyDescent="0.25">
      <c r="A4" s="7" t="str">
        <f>+'Table 4-4 - inputs'!A4</f>
        <v>Cost per month - Complete response</v>
      </c>
      <c r="B4" s="29">
        <f>+'Table 4-4 - inputs'!B4</f>
        <v>655.91666666666663</v>
      </c>
      <c r="C4" s="29">
        <f>+'Table 4-4 - inputs'!C4</f>
        <v>500</v>
      </c>
      <c r="D4" s="29">
        <f>+'Table 4-4 - inputs'!D4</f>
        <v>1000</v>
      </c>
      <c r="E4" s="12">
        <f>+'Table 4-4 - inputs'!E4</f>
        <v>89663</v>
      </c>
      <c r="F4" s="12">
        <f>+'Table 4-4 - inputs'!F4</f>
        <v>83759</v>
      </c>
      <c r="G4" s="12">
        <f>+'Table 4-4 - inputs'!G4</f>
        <v>102691</v>
      </c>
      <c r="H4" s="11">
        <f>+'Table 4-4 - inputs'!H4</f>
        <v>655.91666666666663</v>
      </c>
      <c r="I4" s="11">
        <f>+'Table 4-4 - inputs'!I4</f>
        <v>1575.8333333333333</v>
      </c>
      <c r="J4" s="12">
        <f>+AH5</f>
        <v>89663</v>
      </c>
      <c r="K4" s="12">
        <f>+AH6</f>
        <v>124490.06538488541</v>
      </c>
      <c r="L4" s="13">
        <f>+S4</f>
        <v>0.19421090854023071</v>
      </c>
      <c r="M4" s="15" t="str">
        <f t="shared" ref="M4:N4" si="0">+IF(X4,"YES","NO")</f>
        <v>YES</v>
      </c>
      <c r="N4" s="15" t="str">
        <f t="shared" si="0"/>
        <v>NO</v>
      </c>
      <c r="O4" s="7"/>
      <c r="P4" s="45">
        <f>+MIN(E4,J4,K4)</f>
        <v>89663</v>
      </c>
      <c r="Q4" s="45">
        <f>+MEDIAN(E4,J4,K4)</f>
        <v>89663</v>
      </c>
      <c r="R4" s="45">
        <f>+MAX(E4,J4,K4)</f>
        <v>124490.06538488541</v>
      </c>
      <c r="S4" s="46">
        <f>+AVERAGE((Q4-P4)/Q4,(R4-Q4)/Q4)</f>
        <v>0.19421090854023071</v>
      </c>
      <c r="T4" s="7" t="b">
        <f>+AND(E4&lt;=Benchmark1,J4&lt;=Benchmark1,K4&lt;=Benchmark1)</f>
        <v>0</v>
      </c>
      <c r="U4" s="46" t="b">
        <f>+AND(E4&gt;Benchmark1,J4&gt;Benchmark1,K4&gt;Benchmark1)</f>
        <v>0</v>
      </c>
      <c r="V4" s="7" t="b">
        <f>+AND(E4&lt;=Benchmark2,J4&lt;=Benchmark2,K4&lt;=Benchmark2)</f>
        <v>1</v>
      </c>
      <c r="W4" s="46" t="b">
        <f>+AND(E4&gt;Benchmark2,J4&gt;Benchmark2,K4&gt;Benchmark2)</f>
        <v>0</v>
      </c>
      <c r="X4" s="12" t="b">
        <f>+AND(NOT(T4),NOT(U4))</f>
        <v>1</v>
      </c>
      <c r="Y4" s="12" t="b">
        <f>+AND(NOT(V4),NOT(W4))</f>
        <v>0</v>
      </c>
      <c r="AA4" s="12" t="s">
        <v>32</v>
      </c>
      <c r="AC4" s="20">
        <f>+B4</f>
        <v>655.91666666666663</v>
      </c>
      <c r="AD4" s="21">
        <f>+E4</f>
        <v>89663</v>
      </c>
      <c r="AE4" s="21"/>
      <c r="AF4" s="21" t="s">
        <v>23</v>
      </c>
      <c r="AG4" s="24">
        <f>-AD7/(2*AC7)</f>
        <v>2735947.7967224629</v>
      </c>
      <c r="AH4" s="24"/>
      <c r="AK4" s="20">
        <f>+B5</f>
        <v>3542.5</v>
      </c>
      <c r="AL4" s="21">
        <f>+E5</f>
        <v>89663</v>
      </c>
      <c r="AM4" s="21"/>
      <c r="AN4" s="21" t="s">
        <v>23</v>
      </c>
      <c r="AO4" s="24">
        <f>-AL7/(2*AK7)</f>
        <v>-243604680.6102488</v>
      </c>
      <c r="AP4" s="24"/>
      <c r="AR4" s="20">
        <f>+B6</f>
        <v>10076.666666666666</v>
      </c>
      <c r="AS4" s="21">
        <f>+E6</f>
        <v>89663</v>
      </c>
      <c r="AT4" s="21"/>
      <c r="AU4" s="21" t="s">
        <v>23</v>
      </c>
      <c r="AV4" s="24">
        <f>-AS7/(2*AR7)</f>
        <v>282076599.30447477</v>
      </c>
      <c r="AW4" s="24"/>
      <c r="BH4" s="2"/>
    </row>
    <row r="5" spans="1:60" x14ac:dyDescent="0.25">
      <c r="A5" s="7" t="str">
        <f>+'Table 4-4 - inputs'!A5</f>
        <v>Cost per month - Active disease</v>
      </c>
      <c r="B5" s="29">
        <f>+'Table 4-4 - inputs'!B5</f>
        <v>3542.5</v>
      </c>
      <c r="C5" s="43">
        <f>+'Table 4-4 - inputs'!C5</f>
        <v>3000</v>
      </c>
      <c r="D5" s="29">
        <f>+'Table 4-4 - inputs'!D5</f>
        <v>7000</v>
      </c>
      <c r="E5" s="12">
        <f>+'Table 4-4 - inputs'!E5</f>
        <v>89663</v>
      </c>
      <c r="F5" s="12">
        <f>+'Table 4-4 - inputs'!F5</f>
        <v>104283</v>
      </c>
      <c r="G5" s="12">
        <f>+'Table 4-4 - inputs'!G5</f>
        <v>-3515</v>
      </c>
      <c r="H5" s="11">
        <f>+'Table 4-4 - inputs'!H5</f>
        <v>3542.5</v>
      </c>
      <c r="I5" s="11">
        <f>+'Table 4-4 - inputs'!I5</f>
        <v>4916.666666666667</v>
      </c>
      <c r="J5" s="12">
        <f>+AP5</f>
        <v>89663</v>
      </c>
      <c r="K5" s="12">
        <f>+AP6</f>
        <v>52630.012534019799</v>
      </c>
      <c r="L5" s="13">
        <f t="shared" ref="L5:L6" si="1">+S5</f>
        <v>0.20651209231221462</v>
      </c>
      <c r="M5" s="15" t="str">
        <f>+IF(X5,"YES","NO")</f>
        <v>NO</v>
      </c>
      <c r="N5" s="15" t="str">
        <f>+IF(Y5,"YES","NO")</f>
        <v>NO</v>
      </c>
      <c r="O5" s="7"/>
      <c r="P5" s="45">
        <f>+MIN(E5,J5,K5)</f>
        <v>52630.012534019799</v>
      </c>
      <c r="Q5" s="45">
        <f>+MEDIAN(E5,J5,K5)</f>
        <v>89663</v>
      </c>
      <c r="R5" s="45">
        <f>+MAX(E5,J5,K5)</f>
        <v>89663</v>
      </c>
      <c r="S5" s="46">
        <f t="shared" ref="S5:S6" si="2">+AVERAGE((Q5-P5)/Q5,(R5-Q5)/Q5)</f>
        <v>0.20651209231221462</v>
      </c>
      <c r="T5" s="7" t="b">
        <f>+AND(E5&lt;=Benchmark1,J5&lt;=Benchmark1,K5&lt;=Benchmark1)</f>
        <v>1</v>
      </c>
      <c r="U5" s="46" t="b">
        <f>+AND(E5&gt;Benchmark1,J5&gt;Benchmark1,K5&gt;Benchmark1)</f>
        <v>0</v>
      </c>
      <c r="V5" s="7" t="b">
        <f>+AND(E5&lt;=Benchmark2,J5&lt;=Benchmark2,K5&lt;=Benchmark2)</f>
        <v>1</v>
      </c>
      <c r="W5" s="46" t="b">
        <f>+AND(E5&gt;Benchmark2,J5&gt;Benchmark2,K5&gt;Benchmark2)</f>
        <v>0</v>
      </c>
      <c r="X5" s="12" t="b">
        <f>+AND(NOT(T5),NOT(U5))</f>
        <v>0</v>
      </c>
      <c r="Y5" s="12" t="b">
        <f>+AND(NOT(V5),NOT(W5))</f>
        <v>0</v>
      </c>
      <c r="AA5" s="12" t="s">
        <v>33</v>
      </c>
      <c r="AC5" s="20">
        <f>+C4</f>
        <v>500</v>
      </c>
      <c r="AD5" s="21">
        <f>+F4</f>
        <v>83759</v>
      </c>
      <c r="AE5" s="21"/>
      <c r="AF5" s="21" t="s">
        <v>24</v>
      </c>
      <c r="AG5" s="24">
        <f>+H4</f>
        <v>655.91666666666663</v>
      </c>
      <c r="AH5" s="21">
        <f>+AC9*AG5^2+AD9*AG5+AE9</f>
        <v>89663</v>
      </c>
      <c r="AK5" s="20">
        <f>+C5</f>
        <v>3000</v>
      </c>
      <c r="AL5" s="21">
        <f>+F5</f>
        <v>104283</v>
      </c>
      <c r="AM5" s="21"/>
      <c r="AN5" s="21" t="s">
        <v>24</v>
      </c>
      <c r="AO5" s="24">
        <f>+H5</f>
        <v>3542.5</v>
      </c>
      <c r="AP5" s="21">
        <f>+AK9*AO5^2+AL9*AO5+AM9</f>
        <v>89663</v>
      </c>
      <c r="AR5" s="20">
        <f>+C6</f>
        <v>6000</v>
      </c>
      <c r="AS5" s="21">
        <f>+F6</f>
        <v>103025</v>
      </c>
      <c r="AT5" s="21"/>
      <c r="AU5" s="21" t="s">
        <v>24</v>
      </c>
      <c r="AV5" s="24">
        <f>+H6</f>
        <v>10076.666666666666</v>
      </c>
      <c r="AW5" s="21">
        <f>+AR9*AV5^2+AS9*AV5+AT9</f>
        <v>89663</v>
      </c>
      <c r="BH5" s="2"/>
    </row>
    <row r="6" spans="1:60" x14ac:dyDescent="0.25">
      <c r="A6" s="7" t="str">
        <f>+'Table 4-4 - inputs'!A6</f>
        <v>Cost per month - End stage renal disease</v>
      </c>
      <c r="B6" s="43">
        <f>+'Table 4-4 - inputs'!B6</f>
        <v>10076.666666666666</v>
      </c>
      <c r="C6" s="43">
        <f>+'Table 4-4 - inputs'!C6</f>
        <v>6000</v>
      </c>
      <c r="D6" s="43">
        <f>+'Table 4-4 - inputs'!D6</f>
        <v>12000</v>
      </c>
      <c r="E6" s="12">
        <f>+'Table 4-4 - inputs'!E6</f>
        <v>89663</v>
      </c>
      <c r="F6" s="12">
        <f>+'Table 4-4 - inputs'!F6</f>
        <v>103025</v>
      </c>
      <c r="G6" s="12">
        <f>+'Table 4-4 - inputs'!G6</f>
        <v>83359</v>
      </c>
      <c r="H6" s="11">
        <f>+'Table 4-4 - inputs'!H6</f>
        <v>10076.666666666666</v>
      </c>
      <c r="I6" s="11">
        <f>+'Table 4-4 - inputs'!I6</f>
        <v>10416.666666666666</v>
      </c>
      <c r="J6" s="12">
        <f>+AW5</f>
        <v>89663</v>
      </c>
      <c r="K6" s="12">
        <f>+AW6</f>
        <v>88548.598258725862</v>
      </c>
      <c r="L6" s="13">
        <f t="shared" si="1"/>
        <v>6.2143902238054587E-3</v>
      </c>
      <c r="M6" s="15" t="str">
        <f>+IF(X6,"YES","NO")</f>
        <v>NO</v>
      </c>
      <c r="N6" s="15" t="str">
        <f>+IF(Y6,"YES","NO")</f>
        <v>NO</v>
      </c>
      <c r="O6" s="7"/>
      <c r="P6" s="45">
        <f>+MIN(E6,J6,K6)</f>
        <v>88548.598258725862</v>
      </c>
      <c r="Q6" s="45">
        <f>+MEDIAN(E6,J6,K6)</f>
        <v>89663</v>
      </c>
      <c r="R6" s="45">
        <f>+MAX(E6,J6,K6)</f>
        <v>89663</v>
      </c>
      <c r="S6" s="46">
        <f t="shared" si="2"/>
        <v>6.2143902238054587E-3</v>
      </c>
      <c r="T6" s="7" t="b">
        <f>+AND(E6&lt;=Benchmark1,J6&lt;=Benchmark1,K6&lt;=Benchmark1)</f>
        <v>1</v>
      </c>
      <c r="U6" s="46" t="b">
        <f>+AND(E6&gt;Benchmark1,J6&gt;Benchmark1,K6&gt;Benchmark1)</f>
        <v>0</v>
      </c>
      <c r="V6" s="7" t="b">
        <f>+AND(E6&lt;=Benchmark2,J6&lt;=Benchmark2,K6&lt;=Benchmark2)</f>
        <v>1</v>
      </c>
      <c r="W6" s="46" t="b">
        <f>+AND(E6&gt;Benchmark2,J6&gt;Benchmark2,K6&gt;Benchmark2)</f>
        <v>0</v>
      </c>
      <c r="X6" s="12" t="b">
        <f>+AND(NOT(T6),NOT(U6))</f>
        <v>0</v>
      </c>
      <c r="Y6" s="12" t="b">
        <f>+AND(NOT(V6),NOT(W6))</f>
        <v>0</v>
      </c>
      <c r="AA6" s="12" t="s">
        <v>34</v>
      </c>
      <c r="AC6" s="20">
        <f>+D4</f>
        <v>1000</v>
      </c>
      <c r="AD6" s="21">
        <f>+G4</f>
        <v>102691</v>
      </c>
      <c r="AE6" s="21"/>
      <c r="AF6" s="21" t="s">
        <v>25</v>
      </c>
      <c r="AG6" s="24">
        <f>+I4</f>
        <v>1575.8333333333333</v>
      </c>
      <c r="AH6" s="21">
        <f>+AC9*AG6^2+AD9*AG6+AE9</f>
        <v>124490.06538488541</v>
      </c>
      <c r="AK6" s="20">
        <f>+D5</f>
        <v>7000</v>
      </c>
      <c r="AL6" s="21">
        <f>+G5</f>
        <v>-3515</v>
      </c>
      <c r="AM6" s="21"/>
      <c r="AN6" s="21" t="s">
        <v>25</v>
      </c>
      <c r="AO6" s="24">
        <f>+I5</f>
        <v>4916.666666666667</v>
      </c>
      <c r="AP6" s="21">
        <f>+AK9*AO6^2+AL9*AO6+AM9</f>
        <v>52630.012534019799</v>
      </c>
      <c r="AR6" s="20">
        <f>+D6</f>
        <v>12000</v>
      </c>
      <c r="AS6" s="21">
        <f>+G6</f>
        <v>83359</v>
      </c>
      <c r="AT6" s="21"/>
      <c r="AU6" s="21" t="s">
        <v>25</v>
      </c>
      <c r="AV6" s="24">
        <f>+I6</f>
        <v>10416.666666666666</v>
      </c>
      <c r="AW6" s="21">
        <f>+AR9*AV6^2+AS9*AV6+AT9</f>
        <v>88548.598258725862</v>
      </c>
      <c r="BH6" s="2"/>
    </row>
    <row r="7" spans="1:60" x14ac:dyDescent="0.25">
      <c r="AA7" s="12" t="s">
        <v>35</v>
      </c>
      <c r="AC7" s="23" cm="1">
        <f t="array" ref="AC7:AE7">+LINEST(AD4:AD6,AC4:AC6^{1,2})</f>
        <v>-6.9216200827179186E-6</v>
      </c>
      <c r="AD7" s="23">
        <v>37.874382430124079</v>
      </c>
      <c r="AE7" s="23">
        <v>64823.539189958639</v>
      </c>
      <c r="AG7" s="22">
        <f>+OR(AG4=MIN(AG4:AG6,AC4:AC6),AG4=MAX(AG4:AG6,AC4:AC6))*1</f>
        <v>1</v>
      </c>
      <c r="AI7" s="5"/>
      <c r="AK7" s="23" cm="1">
        <f t="array" ref="AK7:AM7">+LINEST(AL4:AL6,AK4:AK6^{1,2})</f>
        <v>-5.5312867560293145E-8</v>
      </c>
      <c r="AL7" s="23">
        <v>-26.948946871324406</v>
      </c>
      <c r="AM7" s="23">
        <v>185130.33842978129</v>
      </c>
      <c r="AN7" s="23"/>
      <c r="AO7" s="22">
        <f>+OR(AO4=MIN(AO4:AO6,AK4:AK6),AO4=MAX(AO4:AO6,AK4:AK6))*1</f>
        <v>1</v>
      </c>
      <c r="AR7" s="23" cm="1">
        <f t="array" ref="AR7:AT7">+LINEST(AS4:AS6,AR4:AR6^{1,2})</f>
        <v>5.8100729661059465E-9</v>
      </c>
      <c r="AS7" s="23">
        <v>-3.2777712479800565</v>
      </c>
      <c r="AT7" s="23">
        <v>122691.41832525356</v>
      </c>
      <c r="AU7" s="23"/>
      <c r="AV7" s="22">
        <f>+OR(AV4=MIN(AV4:AV6,AR4:AR6),AV4=MAX(AV4:AV6,AR4:AR6))*1</f>
        <v>1</v>
      </c>
      <c r="BH7" s="2"/>
    </row>
    <row r="8" spans="1:60" x14ac:dyDescent="0.25">
      <c r="A8" s="7"/>
      <c r="B8" s="11"/>
      <c r="C8" s="11"/>
      <c r="D8" s="15"/>
      <c r="E8" s="7"/>
      <c r="F8" s="7"/>
      <c r="G8" s="7"/>
      <c r="H8" s="11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AA8" s="12"/>
      <c r="AD8" s="23" cm="1">
        <f t="array" ref="AD8:AE8">+LINEST(AD4:AD6,AC4:AC6^{1})</f>
        <v>37.863822072931008</v>
      </c>
      <c r="AE8" s="23">
        <v>64827.251643088952</v>
      </c>
      <c r="AG8" s="22">
        <f>+NOT(AG7)*1</f>
        <v>0</v>
      </c>
      <c r="AL8" s="23" cm="1">
        <f t="array" ref="AL8:AM8">+LINEST(AL4:AL6,AK4:AK6^{1})</f>
        <v>-26.949510706056802</v>
      </c>
      <c r="AM8" s="23">
        <v>185131.58291225811</v>
      </c>
      <c r="AN8" s="23"/>
      <c r="AO8" s="22">
        <f>+NOT(AO7)*1</f>
        <v>0</v>
      </c>
      <c r="AS8" s="23" cm="1">
        <f t="array" ref="AS8:AT8">+LINEST(AS4:AS6,AR4:AR6^{1})</f>
        <v>-3.2776684084820875</v>
      </c>
      <c r="AT8" s="23">
        <v>122691.0011162718</v>
      </c>
      <c r="AU8" s="23"/>
      <c r="AV8" s="22">
        <f>+NOT(AV7)*1</f>
        <v>0</v>
      </c>
      <c r="BH8" s="2"/>
    </row>
    <row r="9" spans="1:60" x14ac:dyDescent="0.25">
      <c r="A9" s="7"/>
      <c r="B9" s="11"/>
      <c r="C9" s="11"/>
      <c r="D9" s="15"/>
      <c r="E9" s="7"/>
      <c r="F9" s="7"/>
      <c r="G9" s="7"/>
      <c r="H9" s="11"/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AA9" s="12"/>
      <c r="AC9" s="23">
        <f>+SUMPRODUCT(AC7:AC8,AG7:AG8)</f>
        <v>-6.9216200827179186E-6</v>
      </c>
      <c r="AD9" s="23">
        <f>+SUMPRODUCT(AD7:AD8,AG7:AG8)</f>
        <v>37.874382430124079</v>
      </c>
      <c r="AE9" s="23">
        <f>+SUMPRODUCT(AE7:AE8,AG7:AG8)</f>
        <v>64823.539189958639</v>
      </c>
      <c r="AK9" s="23">
        <f>+SUMPRODUCT(AK7:AK8,AO7:AO8)</f>
        <v>-5.5312867560293145E-8</v>
      </c>
      <c r="AL9" s="23">
        <f>+SUMPRODUCT(AL7:AL8,AO7:AO8)</f>
        <v>-26.948946871324406</v>
      </c>
      <c r="AM9" s="23">
        <f>+SUMPRODUCT(AM7:AM8,AO7:AO8)</f>
        <v>185130.33842978129</v>
      </c>
      <c r="AP9" s="4"/>
      <c r="AR9" s="23">
        <f>+SUMPRODUCT(AR7:AR8,AV7:AV8)</f>
        <v>5.8100729661059465E-9</v>
      </c>
      <c r="AS9" s="23">
        <f>+SUMPRODUCT(AS7:AS8,AV7:AV8)</f>
        <v>-3.2777712479800565</v>
      </c>
      <c r="AT9" s="23">
        <f>+SUMPRODUCT(AT7:AT8,AV7:AV8)</f>
        <v>122691.41832525356</v>
      </c>
      <c r="BH9" s="2"/>
    </row>
    <row r="10" spans="1:60" x14ac:dyDescent="0.25">
      <c r="A10" s="7"/>
      <c r="B10" s="11"/>
      <c r="C10" s="11"/>
      <c r="D10" s="15"/>
      <c r="E10" s="7"/>
      <c r="F10" s="7"/>
      <c r="G10" s="7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AA10" s="12"/>
      <c r="AC10" s="23"/>
      <c r="AD10" s="23"/>
      <c r="AE10" s="23"/>
      <c r="AK10" s="23"/>
      <c r="AL10" s="23"/>
      <c r="AM10" s="23"/>
      <c r="AP10" s="4"/>
      <c r="AR10" s="23"/>
      <c r="AS10" s="23"/>
      <c r="AT10" s="23"/>
      <c r="BH10" s="2"/>
    </row>
    <row r="11" spans="1:60" x14ac:dyDescent="0.25">
      <c r="A11" s="10" t="s">
        <v>46</v>
      </c>
      <c r="B11" s="11"/>
      <c r="C11" s="11"/>
      <c r="D11" s="15"/>
      <c r="E11" s="7"/>
      <c r="F11" s="7"/>
      <c r="G11" s="7"/>
      <c r="H11" s="11"/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AA11" s="12"/>
      <c r="AC11" s="65" t="str">
        <f>+A12</f>
        <v>Cost per month - Complete response</v>
      </c>
      <c r="AD11" s="65"/>
      <c r="AE11" s="65"/>
      <c r="AF11" s="65"/>
      <c r="AG11" s="65"/>
      <c r="AH11" s="65"/>
      <c r="AK11" s="65" t="str">
        <f>+A13</f>
        <v>Cost per month - Active disease</v>
      </c>
      <c r="AL11" s="65"/>
      <c r="AM11" s="65"/>
      <c r="AN11" s="65"/>
      <c r="AO11" s="65"/>
      <c r="AP11" s="65"/>
      <c r="AR11" s="65" t="str">
        <f>+A14</f>
        <v>Cost per month - End stage renal disease</v>
      </c>
      <c r="AS11" s="65"/>
      <c r="AT11" s="65"/>
      <c r="AU11" s="65"/>
      <c r="AV11" s="65"/>
      <c r="AW11" s="65"/>
      <c r="BH11" s="2"/>
    </row>
    <row r="12" spans="1:60" x14ac:dyDescent="0.25">
      <c r="A12" s="7" t="str">
        <f>+'Table 4-4 - inputs'!A4</f>
        <v>Cost per month - Complete response</v>
      </c>
      <c r="B12" s="29">
        <f>+'Table 4-4 - inputs'!B18</f>
        <v>655.91666666666663</v>
      </c>
      <c r="C12" s="29">
        <f>+'Table 4-4 - inputs'!C18</f>
        <v>500</v>
      </c>
      <c r="D12" s="29">
        <f>+'Table 4-4 - inputs'!D18</f>
        <v>1000</v>
      </c>
      <c r="E12" s="12">
        <f>+'Table 4-4 - inputs'!E18</f>
        <v>149260</v>
      </c>
      <c r="F12" s="12">
        <f>+'Table 4-4 - inputs'!F18</f>
        <v>144203</v>
      </c>
      <c r="G12" s="12">
        <f>+'Table 4-4 - inputs'!G18</f>
        <v>167907</v>
      </c>
      <c r="H12" s="11">
        <f>+'Table 4-4 - inputs'!H18</f>
        <v>655.91666666666663</v>
      </c>
      <c r="I12" s="11">
        <f>+'Table 4-4 - inputs'!I18</f>
        <v>1575.8333333333333</v>
      </c>
      <c r="J12" s="12">
        <f>+AH13</f>
        <v>149260</v>
      </c>
      <c r="K12" s="12">
        <f>+AH14</f>
        <v>222165.87813899998</v>
      </c>
      <c r="L12" s="13">
        <f t="shared" ref="L12" si="3">+S12</f>
        <v>0.24422443433940769</v>
      </c>
      <c r="M12" s="15" t="str">
        <f t="shared" ref="M12:N12" si="4">+IF(X12,"YES","NO")</f>
        <v>NO</v>
      </c>
      <c r="N12" s="15" t="str">
        <f t="shared" si="4"/>
        <v>YES</v>
      </c>
      <c r="O12" s="7"/>
      <c r="P12" s="45">
        <f>+MIN(E12,J12,K12)</f>
        <v>149260</v>
      </c>
      <c r="Q12" s="45">
        <f>+MEDIAN(E12,J12,K12)</f>
        <v>149260</v>
      </c>
      <c r="R12" s="45">
        <f>+MAX(E12,J12,K12)</f>
        <v>222165.87813899998</v>
      </c>
      <c r="S12" s="46">
        <f t="shared" ref="S12" si="5">+AVERAGE((Q12-P12)/Q12,(R12-Q12)/Q12)</f>
        <v>0.24422443433940769</v>
      </c>
      <c r="T12" s="7" t="b">
        <f>+AND(E12&lt;=Benchmark1,J12&lt;=Benchmark1,K12&lt;=Benchmark1)</f>
        <v>0</v>
      </c>
      <c r="U12" s="46" t="b">
        <f>+AND(E12&gt;Benchmark1,J12&gt;Benchmark1,K12&gt;Benchmark1)</f>
        <v>1</v>
      </c>
      <c r="V12" s="7" t="b">
        <f>+AND(E12&lt;=Benchmark2,J12&lt;=Benchmark2,K12&lt;=Benchmark2)</f>
        <v>0</v>
      </c>
      <c r="W12" s="46" t="b">
        <f>+AND(E12&gt;Benchmark2,J12&gt;Benchmark2,K12&gt;Benchmark2)</f>
        <v>0</v>
      </c>
      <c r="X12" s="12" t="b">
        <f>+AND(NOT(T12),NOT(U12))</f>
        <v>0</v>
      </c>
      <c r="Y12" s="12" t="b">
        <f>+AND(NOT(V12),NOT(W12))</f>
        <v>1</v>
      </c>
      <c r="AA12" s="12" t="s">
        <v>17</v>
      </c>
      <c r="AC12" s="20">
        <f>+B12</f>
        <v>655.91666666666663</v>
      </c>
      <c r="AD12" s="21">
        <f>+E12</f>
        <v>149260</v>
      </c>
      <c r="AE12" s="21"/>
      <c r="AF12" s="21" t="s">
        <v>23</v>
      </c>
      <c r="AG12" s="24">
        <f>-AD15/(2*AC15)</f>
        <v>205.31272488044709</v>
      </c>
      <c r="AH12" s="24"/>
      <c r="AK12" s="20">
        <f>+B13</f>
        <v>3542.5</v>
      </c>
      <c r="AL12" s="21">
        <f>+E13</f>
        <v>149260</v>
      </c>
      <c r="AM12" s="21"/>
      <c r="AN12" s="21" t="s">
        <v>23</v>
      </c>
      <c r="AO12" s="24">
        <f>-AL15/(2*AK15)</f>
        <v>35367537.504149683</v>
      </c>
      <c r="AP12" s="24"/>
      <c r="AR12" s="20">
        <f>+B14</f>
        <v>10076.666666666666</v>
      </c>
      <c r="AS12" s="21">
        <f>+E14</f>
        <v>149260</v>
      </c>
      <c r="AT12" s="21"/>
      <c r="AU12" s="21" t="s">
        <v>23</v>
      </c>
      <c r="AV12" s="24">
        <f>-AS15/(2*AR15)</f>
        <v>15810636.301357226</v>
      </c>
      <c r="AW12" s="24"/>
    </row>
    <row r="13" spans="1:60" x14ac:dyDescent="0.25">
      <c r="A13" s="7" t="str">
        <f>+'Table 4-4 - inputs'!A5</f>
        <v>Cost per month - Active disease</v>
      </c>
      <c r="B13" s="29">
        <f>+'Table 4-4 - inputs'!B19</f>
        <v>3542.5</v>
      </c>
      <c r="C13" s="44">
        <f>+'Table 4-4 - inputs'!C19</f>
        <v>3000</v>
      </c>
      <c r="D13" s="29">
        <f>+'Table 4-4 - inputs'!D19</f>
        <v>7000</v>
      </c>
      <c r="E13" s="12">
        <f>+'Table 4-4 - inputs'!E19</f>
        <v>149260</v>
      </c>
      <c r="F13" s="12">
        <f>+'Table 4-4 - inputs'!F19</f>
        <v>161649</v>
      </c>
      <c r="G13" s="12">
        <f>+'Table 4-4 - inputs'!G19</f>
        <v>70306</v>
      </c>
      <c r="H13" s="11">
        <f>+'Table 4-4 - inputs'!H19</f>
        <v>3542.5</v>
      </c>
      <c r="I13" s="11">
        <f>+'Table 4-4 - inputs'!I19</f>
        <v>4916.666666666667</v>
      </c>
      <c r="J13" s="12">
        <f>+AP13</f>
        <v>149260</v>
      </c>
      <c r="K13" s="12">
        <f>+AP14</f>
        <v>117879.1898867558</v>
      </c>
      <c r="L13" s="13">
        <f>+S13</f>
        <v>0.10512129878481909</v>
      </c>
      <c r="M13" s="15" t="str">
        <f>+IF(X13,"YES","NO")</f>
        <v>NO</v>
      </c>
      <c r="N13" s="15" t="str">
        <f>+IF(Y13,"YES","NO")</f>
        <v>NO</v>
      </c>
      <c r="O13" s="7"/>
      <c r="P13" s="45">
        <f>+MIN(E13,J13,K13)</f>
        <v>117879.1898867558</v>
      </c>
      <c r="Q13" s="45">
        <f>+MEDIAN(E13,J13,K13)</f>
        <v>149260</v>
      </c>
      <c r="R13" s="45">
        <f>+MAX(E13,J13,K13)</f>
        <v>149260</v>
      </c>
      <c r="S13" s="46">
        <f>+AVERAGE((Q13-P13)/Q13,(R13-Q13)/Q13)</f>
        <v>0.10512129878481909</v>
      </c>
      <c r="T13" s="7" t="b">
        <f>+AND(E13&lt;=Benchmark1,J13&lt;=Benchmark1,K13&lt;=Benchmark1)</f>
        <v>0</v>
      </c>
      <c r="U13" s="46" t="b">
        <f>+AND(E13&gt;Benchmark1,J13&gt;Benchmark1,K13&gt;Benchmark1)</f>
        <v>1</v>
      </c>
      <c r="V13" s="7" t="b">
        <f>+AND(E13&lt;=Benchmark2,J13&lt;=Benchmark2,K13&lt;=Benchmark2)</f>
        <v>1</v>
      </c>
      <c r="W13" s="46" t="b">
        <f>+AND(E13&gt;Benchmark2,J13&gt;Benchmark2,K13&gt;Benchmark2)</f>
        <v>0</v>
      </c>
      <c r="X13" s="12" t="b">
        <f>+AND(NOT(T13),NOT(U13))</f>
        <v>0</v>
      </c>
      <c r="Y13" s="12" t="b">
        <f>+AND(NOT(V13),NOT(W13))</f>
        <v>0</v>
      </c>
      <c r="AA13" s="12" t="s">
        <v>33</v>
      </c>
      <c r="AC13" s="20">
        <f>+C12</f>
        <v>500</v>
      </c>
      <c r="AD13" s="21">
        <f>+F12</f>
        <v>144203</v>
      </c>
      <c r="AE13" s="21"/>
      <c r="AF13" s="21" t="s">
        <v>24</v>
      </c>
      <c r="AG13" s="24">
        <f>+H12</f>
        <v>655.91666666666663</v>
      </c>
      <c r="AH13" s="21">
        <f>+AC17*AG13^2+AD17*AG13+AE17</f>
        <v>149260</v>
      </c>
      <c r="AK13" s="20">
        <f>+C13</f>
        <v>3000</v>
      </c>
      <c r="AL13" s="21">
        <f>+F13</f>
        <v>161649</v>
      </c>
      <c r="AM13" s="21"/>
      <c r="AN13" s="21" t="s">
        <v>24</v>
      </c>
      <c r="AO13" s="24">
        <f>+H13</f>
        <v>3542.5</v>
      </c>
      <c r="AP13" s="21">
        <f>+AK17*AO13^2+AL17*AO13+AM17</f>
        <v>149260</v>
      </c>
      <c r="AR13" s="20">
        <f>+C14</f>
        <v>6000</v>
      </c>
      <c r="AS13" s="21">
        <f>+F14</f>
        <v>155550</v>
      </c>
      <c r="AT13" s="21"/>
      <c r="AU13" s="21" t="s">
        <v>24</v>
      </c>
      <c r="AV13" s="24">
        <f>+H14</f>
        <v>10076.666666666666</v>
      </c>
      <c r="AW13" s="21">
        <f>+AR17*AV13^2+AS17*AV13+AT17</f>
        <v>149260</v>
      </c>
    </row>
    <row r="14" spans="1:60" x14ac:dyDescent="0.25">
      <c r="A14" s="7" t="str">
        <f>+'Table 4-4 - inputs'!A6</f>
        <v>Cost per month - End stage renal disease</v>
      </c>
      <c r="B14" s="43">
        <f>+'Table 4-4 - inputs'!B20</f>
        <v>10076.666666666666</v>
      </c>
      <c r="C14" s="43">
        <f>+'Table 4-4 - inputs'!C20</f>
        <v>6000</v>
      </c>
      <c r="D14" s="43">
        <f>+'Table 4-4 - inputs'!D20</f>
        <v>12000</v>
      </c>
      <c r="E14" s="12">
        <f>+'Table 4-4 - inputs'!E20</f>
        <v>149260</v>
      </c>
      <c r="F14" s="12">
        <f>+'Table 4-4 - inputs'!F20</f>
        <v>155550</v>
      </c>
      <c r="G14" s="12">
        <f>+'Table 4-4 - inputs'!G20</f>
        <v>146293</v>
      </c>
      <c r="H14" s="11">
        <f>+'Table 4-4 - inputs'!H20</f>
        <v>10076.666666666666</v>
      </c>
      <c r="I14" s="11">
        <f>+'Table 4-4 - inputs'!I20</f>
        <v>10416.666666666666</v>
      </c>
      <c r="J14" s="12">
        <f>+AW13</f>
        <v>149260</v>
      </c>
      <c r="K14" s="12">
        <f>+AW14</f>
        <v>148735.47805197703</v>
      </c>
      <c r="L14" s="13">
        <f>+S14</f>
        <v>1.7570747287383478E-3</v>
      </c>
      <c r="M14" s="15" t="str">
        <f>+IF(X14,"YES","NO")</f>
        <v>NO</v>
      </c>
      <c r="N14" s="15" t="str">
        <f>+IF(Y14,"YES","NO")</f>
        <v>NO</v>
      </c>
      <c r="O14" s="7"/>
      <c r="P14" s="45">
        <f>+MIN(E14,J14,K14)</f>
        <v>148735.47805197703</v>
      </c>
      <c r="Q14" s="45">
        <f>+MEDIAN(E14,J14,K14)</f>
        <v>149260</v>
      </c>
      <c r="R14" s="45">
        <f>+MAX(E14,J14,K14)</f>
        <v>149260</v>
      </c>
      <c r="S14" s="46">
        <f>+AVERAGE((Q14-P14)/Q14,(R14-Q14)/Q14)</f>
        <v>1.7570747287383478E-3</v>
      </c>
      <c r="T14" s="7" t="b">
        <f>+AND(E14&lt;=Benchmark1,J14&lt;=Benchmark1,K14&lt;=Benchmark1)</f>
        <v>0</v>
      </c>
      <c r="U14" s="46" t="b">
        <f>+AND(E14&gt;Benchmark1,J14&gt;Benchmark1,K14&gt;Benchmark1)</f>
        <v>1</v>
      </c>
      <c r="V14" s="7" t="b">
        <f>+AND(E14&lt;=Benchmark2,J14&lt;=Benchmark2,K14&lt;=Benchmark2)</f>
        <v>1</v>
      </c>
      <c r="W14" s="46" t="b">
        <f>+AND(E14&gt;Benchmark2,J14&gt;Benchmark2,K14&gt;Benchmark2)</f>
        <v>0</v>
      </c>
      <c r="X14" s="12" t="b">
        <f>+AND(NOT(T14),NOT(U14))</f>
        <v>0</v>
      </c>
      <c r="Y14" s="12" t="b">
        <f>+AND(NOT(V14),NOT(W14))</f>
        <v>0</v>
      </c>
      <c r="AA14" s="12" t="s">
        <v>18</v>
      </c>
      <c r="AC14" s="20">
        <f>+D12</f>
        <v>1000</v>
      </c>
      <c r="AD14" s="21">
        <f>+G12</f>
        <v>167907</v>
      </c>
      <c r="AE14" s="21"/>
      <c r="AF14" s="21" t="s">
        <v>25</v>
      </c>
      <c r="AG14" s="24">
        <f>+I12</f>
        <v>1575.8333333333333</v>
      </c>
      <c r="AH14" s="21">
        <f>+AC17*AG14^2+AD17*AG14+AE17</f>
        <v>222165.87813899998</v>
      </c>
      <c r="AK14" s="20">
        <f>+D13</f>
        <v>7000</v>
      </c>
      <c r="AL14" s="21">
        <f>+G13</f>
        <v>70306</v>
      </c>
      <c r="AM14" s="21"/>
      <c r="AN14" s="21" t="s">
        <v>25</v>
      </c>
      <c r="AO14" s="24">
        <f>+I13</f>
        <v>4916.666666666667</v>
      </c>
      <c r="AP14" s="21">
        <f>+AK17*AO14^2+AL17*AO14+AM17</f>
        <v>117879.1898867558</v>
      </c>
      <c r="AR14" s="20">
        <f>+D14</f>
        <v>12000</v>
      </c>
      <c r="AS14" s="21">
        <f>+G14</f>
        <v>146293</v>
      </c>
      <c r="AT14" s="21"/>
      <c r="AU14" s="21" t="s">
        <v>25</v>
      </c>
      <c r="AV14" s="24">
        <f>+I14</f>
        <v>10416.666666666666</v>
      </c>
      <c r="AW14" s="21">
        <f>+AR17*AV14^2+AS17*AV14+AT17</f>
        <v>148735.47805197703</v>
      </c>
    </row>
    <row r="15" spans="1:60" x14ac:dyDescent="0.25">
      <c r="AA15" s="12" t="s">
        <v>36</v>
      </c>
      <c r="AC15" s="23" cm="1">
        <f t="array" ref="AC15:AE15">+LINEST(AD12:AD14,AC12:AC14^{1,2})</f>
        <v>4.3518549235058261E-2</v>
      </c>
      <c r="AD15" s="23">
        <v>-17.869823852587416</v>
      </c>
      <c r="AE15" s="23">
        <v>142258.27461752915</v>
      </c>
      <c r="AG15" s="22">
        <f>+OR(AG12=MIN(AG12:AG14,AC12:AC14),AG12=MAX(AG12:AG14,AC12:AC14))*1</f>
        <v>1</v>
      </c>
      <c r="AK15" s="23" cm="1">
        <f t="array" ref="AK15:AM15">+LINEST(AL12:AL14,AK12:AK14^{1,2})</f>
        <v>3.2288053419979106E-7</v>
      </c>
      <c r="AL15" s="23">
        <v>-22.838978805341991</v>
      </c>
      <c r="AM15" s="23">
        <v>230163.03049121817</v>
      </c>
      <c r="AN15" s="23"/>
      <c r="AO15" s="22">
        <f>+OR(AO12=MIN(AO12:AO14,AK12:AK14),AO12=MAX(AO12:AO14,AK12:AK14))*1</f>
        <v>1</v>
      </c>
      <c r="AR15" s="23" cm="1">
        <f t="array" ref="AR15:AT15">+LINEST(AS12:AS14,AR12:AR14^{1,2})</f>
        <v>4.8818783824331447E-8</v>
      </c>
      <c r="AS15" s="23">
        <v>-1.5437120714421715</v>
      </c>
      <c r="AT15" s="23">
        <v>164810.51495243536</v>
      </c>
      <c r="AU15" s="23"/>
      <c r="AV15" s="22">
        <f>+OR(AV12=MIN(AV12:AV14,AR12:AR14),AV12=MAX(AV12:AV14,AR12:AR14))*1</f>
        <v>1</v>
      </c>
    </row>
    <row r="16" spans="1:60" x14ac:dyDescent="0.25">
      <c r="A16" s="7"/>
      <c r="B16" s="11"/>
      <c r="C16" s="11"/>
      <c r="D16" s="11"/>
      <c r="E16" s="12"/>
      <c r="F16" s="12"/>
      <c r="G16" s="12"/>
      <c r="H16" s="11"/>
      <c r="I16" s="11"/>
      <c r="J16" s="12"/>
      <c r="K16" s="12"/>
      <c r="L16" s="13"/>
      <c r="M16" s="25"/>
      <c r="N16" s="25"/>
      <c r="P16" s="26"/>
      <c r="Q16" s="26"/>
      <c r="R16" s="26"/>
      <c r="S16" s="14"/>
      <c r="U16" s="14"/>
      <c r="W16" s="14"/>
      <c r="X16" s="12"/>
      <c r="Y16" s="12"/>
      <c r="AA16" s="12"/>
      <c r="AD16" s="23" cm="1">
        <f t="array" ref="AD16:AE16">+LINEST(AD12:AD14,AC12:AC14^{1})</f>
        <v>48.526687217708599</v>
      </c>
      <c r="AE16" s="23">
        <v>118916.83541640725</v>
      </c>
      <c r="AG16" s="22">
        <f>+NOT(AG15)*1</f>
        <v>0</v>
      </c>
      <c r="AL16" s="23" cm="1">
        <f t="array" ref="AL16:AM16">+LINEST(AL12:AL14,AK12:AK14^{1})</f>
        <v>-22.835687505005779</v>
      </c>
      <c r="AM16" s="23">
        <v>230155.76601218025</v>
      </c>
      <c r="AN16" s="23"/>
      <c r="AO16" s="22">
        <f>+NOT(AO15)*1</f>
        <v>0</v>
      </c>
      <c r="AS16" s="23" cm="1">
        <f t="array" ref="AS16:AT16">+LINEST(AS12:AS14,AR12:AR14^{1})</f>
        <v>-1.5428479688311976</v>
      </c>
      <c r="AT16" s="23">
        <v>164807.00937940573</v>
      </c>
      <c r="AU16" s="23"/>
      <c r="AV16" s="22">
        <f>+NOT(AV15)*1</f>
        <v>0</v>
      </c>
    </row>
    <row r="17" spans="1:48" x14ac:dyDescent="0.25">
      <c r="A17" s="7"/>
      <c r="B17" s="11"/>
      <c r="C17" s="11"/>
      <c r="D17" s="11"/>
      <c r="E17" s="12"/>
      <c r="F17" s="12"/>
      <c r="G17" s="12"/>
      <c r="H17" s="11"/>
      <c r="I17" s="11"/>
      <c r="J17" s="12"/>
      <c r="K17" s="12"/>
      <c r="L17" s="13"/>
      <c r="M17" s="25"/>
      <c r="N17" s="25"/>
      <c r="P17" s="26"/>
      <c r="Q17" s="26"/>
      <c r="R17" s="26"/>
      <c r="S17" s="14"/>
      <c r="U17" s="14"/>
      <c r="W17" s="14"/>
      <c r="X17" s="12"/>
      <c r="Y17" s="12"/>
      <c r="AA17" s="12"/>
      <c r="AC17" s="23">
        <f>+SUMPRODUCT(AC15:AC16,AG15:AG16)</f>
        <v>4.3518549235058261E-2</v>
      </c>
      <c r="AD17" s="23">
        <f>+SUMPRODUCT(AD15:AD16,AG15:AG16)</f>
        <v>-17.869823852587416</v>
      </c>
      <c r="AE17" s="23">
        <f>+SUMPRODUCT(AE15:AE16,AG15:AG16)</f>
        <v>142258.27461752915</v>
      </c>
      <c r="AK17" s="23">
        <f>+SUMPRODUCT(AK15:AK16,AO15:AO16)</f>
        <v>3.2288053419979106E-7</v>
      </c>
      <c r="AL17" s="23">
        <f>+SUMPRODUCT(AL15:AL16,AO15:AO16)</f>
        <v>-22.838978805341991</v>
      </c>
      <c r="AM17" s="23">
        <f>+SUMPRODUCT(AM15:AM16,AO15:AO16)</f>
        <v>230163.03049121817</v>
      </c>
      <c r="AP17" s="4"/>
      <c r="AR17" s="23">
        <f>+SUMPRODUCT(AR15:AR16,AV15:AV16)</f>
        <v>4.8818783824331447E-8</v>
      </c>
      <c r="AS17" s="23">
        <f>+SUMPRODUCT(AS15:AS16,AV15:AV16)</f>
        <v>-1.5437120714421715</v>
      </c>
      <c r="AT17" s="23">
        <f>+SUMPRODUCT(AT15:AT16,AV15:AV16)</f>
        <v>164810.51495243536</v>
      </c>
    </row>
    <row r="18" spans="1:48" x14ac:dyDescent="0.25">
      <c r="A18" s="7"/>
      <c r="B18" s="11"/>
      <c r="C18" s="11"/>
      <c r="D18" s="11"/>
      <c r="E18" s="12"/>
      <c r="F18" s="12"/>
      <c r="G18" s="12"/>
      <c r="H18" s="11"/>
      <c r="I18" s="11"/>
      <c r="J18" s="12"/>
      <c r="K18" s="12"/>
      <c r="L18" s="13"/>
      <c r="M18" s="25"/>
      <c r="N18" s="25"/>
      <c r="P18" s="26"/>
      <c r="Q18" s="26"/>
      <c r="R18" s="26"/>
      <c r="S18" s="14"/>
      <c r="U18" s="14"/>
      <c r="W18" s="14"/>
      <c r="X18" s="12"/>
      <c r="Y18" s="12"/>
      <c r="AA18" s="12"/>
      <c r="AC18" s="23"/>
      <c r="AD18" s="23"/>
      <c r="AE18" s="23"/>
      <c r="AG18" s="22"/>
      <c r="AK18" s="23"/>
      <c r="AL18" s="23"/>
      <c r="AM18" s="23"/>
      <c r="AN18" s="23"/>
      <c r="AO18" s="22"/>
      <c r="AR18" s="23"/>
      <c r="AS18" s="23"/>
      <c r="AT18" s="23"/>
      <c r="AU18" s="23"/>
      <c r="AV18" s="22"/>
    </row>
    <row r="19" spans="1:48" x14ac:dyDescent="0.25">
      <c r="AA19" s="12"/>
    </row>
    <row r="20" spans="1:48" x14ac:dyDescent="0.25">
      <c r="AA20" s="12"/>
    </row>
    <row r="21" spans="1:48" x14ac:dyDescent="0.25">
      <c r="AA21" s="12"/>
    </row>
    <row r="22" spans="1:48" x14ac:dyDescent="0.25">
      <c r="B22" s="16"/>
      <c r="C22" s="16"/>
      <c r="E22" s="16"/>
      <c r="F22" s="16"/>
      <c r="AA22" s="12"/>
    </row>
    <row r="23" spans="1:48" x14ac:dyDescent="0.25">
      <c r="B23" s="17"/>
      <c r="C23" s="17"/>
      <c r="AA23" s="12"/>
    </row>
    <row r="24" spans="1:48" x14ac:dyDescent="0.25">
      <c r="AA24" s="12"/>
    </row>
    <row r="25" spans="1:48" x14ac:dyDescent="0.25">
      <c r="AA25" s="12"/>
    </row>
    <row r="26" spans="1:48" x14ac:dyDescent="0.25">
      <c r="AA26" s="12"/>
    </row>
    <row r="27" spans="1:48" x14ac:dyDescent="0.25">
      <c r="B27" s="16"/>
      <c r="C27" s="16"/>
      <c r="E27" s="16"/>
      <c r="F27" s="16"/>
      <c r="AA27" s="12"/>
    </row>
    <row r="31" spans="1:48" x14ac:dyDescent="0.25">
      <c r="B31" s="16"/>
      <c r="C31" s="16"/>
      <c r="F31" s="16"/>
      <c r="G31" s="16"/>
    </row>
    <row r="53" spans="1:9" x14ac:dyDescent="0.25">
      <c r="A53" s="3"/>
    </row>
    <row r="54" spans="1:9" x14ac:dyDescent="0.25">
      <c r="B54" s="16"/>
      <c r="C54" s="16"/>
      <c r="D54" s="2"/>
      <c r="E54" s="2"/>
      <c r="F54" s="16"/>
      <c r="G54" s="16"/>
      <c r="H54" s="14"/>
      <c r="I54" s="14"/>
    </row>
    <row r="57" spans="1:9" x14ac:dyDescent="0.25">
      <c r="A57" s="3"/>
    </row>
    <row r="58" spans="1:9" x14ac:dyDescent="0.25">
      <c r="B58" s="16"/>
      <c r="C58" s="16"/>
      <c r="D58" s="2"/>
      <c r="E58" s="2"/>
      <c r="F58" s="16"/>
      <c r="G58" s="16"/>
      <c r="H58" s="14"/>
      <c r="I58" s="14"/>
    </row>
  </sheetData>
  <mergeCells count="11">
    <mergeCell ref="B1:D1"/>
    <mergeCell ref="E1:G1"/>
    <mergeCell ref="H1:I1"/>
    <mergeCell ref="J1:K1"/>
    <mergeCell ref="L1:N1"/>
    <mergeCell ref="AK2:AP2"/>
    <mergeCell ref="AR2:AW2"/>
    <mergeCell ref="AC11:AH11"/>
    <mergeCell ref="AK11:AP11"/>
    <mergeCell ref="AR11:AW11"/>
    <mergeCell ref="AC2:AH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B3A-E37F-446C-80C8-B7B6239A483B}">
  <sheetPr>
    <tabColor rgb="FF92D050"/>
  </sheetPr>
  <dimension ref="A1:U10"/>
  <sheetViews>
    <sheetView tabSelected="1" workbookViewId="0">
      <selection activeCell="L19" sqref="L19"/>
    </sheetView>
  </sheetViews>
  <sheetFormatPr defaultRowHeight="15" x14ac:dyDescent="0.25"/>
  <cols>
    <col min="1" max="1" width="27.85546875" customWidth="1"/>
    <col min="2" max="2" width="7.42578125" customWidth="1"/>
    <col min="3" max="3" width="7.5703125" customWidth="1"/>
    <col min="4" max="4" width="7.42578125" bestFit="1" customWidth="1"/>
    <col min="5" max="5" width="6.140625" customWidth="1"/>
    <col min="6" max="6" width="8.5703125" customWidth="1"/>
    <col min="7" max="7" width="8.42578125" customWidth="1"/>
    <col min="8" max="8" width="6.85546875" customWidth="1"/>
    <col min="9" max="9" width="7" customWidth="1"/>
  </cols>
  <sheetData>
    <row r="1" spans="1:21" ht="39.75" customHeight="1" x14ac:dyDescent="0.25">
      <c r="A1" s="35"/>
      <c r="B1" s="70" t="str">
        <f>+'Table 4-4'!B1</f>
        <v>Monthly cost assumptions from ICER (i)</v>
      </c>
      <c r="C1" s="70"/>
      <c r="D1" s="70"/>
      <c r="E1" s="70" t="str">
        <f>+'Table 4-4'!E1</f>
        <v>CE ratios from ICER ($000/QALY) (ii)</v>
      </c>
      <c r="F1" s="70"/>
      <c r="G1" s="70"/>
      <c r="H1" s="70" t="str">
        <f>+'Table 4-4'!H1</f>
        <v>Expert group monthly cost assumptions (iii)</v>
      </c>
      <c r="I1" s="70"/>
      <c r="J1" s="70" t="str">
        <f>+'Table 4-4'!J1</f>
        <v>Expert group imputed CE ratios (iv)</v>
      </c>
      <c r="K1" s="70"/>
      <c r="L1" s="70" t="str">
        <f>+'Table 4-4'!L1</f>
        <v>Influence measures (v)</v>
      </c>
      <c r="M1" s="70"/>
      <c r="N1" s="70"/>
      <c r="O1" s="3"/>
    </row>
    <row r="2" spans="1:21" ht="36" customHeight="1" x14ac:dyDescent="0.25">
      <c r="A2" s="36"/>
      <c r="B2" s="37" t="str">
        <f>+'Table 4-4'!B2</f>
        <v>Base case</v>
      </c>
      <c r="C2" s="37" t="str">
        <f>+'Table 4-4'!C2</f>
        <v>Lower bound</v>
      </c>
      <c r="D2" s="37" t="str">
        <f>+'Table 4-4'!D2</f>
        <v>Upper bound</v>
      </c>
      <c r="E2" s="37" t="str">
        <f>+'Table 4-4'!E2</f>
        <v>Base case</v>
      </c>
      <c r="F2" s="37" t="str">
        <f>+'Table 4-4'!F2</f>
        <v>Lower bound assumption</v>
      </c>
      <c r="G2" s="37" t="str">
        <f>+'Table 4-4'!G2</f>
        <v>Upper bound assumption</v>
      </c>
      <c r="H2" s="37" t="str">
        <f>+'Table 4-4'!H2</f>
        <v>Expert Group 1</v>
      </c>
      <c r="I2" s="37" t="str">
        <f>+'Table 4-4'!I2</f>
        <v>Expert Group 2</v>
      </c>
      <c r="J2" s="37" t="str">
        <f>+'Table 4-4'!J2</f>
        <v>Expert Group 1</v>
      </c>
      <c r="K2" s="37" t="str">
        <f>+'Table 4-4'!K2</f>
        <v>Expert Group 2</v>
      </c>
      <c r="L2" s="37" t="str">
        <f>+'Table 4-4'!L2</f>
        <v>Avg pct deviation</v>
      </c>
      <c r="M2" s="37" t="str">
        <f>+'Table 4-4'!M2</f>
        <v>Cross $100K benchmark</v>
      </c>
      <c r="N2" s="37" t="str">
        <f>+'Table 4-4'!N2</f>
        <v>Cross $150K benchmark</v>
      </c>
    </row>
    <row r="3" spans="1:21" x14ac:dyDescent="0.25">
      <c r="A3" s="58" t="str">
        <f>+'Table 4-4'!A3</f>
        <v>Analysis (a) Belimumab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  <c r="U3" s="2"/>
    </row>
    <row r="4" spans="1:21" x14ac:dyDescent="0.25">
      <c r="A4" s="36" t="str">
        <f>+'Table 4-4'!A4</f>
        <v>Cost per month - Complete response</v>
      </c>
      <c r="B4" s="42">
        <f>+'Table 4-4'!B4</f>
        <v>655.91666666666663</v>
      </c>
      <c r="C4" s="42">
        <f>+'Table 4-4'!C4</f>
        <v>500</v>
      </c>
      <c r="D4" s="42">
        <f>+'Table 4-4'!D4</f>
        <v>1000</v>
      </c>
      <c r="E4" s="39">
        <f>+ROUND('Table 4-4'!E4/CE_Scale,RoundPlace)</f>
        <v>90</v>
      </c>
      <c r="F4" s="39">
        <f>+ROUND('Table 4-4'!F4/CE_Scale,RoundPlace)</f>
        <v>84</v>
      </c>
      <c r="G4" s="39">
        <f>+ROUND('Table 4-4'!G4/CE_Scale,RoundPlace)</f>
        <v>103</v>
      </c>
      <c r="H4" s="53">
        <f>+'Table 4-4'!H4</f>
        <v>655.91666666666663</v>
      </c>
      <c r="I4" s="53">
        <f>+'Table 4-4'!I4</f>
        <v>1575.8333333333333</v>
      </c>
      <c r="J4" s="39">
        <f>+ROUND('Table 4-4'!J4/CE_Scale,RoundPlace)</f>
        <v>90</v>
      </c>
      <c r="K4" s="39">
        <f>+ROUND('Table 4-4'!K4/CE_Scale,RoundPlace)</f>
        <v>124</v>
      </c>
      <c r="L4" s="40">
        <f>+'Table 4-4'!L4</f>
        <v>0.19421090854023071</v>
      </c>
      <c r="M4" s="47" t="str">
        <f>+'Table 4-4'!M4</f>
        <v>YES</v>
      </c>
      <c r="N4" s="47" t="str">
        <f>+'Table 4-4'!N4</f>
        <v>NO</v>
      </c>
      <c r="U4" s="2"/>
    </row>
    <row r="5" spans="1:21" x14ac:dyDescent="0.25">
      <c r="A5" s="36" t="str">
        <f>+'Table 4-4'!A5</f>
        <v>Cost per month - Active disease</v>
      </c>
      <c r="B5" s="42">
        <f>+'Table 4-4'!B5</f>
        <v>3542.5</v>
      </c>
      <c r="C5" s="42">
        <f>+'Table 4-4'!C5</f>
        <v>3000</v>
      </c>
      <c r="D5" s="42">
        <f>+'Table 4-4'!D5</f>
        <v>7000</v>
      </c>
      <c r="E5" s="39">
        <f>+ROUND('Table 4-4'!E5/CE_Scale,RoundPlace)</f>
        <v>90</v>
      </c>
      <c r="F5" s="39">
        <f>+ROUND('Table 4-4'!F5/CE_Scale,RoundPlace)</f>
        <v>104</v>
      </c>
      <c r="G5" s="39">
        <f>+ROUND('Table 4-4'!G5/CE_Scale,RoundPlace)</f>
        <v>-4</v>
      </c>
      <c r="H5" s="53">
        <f>+'Table 4-4'!H5</f>
        <v>3542.5</v>
      </c>
      <c r="I5" s="53">
        <f>+'Table 4-4'!I5</f>
        <v>4916.666666666667</v>
      </c>
      <c r="J5" s="39">
        <f>+ROUND('Table 4-4'!J5/CE_Scale,RoundPlace)</f>
        <v>90</v>
      </c>
      <c r="K5" s="39">
        <f>+ROUND('Table 4-4'!K5/CE_Scale,RoundPlace)</f>
        <v>53</v>
      </c>
      <c r="L5" s="40">
        <f>+'Table 4-4'!L5</f>
        <v>0.20651209231221462</v>
      </c>
      <c r="M5" s="47" t="str">
        <f>+'Table 4-4'!M5</f>
        <v>NO</v>
      </c>
      <c r="N5" s="47" t="str">
        <f>+'Table 4-4'!N5</f>
        <v>NO</v>
      </c>
      <c r="U5" s="2"/>
    </row>
    <row r="6" spans="1:21" x14ac:dyDescent="0.25">
      <c r="A6" s="36" t="str">
        <f>+'Table 4-4'!A6</f>
        <v>Cost per month - End stage renal disease</v>
      </c>
      <c r="B6" s="42">
        <f>+'Table 4-4'!B6</f>
        <v>10076.666666666666</v>
      </c>
      <c r="C6" s="42">
        <f>+'Table 4-4'!C6</f>
        <v>6000</v>
      </c>
      <c r="D6" s="42">
        <f>+'Table 4-4'!D6</f>
        <v>12000</v>
      </c>
      <c r="E6" s="39">
        <f>+ROUND('Table 4-4'!E6/CE_Scale,RoundPlace)</f>
        <v>90</v>
      </c>
      <c r="F6" s="39">
        <f>+ROUND('Table 4-4'!F6/CE_Scale,RoundPlace)</f>
        <v>103</v>
      </c>
      <c r="G6" s="39">
        <f>+ROUND('Table 4-4'!G6/CE_Scale,RoundPlace)</f>
        <v>83</v>
      </c>
      <c r="H6" s="53">
        <f>+'Table 4-4'!H6</f>
        <v>10076.666666666666</v>
      </c>
      <c r="I6" s="53">
        <f>+'Table 4-4'!I6</f>
        <v>10416.666666666666</v>
      </c>
      <c r="J6" s="39">
        <f>+ROUND('Table 4-4'!J6/CE_Scale,RoundPlace)</f>
        <v>90</v>
      </c>
      <c r="K6" s="39">
        <f>+ROUND('Table 4-4'!K6/CE_Scale,RoundPlace)</f>
        <v>89</v>
      </c>
      <c r="L6" s="40">
        <f>+'Table 4-4'!L6</f>
        <v>6.2143902238054587E-3</v>
      </c>
      <c r="M6" s="47" t="str">
        <f>+'Table 4-4'!M6</f>
        <v>NO</v>
      </c>
      <c r="N6" s="47" t="str">
        <f>+'Table 4-4'!N6</f>
        <v>NO</v>
      </c>
      <c r="U6" s="2"/>
    </row>
    <row r="7" spans="1:21" x14ac:dyDescent="0.25">
      <c r="A7" s="58" t="str">
        <f>+'Table 4-4'!A11</f>
        <v>Analysis (b) Voclosporin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60"/>
    </row>
    <row r="8" spans="1:21" x14ac:dyDescent="0.25">
      <c r="A8" s="36" t="str">
        <f>+'Table 4-4'!A12</f>
        <v>Cost per month - Complete response</v>
      </c>
      <c r="B8" s="42">
        <f>+'Table 4-4'!B12</f>
        <v>655.91666666666663</v>
      </c>
      <c r="C8" s="42">
        <f>+'Table 4-4'!C12</f>
        <v>500</v>
      </c>
      <c r="D8" s="42">
        <f>+'Table 4-4'!D12</f>
        <v>1000</v>
      </c>
      <c r="E8" s="39">
        <f>+ROUND('Table 4-4'!E12/CE_Scale,RoundPlace)</f>
        <v>149</v>
      </c>
      <c r="F8" s="39">
        <f>+ROUND('Table 4-4'!F12/CE_Scale,RoundPlace)</f>
        <v>144</v>
      </c>
      <c r="G8" s="39">
        <f>+ROUND('Table 4-4'!G12/CE_Scale,RoundPlace)</f>
        <v>168</v>
      </c>
      <c r="H8" s="53">
        <f>+'Table 4-4'!H12</f>
        <v>655.91666666666663</v>
      </c>
      <c r="I8" s="53">
        <f>+'Table 4-4'!I12</f>
        <v>1575.8333333333333</v>
      </c>
      <c r="J8" s="39">
        <f>+ROUND('Table 4-4'!J12/CE_Scale,RoundPlace)</f>
        <v>149</v>
      </c>
      <c r="K8" s="39">
        <f>+ROUND('Table 4-4'!K12/CE_Scale,RoundPlace)</f>
        <v>222</v>
      </c>
      <c r="L8" s="40">
        <f>+'Table 4-4'!L12</f>
        <v>0.24422443433940769</v>
      </c>
      <c r="M8" s="40" t="str">
        <f>+'Table 4-4'!M12</f>
        <v>NO</v>
      </c>
      <c r="N8" s="40" t="str">
        <f>+'Table 4-4'!N12</f>
        <v>YES</v>
      </c>
    </row>
    <row r="9" spans="1:21" x14ac:dyDescent="0.25">
      <c r="A9" s="36" t="str">
        <f>+'Table 4-4'!A13</f>
        <v>Cost per month - Active disease</v>
      </c>
      <c r="B9" s="42">
        <f>+'Table 4-4'!B13</f>
        <v>3542.5</v>
      </c>
      <c r="C9" s="42">
        <f>+'Table 4-4'!C13</f>
        <v>3000</v>
      </c>
      <c r="D9" s="42">
        <f>+'Table 4-4'!D13</f>
        <v>7000</v>
      </c>
      <c r="E9" s="39">
        <f>+ROUND('Table 4-4'!E13/CE_Scale,RoundPlace)</f>
        <v>149</v>
      </c>
      <c r="F9" s="39">
        <f>+ROUND('Table 4-4'!F13/CE_Scale,RoundPlace)</f>
        <v>162</v>
      </c>
      <c r="G9" s="39">
        <f>+ROUND('Table 4-4'!G13/CE_Scale,RoundPlace)</f>
        <v>70</v>
      </c>
      <c r="H9" s="53">
        <f>+'Table 4-4'!H13</f>
        <v>3542.5</v>
      </c>
      <c r="I9" s="53">
        <f>+'Table 4-4'!I13</f>
        <v>4916.666666666667</v>
      </c>
      <c r="J9" s="39">
        <f>+ROUND('Table 4-4'!J13/CE_Scale,RoundPlace)</f>
        <v>149</v>
      </c>
      <c r="K9" s="39">
        <f>+ROUND('Table 4-4'!K13/CE_Scale,RoundPlace)</f>
        <v>118</v>
      </c>
      <c r="L9" s="40">
        <f>+'Table 4-4'!L13</f>
        <v>0.10512129878481909</v>
      </c>
      <c r="M9" s="40" t="str">
        <f>+'Table 4-4'!M13</f>
        <v>NO</v>
      </c>
      <c r="N9" s="40" t="str">
        <f>+'Table 4-4'!N13</f>
        <v>NO</v>
      </c>
    </row>
    <row r="10" spans="1:21" x14ac:dyDescent="0.25">
      <c r="A10" s="36" t="str">
        <f>+'Table 4-4'!A14</f>
        <v>Cost per month - End stage renal disease</v>
      </c>
      <c r="B10" s="42">
        <f>+'Table 4-4'!B14</f>
        <v>10076.666666666666</v>
      </c>
      <c r="C10" s="42">
        <f>+'Table 4-4'!C14</f>
        <v>6000</v>
      </c>
      <c r="D10" s="42">
        <f>+'Table 4-4'!D14</f>
        <v>12000</v>
      </c>
      <c r="E10" s="39">
        <f>+ROUND('Table 4-4'!E14/CE_Scale,RoundPlace)</f>
        <v>149</v>
      </c>
      <c r="F10" s="39">
        <f>+ROUND('Table 4-4'!F14/CE_Scale,RoundPlace)</f>
        <v>156</v>
      </c>
      <c r="G10" s="39">
        <f>+ROUND('Table 4-4'!G14/CE_Scale,RoundPlace)</f>
        <v>146</v>
      </c>
      <c r="H10" s="53">
        <f>+'Table 4-4'!H14</f>
        <v>10076.666666666666</v>
      </c>
      <c r="I10" s="53">
        <f>+'Table 4-4'!I14</f>
        <v>10416.666666666666</v>
      </c>
      <c r="J10" s="39">
        <f>+ROUND('Table 4-4'!J14/CE_Scale,RoundPlace)</f>
        <v>149</v>
      </c>
      <c r="K10" s="39">
        <f>+ROUND('Table 4-4'!K14/CE_Scale,RoundPlace)</f>
        <v>149</v>
      </c>
      <c r="L10" s="40">
        <f>+'Table 4-4'!L14</f>
        <v>1.7570747287383478E-3</v>
      </c>
      <c r="M10" s="40" t="str">
        <f>+'Table 4-4'!M14</f>
        <v>NO</v>
      </c>
      <c r="N10" s="40" t="str">
        <f>+'Table 4-4'!N14</f>
        <v>NO</v>
      </c>
    </row>
  </sheetData>
  <mergeCells count="5">
    <mergeCell ref="B1:D1"/>
    <mergeCell ref="E1:G1"/>
    <mergeCell ref="H1:I1"/>
    <mergeCell ref="J1:K1"/>
    <mergeCell ref="L1:N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A630-5905-49B8-ACB1-C7C7CDB9D516}">
  <sheetPr>
    <tabColor rgb="FF92D050"/>
  </sheetPr>
  <dimension ref="A2:H37"/>
  <sheetViews>
    <sheetView topLeftCell="B1" zoomScale="115" zoomScaleNormal="115" workbookViewId="0">
      <selection activeCell="E4" sqref="E4"/>
    </sheetView>
  </sheetViews>
  <sheetFormatPr defaultRowHeight="15" x14ac:dyDescent="0.25"/>
  <cols>
    <col min="1" max="1" width="33.85546875" customWidth="1"/>
    <col min="2" max="2" width="37" customWidth="1"/>
    <col min="3" max="8" width="11.42578125" customWidth="1"/>
  </cols>
  <sheetData>
    <row r="2" spans="1:8" ht="30.75" customHeight="1" x14ac:dyDescent="0.25">
      <c r="C2" s="71" t="str">
        <f>+'Table 4-3 fmt'!A3</f>
        <v>Analysis (a) Belimumab</v>
      </c>
      <c r="D2" s="71"/>
      <c r="E2" s="71"/>
      <c r="F2" s="71"/>
      <c r="G2" s="71"/>
      <c r="H2" s="71"/>
    </row>
    <row r="3" spans="1:8" ht="30" x14ac:dyDescent="0.25">
      <c r="C3" s="30" t="s">
        <v>37</v>
      </c>
      <c r="D3" s="30" t="s">
        <v>28</v>
      </c>
      <c r="E3" s="30" t="s">
        <v>29</v>
      </c>
      <c r="F3" s="30" t="s">
        <v>40</v>
      </c>
      <c r="G3" s="30" t="s">
        <v>41</v>
      </c>
      <c r="H3" s="30" t="s">
        <v>38</v>
      </c>
    </row>
    <row r="4" spans="1:8" x14ac:dyDescent="0.25">
      <c r="A4" s="18" t="s">
        <v>39</v>
      </c>
      <c r="B4" s="18" t="str">
        <f>+'Table 4-3 fmt'!A4</f>
        <v>Utility weight - Complete response</v>
      </c>
      <c r="C4" s="33">
        <f>+'Table 4-3 fmt'!E4</f>
        <v>90</v>
      </c>
      <c r="D4" s="33">
        <f>+'Table 4-3 fmt'!J4</f>
        <v>90</v>
      </c>
      <c r="E4" s="33">
        <f>+'Table 4-3 fmt'!K4</f>
        <v>81</v>
      </c>
      <c r="F4" s="31"/>
      <c r="G4" s="31"/>
      <c r="H4" s="28">
        <f>H5+0.25</f>
        <v>1</v>
      </c>
    </row>
    <row r="5" spans="1:8" x14ac:dyDescent="0.25">
      <c r="A5" s="18"/>
      <c r="B5" s="18" t="str">
        <f>+'Table 4-3 fmt'!A5</f>
        <v>Utility weight - Partial response</v>
      </c>
      <c r="C5" s="33">
        <f>+'Table 4-3 fmt'!E5</f>
        <v>90</v>
      </c>
      <c r="D5" s="33">
        <f>+'Table 4-3 fmt'!J5</f>
        <v>90</v>
      </c>
      <c r="E5" s="33">
        <f>+'Table 4-3 fmt'!K5</f>
        <v>89</v>
      </c>
      <c r="F5" s="31"/>
      <c r="G5" s="31"/>
      <c r="H5" s="28">
        <f>H6+0.25</f>
        <v>0.75</v>
      </c>
    </row>
    <row r="6" spans="1:8" x14ac:dyDescent="0.25">
      <c r="A6" s="18"/>
      <c r="B6" s="18" t="str">
        <f>+'Table 4-3 fmt'!A6</f>
        <v>Utility weight - Active disease</v>
      </c>
      <c r="C6" s="33">
        <f>+'Table 4-3 fmt'!E6</f>
        <v>90</v>
      </c>
      <c r="D6" s="33">
        <f>+'Table 4-3 fmt'!J6</f>
        <v>90</v>
      </c>
      <c r="E6" s="33">
        <f>+'Table 4-3 fmt'!K6</f>
        <v>82</v>
      </c>
      <c r="F6" s="31"/>
      <c r="G6" s="31"/>
      <c r="H6" s="28">
        <v>0.5</v>
      </c>
    </row>
    <row r="7" spans="1:8" x14ac:dyDescent="0.25">
      <c r="A7" s="18"/>
      <c r="B7" s="18"/>
      <c r="C7" s="33"/>
      <c r="D7" s="33"/>
      <c r="E7" s="33"/>
      <c r="F7" s="31"/>
      <c r="G7" s="31"/>
      <c r="H7" s="27"/>
    </row>
    <row r="8" spans="1:8" x14ac:dyDescent="0.25">
      <c r="A8" s="18"/>
      <c r="B8" s="18"/>
      <c r="C8" s="34"/>
      <c r="D8" s="34"/>
      <c r="E8" s="34"/>
      <c r="F8" s="18"/>
      <c r="G8" s="18"/>
      <c r="H8" s="18"/>
    </row>
    <row r="9" spans="1:8" x14ac:dyDescent="0.25">
      <c r="A9" s="18" t="s">
        <v>84</v>
      </c>
      <c r="B9" s="18" t="str">
        <f>+'Table 4-4 fmt'!A4</f>
        <v>Cost per month - Complete response</v>
      </c>
      <c r="C9" s="34">
        <f>+'Table 4-4 fmt'!E4</f>
        <v>90</v>
      </c>
      <c r="D9" s="34">
        <f>+'Table 4-4 fmt'!J4</f>
        <v>90</v>
      </c>
      <c r="E9" s="34">
        <f>+'Table 4-4 fmt'!K4</f>
        <v>124</v>
      </c>
      <c r="F9" s="32"/>
      <c r="G9" s="32"/>
      <c r="H9" s="28">
        <f>H10+0.25</f>
        <v>2.5</v>
      </c>
    </row>
    <row r="10" spans="1:8" x14ac:dyDescent="0.25">
      <c r="A10" s="18"/>
      <c r="B10" s="18" t="str">
        <f>+'Table 4-4 fmt'!A5</f>
        <v>Cost per month - Active disease</v>
      </c>
      <c r="C10" s="34">
        <f>+'Table 4-4 fmt'!E5</f>
        <v>90</v>
      </c>
      <c r="D10" s="34">
        <f>+'Table 4-4 fmt'!J5</f>
        <v>90</v>
      </c>
      <c r="E10" s="34">
        <f>+'Table 4-4 fmt'!K5</f>
        <v>53</v>
      </c>
      <c r="F10" s="32"/>
      <c r="G10" s="32"/>
      <c r="H10" s="28">
        <f>H11+0.25</f>
        <v>2.25</v>
      </c>
    </row>
    <row r="11" spans="1:8" x14ac:dyDescent="0.25">
      <c r="A11" s="18"/>
      <c r="B11" s="18" t="str">
        <f>+'Table 4-4 fmt'!A6</f>
        <v>Cost per month - End stage renal disease</v>
      </c>
      <c r="C11" s="34">
        <f>+'Table 4-4 fmt'!E6</f>
        <v>90</v>
      </c>
      <c r="D11" s="34">
        <f>+'Table 4-4 fmt'!J6</f>
        <v>90</v>
      </c>
      <c r="E11" s="34">
        <f>+'Table 4-4 fmt'!K6</f>
        <v>89</v>
      </c>
      <c r="F11" s="18"/>
      <c r="G11" s="18"/>
      <c r="H11" s="28">
        <v>2</v>
      </c>
    </row>
    <row r="12" spans="1:8" x14ac:dyDescent="0.25">
      <c r="A12" s="18"/>
    </row>
    <row r="13" spans="1:8" x14ac:dyDescent="0.25">
      <c r="A13" s="18"/>
      <c r="B13" s="18"/>
      <c r="C13" s="18"/>
      <c r="D13" s="18"/>
      <c r="E13" s="18"/>
      <c r="F13" s="18"/>
      <c r="G13" s="18"/>
      <c r="H13" s="18"/>
    </row>
    <row r="14" spans="1:8" x14ac:dyDescent="0.25">
      <c r="A14" s="18"/>
      <c r="B14" s="18"/>
      <c r="C14" s="18"/>
      <c r="D14" s="18"/>
      <c r="E14" s="18"/>
      <c r="F14" s="18">
        <v>100</v>
      </c>
      <c r="G14" s="18"/>
      <c r="H14" s="18">
        <v>0</v>
      </c>
    </row>
    <row r="15" spans="1:8" x14ac:dyDescent="0.25">
      <c r="A15" s="18"/>
      <c r="B15" s="18"/>
      <c r="C15" s="18"/>
      <c r="D15" s="18"/>
      <c r="E15" s="18"/>
      <c r="F15" s="18">
        <v>100</v>
      </c>
      <c r="G15" s="18"/>
      <c r="H15" s="18">
        <v>3</v>
      </c>
    </row>
    <row r="16" spans="1:8" x14ac:dyDescent="0.25">
      <c r="A16" s="18"/>
      <c r="B16" s="18"/>
      <c r="C16" s="18"/>
      <c r="D16" s="18"/>
      <c r="E16" s="18"/>
      <c r="F16" s="18"/>
      <c r="G16" s="18"/>
      <c r="H16" s="18"/>
    </row>
    <row r="17" spans="1:8" x14ac:dyDescent="0.25">
      <c r="A17" s="18"/>
      <c r="B17" s="18"/>
      <c r="C17" s="18"/>
      <c r="D17" s="18"/>
      <c r="E17" s="18"/>
      <c r="F17" s="18"/>
      <c r="G17" s="18">
        <v>150</v>
      </c>
      <c r="H17" s="18">
        <v>0</v>
      </c>
    </row>
    <row r="18" spans="1:8" x14ac:dyDescent="0.25">
      <c r="A18" s="18"/>
      <c r="B18" s="18"/>
      <c r="C18" s="18"/>
      <c r="D18" s="18"/>
      <c r="E18" s="18"/>
      <c r="F18" s="18"/>
      <c r="G18" s="18">
        <v>150</v>
      </c>
      <c r="H18" s="18">
        <v>3</v>
      </c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C20" s="71" t="str">
        <f>+'Table 4-3 fmt'!A7</f>
        <v>Analysis (b) Voclosporin</v>
      </c>
      <c r="D20" s="71"/>
      <c r="E20" s="71"/>
      <c r="F20" s="71"/>
      <c r="G20" s="71"/>
      <c r="H20" s="71"/>
    </row>
    <row r="21" spans="1:8" ht="30" x14ac:dyDescent="0.25">
      <c r="C21" s="30" t="s">
        <v>37</v>
      </c>
      <c r="D21" s="30" t="s">
        <v>28</v>
      </c>
      <c r="E21" s="30" t="s">
        <v>29</v>
      </c>
      <c r="F21" s="30" t="s">
        <v>40</v>
      </c>
      <c r="G21" s="30" t="s">
        <v>41</v>
      </c>
      <c r="H21" s="30" t="s">
        <v>38</v>
      </c>
    </row>
    <row r="22" spans="1:8" x14ac:dyDescent="0.25">
      <c r="A22" s="18" t="s">
        <v>39</v>
      </c>
      <c r="B22" s="18" t="str">
        <f>+'Table 4-3 fmt'!A8</f>
        <v>Utility weight - Complete response</v>
      </c>
      <c r="C22" s="33">
        <f>+'Table 4-3 fmt'!E8</f>
        <v>149</v>
      </c>
      <c r="D22" s="33">
        <f>+'Table 4-3 fmt'!J8</f>
        <v>149</v>
      </c>
      <c r="E22" s="33">
        <f>+'Table 4-3 fmt'!K8</f>
        <v>155</v>
      </c>
      <c r="F22" s="31"/>
      <c r="G22" s="31"/>
      <c r="H22" s="28">
        <f>H23+0.25</f>
        <v>1</v>
      </c>
    </row>
    <row r="23" spans="1:8" x14ac:dyDescent="0.25">
      <c r="A23" s="18"/>
      <c r="B23" s="18" t="str">
        <f>+'Table 4-3 fmt'!A9</f>
        <v>Utility weight - Partial response</v>
      </c>
      <c r="C23" s="33">
        <f>+'Table 4-3 fmt'!E9</f>
        <v>149</v>
      </c>
      <c r="D23" s="33">
        <f>+'Table 4-3 fmt'!J9</f>
        <v>149</v>
      </c>
      <c r="E23" s="33">
        <f>+'Table 4-3 fmt'!K9</f>
        <v>150</v>
      </c>
      <c r="F23" s="31"/>
      <c r="G23" s="31"/>
      <c r="H23" s="28">
        <f>H24+0.25</f>
        <v>0.75</v>
      </c>
    </row>
    <row r="24" spans="1:8" x14ac:dyDescent="0.25">
      <c r="A24" s="18"/>
      <c r="B24" s="18" t="str">
        <f>+'Table 4-3 fmt'!A10</f>
        <v>Utility weight - Active disease</v>
      </c>
      <c r="C24" s="33">
        <f>+'Table 4-3 fmt'!E10</f>
        <v>149</v>
      </c>
      <c r="D24" s="33">
        <f>+'Table 4-3 fmt'!J10</f>
        <v>165</v>
      </c>
      <c r="E24" s="33">
        <f>+'Table 4-3 fmt'!K10</f>
        <v>194</v>
      </c>
      <c r="F24" s="31"/>
      <c r="G24" s="31"/>
      <c r="H24" s="28">
        <v>0.5</v>
      </c>
    </row>
    <row r="25" spans="1:8" x14ac:dyDescent="0.25">
      <c r="A25" s="18"/>
      <c r="B25" s="18"/>
      <c r="C25" s="33"/>
      <c r="D25" s="33"/>
      <c r="E25" s="33"/>
      <c r="F25" s="31"/>
      <c r="G25" s="31"/>
      <c r="H25" s="28"/>
    </row>
    <row r="26" spans="1:8" x14ac:dyDescent="0.25">
      <c r="A26" s="18"/>
      <c r="B26" s="18"/>
      <c r="C26" s="34"/>
      <c r="D26" s="34"/>
      <c r="E26" s="34"/>
      <c r="F26" s="18"/>
      <c r="G26" s="18"/>
      <c r="H26" s="18"/>
    </row>
    <row r="27" spans="1:8" x14ac:dyDescent="0.25">
      <c r="A27" s="18" t="str">
        <f>+A9</f>
        <v>Monthly costs</v>
      </c>
      <c r="B27" s="18" t="str">
        <f>+'Table 4-4 fmt'!A8</f>
        <v>Cost per month - Complete response</v>
      </c>
      <c r="C27" s="34">
        <f>+'Table 4-4 fmt'!E8</f>
        <v>149</v>
      </c>
      <c r="D27" s="33">
        <f>+'Table 4-4 fmt'!J8</f>
        <v>149</v>
      </c>
      <c r="E27" s="33">
        <f>+'Table 4-4 fmt'!K8</f>
        <v>222</v>
      </c>
      <c r="F27" s="32"/>
      <c r="G27" s="32"/>
      <c r="H27" s="28">
        <f>H28+0.25</f>
        <v>2.5</v>
      </c>
    </row>
    <row r="28" spans="1:8" x14ac:dyDescent="0.25">
      <c r="A28" s="18"/>
      <c r="B28" s="18" t="str">
        <f>+'Table 4-4 fmt'!A9</f>
        <v>Cost per month - Active disease</v>
      </c>
      <c r="C28" s="34">
        <f>+'Table 4-4 fmt'!E9</f>
        <v>149</v>
      </c>
      <c r="D28" s="33">
        <f>+'Table 4-4 fmt'!J9</f>
        <v>149</v>
      </c>
      <c r="E28" s="33">
        <f>+'Table 4-4 fmt'!K9</f>
        <v>118</v>
      </c>
      <c r="F28" s="32"/>
      <c r="G28" s="32"/>
      <c r="H28" s="28">
        <f>H29+0.25</f>
        <v>2.25</v>
      </c>
    </row>
    <row r="29" spans="1:8" x14ac:dyDescent="0.25">
      <c r="A29" s="18"/>
      <c r="B29" s="18" t="str">
        <f>+'Table 4-4 fmt'!A10</f>
        <v>Cost per month - End stage renal disease</v>
      </c>
      <c r="C29" s="34">
        <f>+'Table 4-4 fmt'!E10</f>
        <v>149</v>
      </c>
      <c r="D29" s="33">
        <f>+'Table 4-4 fmt'!J10</f>
        <v>149</v>
      </c>
      <c r="E29" s="33">
        <f>+'Table 4-4 fmt'!K10</f>
        <v>149</v>
      </c>
      <c r="F29" s="18"/>
      <c r="G29" s="18"/>
      <c r="H29" s="28">
        <v>2</v>
      </c>
    </row>
    <row r="30" spans="1:8" x14ac:dyDescent="0.25">
      <c r="A30" s="18"/>
    </row>
    <row r="31" spans="1:8" x14ac:dyDescent="0.25">
      <c r="A31" s="18"/>
      <c r="B31" s="18"/>
      <c r="C31" s="34"/>
      <c r="D31" s="34"/>
      <c r="E31" s="34"/>
      <c r="F31" s="32"/>
      <c r="G31" s="32"/>
      <c r="H31" s="27"/>
    </row>
    <row r="32" spans="1:8" x14ac:dyDescent="0.25">
      <c r="A32" s="18"/>
      <c r="B32" s="18"/>
      <c r="C32" s="18"/>
      <c r="D32" s="18"/>
      <c r="E32" s="18"/>
      <c r="F32" s="18"/>
      <c r="G32" s="18"/>
      <c r="H32" s="18"/>
    </row>
    <row r="33" spans="1:8" x14ac:dyDescent="0.25">
      <c r="A33" s="18"/>
      <c r="B33" s="18"/>
      <c r="C33" s="18"/>
      <c r="D33" s="18"/>
      <c r="E33" s="18"/>
      <c r="F33" s="18">
        <v>100</v>
      </c>
      <c r="G33" s="18"/>
      <c r="H33" s="27">
        <v>0</v>
      </c>
    </row>
    <row r="34" spans="1:8" x14ac:dyDescent="0.25">
      <c r="A34" s="18"/>
      <c r="B34" s="18"/>
      <c r="C34" s="18"/>
      <c r="D34" s="18"/>
      <c r="E34" s="18"/>
      <c r="F34" s="18">
        <v>100</v>
      </c>
      <c r="G34" s="18"/>
      <c r="H34" s="18">
        <v>3</v>
      </c>
    </row>
    <row r="35" spans="1:8" x14ac:dyDescent="0.25">
      <c r="A35" s="18"/>
      <c r="B35" s="18"/>
      <c r="C35" s="18"/>
      <c r="D35" s="18"/>
      <c r="E35" s="18"/>
      <c r="F35" s="18"/>
      <c r="G35" s="18"/>
      <c r="H35" s="28"/>
    </row>
    <row r="36" spans="1:8" x14ac:dyDescent="0.25">
      <c r="A36" s="18"/>
      <c r="B36" s="18"/>
      <c r="C36" s="18"/>
      <c r="D36" s="18"/>
      <c r="E36" s="18"/>
      <c r="F36" s="18"/>
      <c r="G36" s="18">
        <v>150</v>
      </c>
      <c r="H36" s="28">
        <v>0</v>
      </c>
    </row>
    <row r="37" spans="1:8" x14ac:dyDescent="0.25">
      <c r="A37" s="18"/>
      <c r="B37" s="18"/>
      <c r="C37" s="18"/>
      <c r="D37" s="18"/>
      <c r="E37" s="18"/>
      <c r="F37" s="18"/>
      <c r="G37" s="18">
        <v>150</v>
      </c>
      <c r="H37" s="18">
        <v>3</v>
      </c>
    </row>
  </sheetData>
  <mergeCells count="2">
    <mergeCell ref="C2:H2"/>
    <mergeCell ref="C20:H20"/>
  </mergeCells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A206-F032-4137-AD23-322BFCD17C34}">
  <sheetPr>
    <tabColor rgb="FF92D050"/>
  </sheetPr>
  <dimension ref="A2:H31"/>
  <sheetViews>
    <sheetView topLeftCell="B1" zoomScale="130" zoomScaleNormal="130" workbookViewId="0">
      <selection activeCell="E24" sqref="E24"/>
    </sheetView>
  </sheetViews>
  <sheetFormatPr defaultRowHeight="15" x14ac:dyDescent="0.25"/>
  <cols>
    <col min="1" max="1" width="33.85546875" customWidth="1"/>
    <col min="2" max="2" width="37" customWidth="1"/>
    <col min="3" max="8" width="11.42578125" customWidth="1"/>
  </cols>
  <sheetData>
    <row r="2" spans="1:8" ht="30.75" customHeight="1" x14ac:dyDescent="0.25">
      <c r="C2" s="71"/>
      <c r="D2" s="71"/>
      <c r="E2" s="71"/>
      <c r="F2" s="71"/>
      <c r="G2" s="71"/>
      <c r="H2" s="71"/>
    </row>
    <row r="3" spans="1:8" ht="30" x14ac:dyDescent="0.25">
      <c r="B3" s="19" t="str">
        <f>+Figures!C2</f>
        <v>Analysis (a) Belimumab</v>
      </c>
      <c r="C3" s="61" t="s">
        <v>37</v>
      </c>
      <c r="D3" s="61" t="s">
        <v>28</v>
      </c>
      <c r="E3" s="61" t="s">
        <v>29</v>
      </c>
      <c r="F3" s="61" t="s">
        <v>40</v>
      </c>
      <c r="G3" s="61" t="s">
        <v>41</v>
      </c>
      <c r="H3" s="61" t="s">
        <v>38</v>
      </c>
    </row>
    <row r="4" spans="1:8" x14ac:dyDescent="0.25">
      <c r="A4" s="18" t="s">
        <v>39</v>
      </c>
      <c r="B4" s="18" t="str">
        <f>+'Table 4-3 fmt'!A4</f>
        <v>Utility weight - Complete response</v>
      </c>
      <c r="C4" s="33">
        <f>+'Table 4-3 fmt'!E4</f>
        <v>90</v>
      </c>
      <c r="D4" s="33">
        <f>+'Table 4-3 fmt'!J4</f>
        <v>90</v>
      </c>
      <c r="E4" s="33">
        <f>+'Table 4-3 fmt'!K4</f>
        <v>81</v>
      </c>
      <c r="F4" s="31"/>
      <c r="G4" s="31"/>
      <c r="H4" s="28">
        <v>3.5</v>
      </c>
    </row>
    <row r="5" spans="1:8" x14ac:dyDescent="0.25">
      <c r="A5" s="18"/>
      <c r="B5" s="18" t="str">
        <f>+'Table 4-3 fmt'!A5</f>
        <v>Utility weight - Partial response</v>
      </c>
      <c r="C5" s="33">
        <f>+'Table 4-3 fmt'!E5</f>
        <v>90</v>
      </c>
      <c r="D5" s="33">
        <f>+'Table 4-3 fmt'!J5</f>
        <v>90</v>
      </c>
      <c r="E5" s="33">
        <f>+'Table 4-3 fmt'!K5</f>
        <v>89</v>
      </c>
      <c r="F5" s="31"/>
      <c r="G5" s="31"/>
      <c r="H5" s="28">
        <f>+H$4</f>
        <v>3.5</v>
      </c>
    </row>
    <row r="6" spans="1:8" x14ac:dyDescent="0.25">
      <c r="A6" s="18"/>
      <c r="B6" s="18" t="str">
        <f>+'Table 4-3 fmt'!A6</f>
        <v>Utility weight - Active disease</v>
      </c>
      <c r="C6" s="33">
        <f>+'Table 4-3 fmt'!E6</f>
        <v>90</v>
      </c>
      <c r="D6" s="33">
        <f>+'Table 4-3 fmt'!J6</f>
        <v>90</v>
      </c>
      <c r="E6" s="33">
        <f>+'Table 4-3 fmt'!K6</f>
        <v>82</v>
      </c>
      <c r="F6" s="31"/>
      <c r="G6" s="31"/>
      <c r="H6" s="28">
        <f>+H$4</f>
        <v>3.5</v>
      </c>
    </row>
    <row r="7" spans="1:8" x14ac:dyDescent="0.25">
      <c r="A7" s="18"/>
      <c r="B7" s="18"/>
      <c r="C7" s="33"/>
      <c r="D7" s="33"/>
      <c r="E7" s="33"/>
      <c r="F7" s="31"/>
      <c r="G7" s="31"/>
      <c r="H7" s="28"/>
    </row>
    <row r="8" spans="1:8" x14ac:dyDescent="0.25">
      <c r="A8" s="18"/>
      <c r="B8" s="18"/>
      <c r="C8" s="34"/>
      <c r="D8" s="34"/>
      <c r="E8" s="34"/>
      <c r="F8" s="18"/>
      <c r="G8" s="18"/>
      <c r="H8" s="18"/>
    </row>
    <row r="9" spans="1:8" x14ac:dyDescent="0.25">
      <c r="A9" s="18" t="s">
        <v>84</v>
      </c>
      <c r="B9" s="18" t="str">
        <f>+'Table 4-4 fmt'!A4</f>
        <v>Cost per month - Complete response</v>
      </c>
      <c r="C9" s="34">
        <f>+'Table 4-4 fmt'!E4</f>
        <v>90</v>
      </c>
      <c r="D9" s="34">
        <f>+'Table 4-4 fmt'!J4</f>
        <v>90</v>
      </c>
      <c r="E9" s="34">
        <f>+'Table 4-4 fmt'!K4</f>
        <v>124</v>
      </c>
      <c r="F9" s="32"/>
      <c r="G9" s="32"/>
      <c r="H9" s="28">
        <v>2.5</v>
      </c>
    </row>
    <row r="10" spans="1:8" x14ac:dyDescent="0.25">
      <c r="A10" s="18"/>
      <c r="B10" s="18" t="str">
        <f>+'Table 4-4 fmt'!A5</f>
        <v>Cost per month - Active disease</v>
      </c>
      <c r="C10" s="34">
        <f>+'Table 4-4 fmt'!E5</f>
        <v>90</v>
      </c>
      <c r="D10" s="34">
        <f>+'Table 4-4 fmt'!J5</f>
        <v>90</v>
      </c>
      <c r="E10" s="34">
        <f>+'Table 4-4 fmt'!K5</f>
        <v>53</v>
      </c>
      <c r="F10" s="18"/>
      <c r="G10" s="18"/>
      <c r="H10" s="28">
        <f>H9</f>
        <v>2.5</v>
      </c>
    </row>
    <row r="11" spans="1:8" x14ac:dyDescent="0.25">
      <c r="A11" s="18"/>
      <c r="B11" s="18" t="str">
        <f>+'Table 4-4 fmt'!A6</f>
        <v>Cost per month - End stage renal disease</v>
      </c>
      <c r="C11" s="34">
        <f>+'Table 4-4 fmt'!E6</f>
        <v>90</v>
      </c>
      <c r="D11" s="34">
        <f>+'Table 4-4 fmt'!J6</f>
        <v>90</v>
      </c>
      <c r="E11" s="34">
        <f>+'Table 4-4 fmt'!K6</f>
        <v>89</v>
      </c>
      <c r="F11" s="32"/>
      <c r="G11" s="32"/>
      <c r="H11" s="28">
        <f>H10</f>
        <v>2.5</v>
      </c>
    </row>
    <row r="12" spans="1:8" x14ac:dyDescent="0.25">
      <c r="A12" s="18"/>
      <c r="F12" s="18"/>
      <c r="G12" s="18"/>
      <c r="H12" s="28"/>
    </row>
    <row r="13" spans="1:8" x14ac:dyDescent="0.25">
      <c r="A13" s="18"/>
      <c r="B13" s="18"/>
      <c r="C13" s="34"/>
      <c r="D13" s="34"/>
      <c r="E13" s="34"/>
      <c r="F13" s="18"/>
      <c r="G13" s="18"/>
      <c r="H13" s="28"/>
    </row>
    <row r="14" spans="1:8" ht="15" customHeight="1" x14ac:dyDescent="0.25">
      <c r="A14" s="18"/>
      <c r="B14" s="19" t="str">
        <f>+Figures!C20</f>
        <v>Analysis (b) Voclosporin</v>
      </c>
      <c r="C14" s="34"/>
      <c r="D14" s="34"/>
      <c r="E14" s="34"/>
      <c r="F14" s="32"/>
      <c r="G14" s="32"/>
      <c r="H14" s="28"/>
    </row>
    <row r="15" spans="1:8" x14ac:dyDescent="0.25">
      <c r="A15" s="18" t="s">
        <v>39</v>
      </c>
      <c r="B15" s="18" t="str">
        <f>+'Table 4-3 fmt'!A8</f>
        <v>Utility weight - Complete response</v>
      </c>
      <c r="C15" s="34">
        <f>+'Table 4-3 fmt'!E8</f>
        <v>149</v>
      </c>
      <c r="D15" s="34">
        <f>+'Table 4-3 fmt'!J8</f>
        <v>149</v>
      </c>
      <c r="E15" s="34">
        <f>+'Table 4-3 fmt'!K8</f>
        <v>155</v>
      </c>
      <c r="F15" s="32"/>
      <c r="G15" s="32"/>
      <c r="H15" s="28">
        <v>1.5</v>
      </c>
    </row>
    <row r="16" spans="1:8" x14ac:dyDescent="0.25">
      <c r="A16" s="18"/>
      <c r="B16" s="18" t="str">
        <f>+'Table 4-3 fmt'!A9</f>
        <v>Utility weight - Partial response</v>
      </c>
      <c r="C16" s="34">
        <f>+'Table 4-3 fmt'!E9</f>
        <v>149</v>
      </c>
      <c r="D16" s="34">
        <f>+'Table 4-3 fmt'!J9</f>
        <v>149</v>
      </c>
      <c r="E16" s="34">
        <f>+'Table 4-3 fmt'!K9</f>
        <v>150</v>
      </c>
      <c r="F16" s="32"/>
      <c r="G16" s="32"/>
      <c r="H16" s="28">
        <f>+H$15</f>
        <v>1.5</v>
      </c>
    </row>
    <row r="17" spans="1:8" x14ac:dyDescent="0.25">
      <c r="A17" s="18"/>
      <c r="B17" s="18" t="str">
        <f>+'Table 4-3 fmt'!A10</f>
        <v>Utility weight - Active disease</v>
      </c>
      <c r="C17" s="34">
        <f>+'Table 4-3 fmt'!E10</f>
        <v>149</v>
      </c>
      <c r="D17" s="34">
        <f>+'Table 4-3 fmt'!J10</f>
        <v>165</v>
      </c>
      <c r="E17" s="34">
        <f>+'Table 4-3 fmt'!K10</f>
        <v>194</v>
      </c>
      <c r="F17" s="32"/>
      <c r="G17" s="32"/>
      <c r="H17" s="28">
        <f t="shared" ref="H17" si="0">+H$15</f>
        <v>1.5</v>
      </c>
    </row>
    <row r="18" spans="1:8" x14ac:dyDescent="0.25">
      <c r="A18" s="18"/>
      <c r="B18" s="18"/>
      <c r="C18" s="34"/>
      <c r="D18" s="34"/>
      <c r="E18" s="34"/>
      <c r="F18" s="32"/>
      <c r="G18" s="32"/>
      <c r="H18" s="28"/>
    </row>
    <row r="19" spans="1:8" x14ac:dyDescent="0.25">
      <c r="A19" s="18"/>
      <c r="B19" s="18"/>
      <c r="C19" s="34"/>
      <c r="D19" s="34"/>
      <c r="E19" s="34"/>
      <c r="F19" s="32"/>
      <c r="G19" s="32"/>
      <c r="H19" s="28"/>
    </row>
    <row r="20" spans="1:8" x14ac:dyDescent="0.25">
      <c r="A20" s="18" t="s">
        <v>84</v>
      </c>
      <c r="B20" s="18" t="str">
        <f>+'Table 4-4 fmt'!A4</f>
        <v>Cost per month - Complete response</v>
      </c>
      <c r="C20" s="34">
        <f>+'Table 4-4 fmt'!E8</f>
        <v>149</v>
      </c>
      <c r="D20" s="34">
        <f>+'Table 4-4 fmt'!J8</f>
        <v>149</v>
      </c>
      <c r="E20" s="34">
        <f>+'Table 4-4 fmt'!K8</f>
        <v>222</v>
      </c>
      <c r="F20" s="32"/>
      <c r="G20" s="32"/>
      <c r="H20" s="28">
        <v>0.5</v>
      </c>
    </row>
    <row r="21" spans="1:8" x14ac:dyDescent="0.25">
      <c r="A21" s="18"/>
      <c r="B21" s="18" t="str">
        <f>+'Table 4-4 fmt'!A5</f>
        <v>Cost per month - Active disease</v>
      </c>
      <c r="C21" s="34">
        <f>+'Table 4-4 fmt'!E9</f>
        <v>149</v>
      </c>
      <c r="D21" s="34">
        <f>+'Table 4-4 fmt'!J9</f>
        <v>149</v>
      </c>
      <c r="E21" s="34">
        <f>+'Table 4-4 fmt'!K9</f>
        <v>118</v>
      </c>
      <c r="F21" s="32"/>
      <c r="G21" s="32"/>
      <c r="H21" s="28">
        <f>H20</f>
        <v>0.5</v>
      </c>
    </row>
    <row r="22" spans="1:8" x14ac:dyDescent="0.25">
      <c r="A22" s="18"/>
      <c r="B22" s="18" t="str">
        <f>+'Table 4-4 fmt'!A6</f>
        <v>Cost per month - End stage renal disease</v>
      </c>
      <c r="C22" s="34">
        <f>+'Table 4-4 fmt'!E10</f>
        <v>149</v>
      </c>
      <c r="D22" s="34">
        <f>+'Table 4-4 fmt'!J10</f>
        <v>149</v>
      </c>
      <c r="E22" s="34">
        <f>+'Table 4-4 fmt'!K10</f>
        <v>149</v>
      </c>
      <c r="F22" s="32"/>
      <c r="G22" s="32"/>
      <c r="H22" s="28">
        <f>H21</f>
        <v>0.5</v>
      </c>
    </row>
    <row r="23" spans="1:8" x14ac:dyDescent="0.25">
      <c r="A23" s="18"/>
      <c r="F23" s="32"/>
      <c r="G23" s="32"/>
      <c r="H23" s="28"/>
    </row>
    <row r="24" spans="1:8" x14ac:dyDescent="0.25">
      <c r="A24" s="18"/>
      <c r="B24" s="18"/>
      <c r="C24" s="34"/>
      <c r="D24" s="34"/>
      <c r="E24" s="34"/>
      <c r="F24" s="32"/>
      <c r="G24" s="32"/>
      <c r="H24" s="28"/>
    </row>
    <row r="25" spans="1:8" x14ac:dyDescent="0.25">
      <c r="A25" s="18"/>
      <c r="B25" s="18"/>
      <c r="C25" s="34"/>
      <c r="D25" s="34"/>
      <c r="E25" s="34"/>
      <c r="F25" s="32"/>
      <c r="G25" s="32"/>
      <c r="H25" s="28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>
        <v>100</v>
      </c>
      <c r="G27" s="18"/>
      <c r="H27" s="18">
        <v>0</v>
      </c>
    </row>
    <row r="28" spans="1:8" x14ac:dyDescent="0.25">
      <c r="A28" s="18"/>
      <c r="B28" s="18"/>
      <c r="C28" s="18"/>
      <c r="D28" s="18"/>
      <c r="E28" s="18"/>
      <c r="F28" s="18">
        <v>100</v>
      </c>
      <c r="G28" s="18"/>
      <c r="H28" s="18">
        <v>4</v>
      </c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  <row r="30" spans="1:8" x14ac:dyDescent="0.25">
      <c r="A30" s="18"/>
      <c r="B30" s="18"/>
      <c r="C30" s="18"/>
      <c r="D30" s="18"/>
      <c r="E30" s="18"/>
      <c r="F30" s="18"/>
      <c r="G30" s="18">
        <v>150</v>
      </c>
      <c r="H30" s="18">
        <v>0</v>
      </c>
    </row>
    <row r="31" spans="1:8" x14ac:dyDescent="0.25">
      <c r="A31" s="18"/>
      <c r="B31" s="18"/>
      <c r="C31" s="18"/>
      <c r="D31" s="18"/>
      <c r="E31" s="18"/>
      <c r="F31" s="18"/>
      <c r="G31" s="18">
        <v>150</v>
      </c>
      <c r="H31" s="18">
        <v>4</v>
      </c>
    </row>
  </sheetData>
  <mergeCells count="1">
    <mergeCell ref="C2:H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Display</vt:lpstr>
      <vt:lpstr>Table 4-3 - inputs</vt:lpstr>
      <vt:lpstr>Table 4-3</vt:lpstr>
      <vt:lpstr>Table 4-3 fmt</vt:lpstr>
      <vt:lpstr>Table 4-4 - inputs</vt:lpstr>
      <vt:lpstr>Table 4-4</vt:lpstr>
      <vt:lpstr>Table 4-4 fmt</vt:lpstr>
      <vt:lpstr>Figures</vt:lpstr>
      <vt:lpstr>Figures main</vt:lpstr>
      <vt:lpstr>Benchmark1</vt:lpstr>
      <vt:lpstr>Benchmark2</vt:lpstr>
      <vt:lpstr>CE_Scale</vt:lpstr>
      <vt:lpstr>RoundPlace</vt:lpstr>
      <vt:lpstr>'Table 4-4'!xRoundPlace</vt:lpstr>
    </vt:vector>
  </TitlesOfParts>
  <Company>Tufts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Joshua</dc:creator>
  <cp:lastModifiedBy>Cohen, Joshua</cp:lastModifiedBy>
  <dcterms:created xsi:type="dcterms:W3CDTF">2023-10-10T16:37:24Z</dcterms:created>
  <dcterms:modified xsi:type="dcterms:W3CDTF">2023-11-23T15:54:37Z</dcterms:modified>
</cp:coreProperties>
</file>