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EVR\Projects\NPC - HTA\13 - Manuscript\01 - Supplement\13 - Calculations\11 - Ovarian cancer - new\"/>
    </mc:Choice>
  </mc:AlternateContent>
  <xr:revisionPtr revIDLastSave="0" documentId="13_ncr:1_{274BCFED-425A-4F8B-9A58-F699464195F4}" xr6:coauthVersionLast="46" xr6:coauthVersionMax="46" xr10:uidLastSave="{00000000-0000-0000-0000-000000000000}"/>
  <bookViews>
    <workbookView xWindow="-120" yWindow="-120" windowWidth="29040" windowHeight="15840" xr2:uid="{642FAA30-0104-45DC-9564-C6529DF98A2A}"/>
  </bookViews>
  <sheets>
    <sheet name="Figures - Main" sheetId="21" r:id="rId1"/>
    <sheet name="Figures" sheetId="20" r:id="rId2"/>
    <sheet name="CS 1 - Table 1-1 fmt" sheetId="14" r:id="rId3"/>
    <sheet name="CS 1 - Table 1-2" sheetId="19" r:id="rId4"/>
    <sheet name="CS 1 - Table 1-3 fmt" sheetId="16" r:id="rId5"/>
    <sheet name="CS 1 - Table 1-4 fmt" sheetId="18" r:id="rId6"/>
    <sheet name="CS 1 - Table 1-1" sheetId="4" r:id="rId7"/>
    <sheet name="CS 1 - Table 1-3" sheetId="15" r:id="rId8"/>
    <sheet name="CS 1 - Table 1-4" sheetId="17" r:id="rId9"/>
    <sheet name="ICER Base case" sheetId="11" r:id="rId10"/>
    <sheet name="ICER Table 5pt3" sheetId="5" r:id="rId11"/>
    <sheet name="ICER Fig 5pt2" sheetId="12" r:id="rId12"/>
    <sheet name="ICER Fig 5pt3" sheetId="13" r:id="rId13"/>
    <sheet name="ICER Fig E1" sheetId="8" r:id="rId14"/>
    <sheet name="ICER Fig E2" sheetId="9" r:id="rId15"/>
    <sheet name="ICER Fig E3" sheetId="10" r:id="rId16"/>
  </sheets>
  <definedNames>
    <definedName name="Benchmark1" localSheetId="7">'CS 1 - Table 1-3'!$B$53</definedName>
    <definedName name="Benchmark1" localSheetId="8">'CS 1 - Table 1-4'!$B$53</definedName>
    <definedName name="Benchmark1">'CS 1 - Table 1-1'!$B$53</definedName>
    <definedName name="Benchmark2" localSheetId="7">'CS 1 - Table 1-3'!$B$54</definedName>
    <definedName name="Benchmark2" localSheetId="8">'CS 1 - Table 1-4'!$B$54</definedName>
    <definedName name="Benchmark2">'CS 1 - Table 1-1'!$B$54</definedName>
    <definedName name="CE_BC_nicaparib_Platinum">'ICER Base case'!$D$4</definedName>
    <definedName name="CE_BC_olaparib_BRCA">'ICER Base case'!$D$2</definedName>
    <definedName name="CE_BC_olaparib_Platinum">'ICER Base case'!$D$3</definedName>
    <definedName name="CE_BC_rucaparib_BRCA">'ICER Base case'!$D$5</definedName>
    <definedName name="CE_BC_rucaparib_Platinum">'ICER Base case'!$D$6</definedName>
    <definedName name="CE_Scale" localSheetId="3">'CS 1 - Table 1-2'!$B$21</definedName>
    <definedName name="CE_Scale" localSheetId="7">'CS 1 - Table 1-3'!$B$56</definedName>
    <definedName name="CE_Scale" localSheetId="8">'CS 1 - Table 1-4'!$B$56</definedName>
    <definedName name="CE_Scale">'CS 1 - Table 1-1'!$B$56</definedName>
    <definedName name="LDL_C_reduction">#REF!</definedName>
    <definedName name="RoundPlace" localSheetId="3">'CS 1 - Table 1-2'!$B$22</definedName>
    <definedName name="RoundPlace" localSheetId="7">'CS 1 - Table 1-3'!$B$57</definedName>
    <definedName name="RoundPlace" localSheetId="8">'CS 1 - Table 1-4'!$B$57</definedName>
    <definedName name="RoundPlace">'CS 1 - Table 1-1'!$B$57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1" l="1"/>
  <c r="E4" i="21"/>
  <c r="D39" i="21"/>
  <c r="E39" i="21"/>
  <c r="D40" i="21"/>
  <c r="E40" i="21"/>
  <c r="D41" i="21"/>
  <c r="E41" i="21"/>
  <c r="D42" i="21"/>
  <c r="E42" i="21"/>
  <c r="D43" i="21"/>
  <c r="E43" i="21"/>
  <c r="D44" i="21"/>
  <c r="E44" i="21"/>
  <c r="D45" i="21"/>
  <c r="E45" i="21"/>
  <c r="D46" i="21"/>
  <c r="E46" i="21"/>
  <c r="C40" i="21"/>
  <c r="C41" i="21"/>
  <c r="C42" i="21"/>
  <c r="C43" i="21"/>
  <c r="C44" i="21"/>
  <c r="C45" i="21"/>
  <c r="C46" i="21"/>
  <c r="C39" i="21"/>
  <c r="D29" i="21"/>
  <c r="E29" i="21"/>
  <c r="D30" i="21"/>
  <c r="E30" i="21"/>
  <c r="D31" i="21"/>
  <c r="E31" i="21"/>
  <c r="D32" i="21"/>
  <c r="E32" i="21"/>
  <c r="D33" i="21"/>
  <c r="E33" i="21"/>
  <c r="D34" i="21"/>
  <c r="E34" i="21"/>
  <c r="D35" i="21"/>
  <c r="E35" i="21"/>
  <c r="D36" i="21"/>
  <c r="E36" i="21"/>
  <c r="D37" i="21"/>
  <c r="E37" i="21"/>
  <c r="C30" i="21"/>
  <c r="C31" i="21"/>
  <c r="C32" i="21"/>
  <c r="C33" i="21"/>
  <c r="C34" i="21"/>
  <c r="C35" i="21"/>
  <c r="C36" i="21"/>
  <c r="C37" i="21"/>
  <c r="C29" i="21"/>
  <c r="C21" i="21"/>
  <c r="D21" i="21"/>
  <c r="E21" i="21"/>
  <c r="C22" i="21"/>
  <c r="D22" i="21"/>
  <c r="E22" i="21"/>
  <c r="C23" i="21"/>
  <c r="D23" i="21"/>
  <c r="E23" i="21"/>
  <c r="C24" i="21"/>
  <c r="D24" i="21"/>
  <c r="E24" i="21"/>
  <c r="C25" i="21"/>
  <c r="D25" i="21"/>
  <c r="E25" i="21"/>
  <c r="C26" i="21"/>
  <c r="D26" i="21"/>
  <c r="E26" i="21"/>
  <c r="C27" i="21"/>
  <c r="D27" i="21"/>
  <c r="E27" i="21"/>
  <c r="E20" i="21"/>
  <c r="D20" i="21"/>
  <c r="C20" i="21"/>
  <c r="E18" i="21"/>
  <c r="D18" i="21"/>
  <c r="C18" i="21"/>
  <c r="D17" i="21"/>
  <c r="C17" i="21"/>
  <c r="E16" i="21"/>
  <c r="D16" i="21"/>
  <c r="C16" i="21"/>
  <c r="E15" i="21"/>
  <c r="D15" i="21"/>
  <c r="C15" i="21"/>
  <c r="E14" i="21"/>
  <c r="D14" i="21"/>
  <c r="C14" i="21"/>
  <c r="E13" i="21"/>
  <c r="D13" i="21"/>
  <c r="C13" i="21"/>
  <c r="E12" i="21"/>
  <c r="D12" i="21"/>
  <c r="C12" i="21"/>
  <c r="E10" i="21"/>
  <c r="D10" i="21"/>
  <c r="C10" i="21"/>
  <c r="E9" i="21"/>
  <c r="D9" i="21"/>
  <c r="C9" i="21"/>
  <c r="E8" i="21"/>
  <c r="D8" i="21"/>
  <c r="C8" i="21"/>
  <c r="E7" i="21"/>
  <c r="D7" i="21"/>
  <c r="C7" i="21"/>
  <c r="E6" i="21"/>
  <c r="D6" i="21"/>
  <c r="C6" i="21"/>
  <c r="E5" i="21"/>
  <c r="D5" i="21"/>
  <c r="C5" i="21"/>
  <c r="D4" i="21"/>
  <c r="A13" i="21"/>
  <c r="B7" i="21"/>
  <c r="B6" i="21"/>
  <c r="B5" i="21"/>
  <c r="B4" i="21"/>
  <c r="C2" i="21"/>
  <c r="H89" i="20"/>
  <c r="H90" i="20"/>
  <c r="H91" i="20"/>
  <c r="H92" i="20"/>
  <c r="H93" i="20"/>
  <c r="B67" i="20"/>
  <c r="B68" i="20"/>
  <c r="B69" i="20"/>
  <c r="B70" i="20"/>
  <c r="B71" i="20"/>
  <c r="B72" i="20"/>
  <c r="B73" i="20"/>
  <c r="B66" i="20"/>
  <c r="H66" i="20"/>
  <c r="H67" i="20"/>
  <c r="H68" i="20"/>
  <c r="H69" i="20"/>
  <c r="H70" i="20"/>
  <c r="H71" i="20"/>
  <c r="H72" i="20"/>
  <c r="H44" i="20"/>
  <c r="H45" i="20"/>
  <c r="H46" i="20"/>
  <c r="H47" i="20"/>
  <c r="H48" i="20"/>
  <c r="H23" i="20"/>
  <c r="H24" i="20"/>
  <c r="H25" i="20"/>
  <c r="H4" i="20"/>
  <c r="H5" i="20"/>
  <c r="H6" i="20"/>
  <c r="H11" i="20"/>
  <c r="H13" i="20" s="1"/>
  <c r="H55" i="20"/>
  <c r="H53" i="20"/>
  <c r="L1" i="18"/>
  <c r="J1" i="18"/>
  <c r="H1" i="18"/>
  <c r="E1" i="18"/>
  <c r="B1" i="18"/>
  <c r="L1" i="16"/>
  <c r="J1" i="16"/>
  <c r="E1" i="16"/>
  <c r="B1" i="16"/>
  <c r="H1" i="16"/>
  <c r="E98" i="20"/>
  <c r="B90" i="20"/>
  <c r="B91" i="20"/>
  <c r="B92" i="20"/>
  <c r="B93" i="20"/>
  <c r="B94" i="20"/>
  <c r="B89" i="20"/>
  <c r="E51" i="20"/>
  <c r="B45" i="20"/>
  <c r="B46" i="20"/>
  <c r="B47" i="20"/>
  <c r="B48" i="20"/>
  <c r="B49" i="20"/>
  <c r="B44" i="20"/>
  <c r="E28" i="20"/>
  <c r="B26" i="20"/>
  <c r="B25" i="20"/>
  <c r="B24" i="20"/>
  <c r="B23" i="20"/>
  <c r="A32" i="20"/>
  <c r="A13" i="20"/>
  <c r="A5" i="16"/>
  <c r="A3" i="16"/>
  <c r="A5" i="18"/>
  <c r="A3" i="18"/>
  <c r="I10" i="18"/>
  <c r="H10" i="18"/>
  <c r="G10" i="18"/>
  <c r="F10" i="18"/>
  <c r="D10" i="18"/>
  <c r="C10" i="18"/>
  <c r="A10" i="18"/>
  <c r="A7" i="18"/>
  <c r="A9" i="18"/>
  <c r="A6" i="18"/>
  <c r="A8" i="18"/>
  <c r="I8" i="18"/>
  <c r="H8" i="18"/>
  <c r="G8" i="18"/>
  <c r="F8" i="18"/>
  <c r="D8" i="18"/>
  <c r="C8" i="18"/>
  <c r="I6" i="18"/>
  <c r="H6" i="18"/>
  <c r="G6" i="18"/>
  <c r="F6" i="18"/>
  <c r="D6" i="18"/>
  <c r="I4" i="18"/>
  <c r="H4" i="18"/>
  <c r="G4" i="18"/>
  <c r="F4" i="18"/>
  <c r="E4" i="18"/>
  <c r="C13" i="20" s="1"/>
  <c r="D4" i="18"/>
  <c r="A4" i="18"/>
  <c r="B7" i="20"/>
  <c r="B6" i="20"/>
  <c r="B5" i="20"/>
  <c r="B4" i="20"/>
  <c r="F7" i="19"/>
  <c r="D51" i="20" s="1"/>
  <c r="F9" i="19"/>
  <c r="D98" i="20" s="1"/>
  <c r="F8" i="19"/>
  <c r="C75" i="20" s="1"/>
  <c r="F5" i="19"/>
  <c r="D28" i="20" s="1"/>
  <c r="F4" i="19"/>
  <c r="D9" i="20" s="1"/>
  <c r="E9" i="19"/>
  <c r="D8" i="19"/>
  <c r="E7" i="19" s="1"/>
  <c r="D4" i="19"/>
  <c r="E5" i="19" s="1"/>
  <c r="G5" i="19" s="1"/>
  <c r="C6" i="18"/>
  <c r="C4" i="18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G45" i="17"/>
  <c r="F45" i="17"/>
  <c r="G21" i="17"/>
  <c r="F21" i="17"/>
  <c r="G12" i="17"/>
  <c r="AD14" i="17" s="1"/>
  <c r="F12" i="17"/>
  <c r="D45" i="17"/>
  <c r="C45" i="17"/>
  <c r="AC46" i="17" s="1"/>
  <c r="D21" i="17"/>
  <c r="C21" i="17"/>
  <c r="AC22" i="17" s="1"/>
  <c r="D12" i="17"/>
  <c r="C12" i="17"/>
  <c r="AC13" i="17" s="1"/>
  <c r="G4" i="17"/>
  <c r="AD6" i="17" s="1"/>
  <c r="F4" i="17"/>
  <c r="D4" i="17"/>
  <c r="C4" i="17"/>
  <c r="AC5" i="17" s="1"/>
  <c r="BL46" i="17"/>
  <c r="BF47" i="17"/>
  <c r="BE45" i="17"/>
  <c r="BP47" i="17"/>
  <c r="BM47" i="17"/>
  <c r="BL47" i="17"/>
  <c r="BI47" i="17"/>
  <c r="BE47" i="17"/>
  <c r="BB47" i="17"/>
  <c r="AY47" i="17"/>
  <c r="AX47" i="17"/>
  <c r="AU47" i="17"/>
  <c r="AR47" i="17"/>
  <c r="AQ47" i="17"/>
  <c r="AN47" i="17"/>
  <c r="AG47" i="17"/>
  <c r="AC47" i="17"/>
  <c r="AQ45" i="17"/>
  <c r="BP46" i="17"/>
  <c r="BM46" i="17"/>
  <c r="BI46" i="17"/>
  <c r="BF46" i="17"/>
  <c r="BE46" i="17"/>
  <c r="BB46" i="17"/>
  <c r="AY46" i="17"/>
  <c r="AX46" i="17"/>
  <c r="AU46" i="17"/>
  <c r="AR46" i="17"/>
  <c r="AQ46" i="17"/>
  <c r="AN46" i="17"/>
  <c r="AK46" i="17"/>
  <c r="AG46" i="17"/>
  <c r="AK47" i="17"/>
  <c r="AJ47" i="17"/>
  <c r="AJ46" i="17"/>
  <c r="BL45" i="17"/>
  <c r="AX45" i="17"/>
  <c r="AJ45" i="17"/>
  <c r="AD47" i="17"/>
  <c r="AD46" i="17"/>
  <c r="E45" i="17"/>
  <c r="E10" i="18" s="1"/>
  <c r="BL44" i="17"/>
  <c r="BE44" i="17"/>
  <c r="AX44" i="17"/>
  <c r="AQ44" i="17"/>
  <c r="AJ44" i="17"/>
  <c r="AC44" i="17"/>
  <c r="BZ32" i="17"/>
  <c r="BS32" i="17"/>
  <c r="BL32" i="17"/>
  <c r="BF32" i="17"/>
  <c r="BE32" i="17"/>
  <c r="AX34" i="17"/>
  <c r="AX32" i="17"/>
  <c r="CD34" i="17"/>
  <c r="CA34" i="17"/>
  <c r="BZ34" i="17"/>
  <c r="BW34" i="17"/>
  <c r="BT34" i="17"/>
  <c r="BS34" i="17"/>
  <c r="BP34" i="17"/>
  <c r="BM34" i="17"/>
  <c r="BL34" i="17"/>
  <c r="BI34" i="17"/>
  <c r="BF34" i="17"/>
  <c r="BE34" i="17"/>
  <c r="BB34" i="17"/>
  <c r="AY34" i="17"/>
  <c r="AU34" i="17"/>
  <c r="AN34" i="17"/>
  <c r="AK34" i="17"/>
  <c r="AG34" i="17"/>
  <c r="AR34" i="17"/>
  <c r="AQ34" i="17"/>
  <c r="CD33" i="17"/>
  <c r="CA33" i="17"/>
  <c r="BZ33" i="17"/>
  <c r="BW33" i="17"/>
  <c r="BT33" i="17"/>
  <c r="BS33" i="17"/>
  <c r="BP33" i="17"/>
  <c r="BM33" i="17"/>
  <c r="BL33" i="17"/>
  <c r="BI33" i="17"/>
  <c r="BF33" i="17"/>
  <c r="BE33" i="17"/>
  <c r="BB33" i="17"/>
  <c r="AY33" i="17"/>
  <c r="AX33" i="17"/>
  <c r="AU33" i="17"/>
  <c r="AR33" i="17"/>
  <c r="AQ33" i="17"/>
  <c r="AN33" i="17"/>
  <c r="AG33" i="17"/>
  <c r="AK33" i="17"/>
  <c r="AJ34" i="17"/>
  <c r="AJ33" i="17"/>
  <c r="BT32" i="17"/>
  <c r="AY32" i="17"/>
  <c r="AR32" i="17"/>
  <c r="AQ32" i="17"/>
  <c r="AK32" i="17"/>
  <c r="AJ32" i="17"/>
  <c r="AD32" i="17"/>
  <c r="AD34" i="17"/>
  <c r="AD33" i="17"/>
  <c r="AC34" i="17"/>
  <c r="AC33" i="17"/>
  <c r="AC32" i="17"/>
  <c r="BZ31" i="17"/>
  <c r="BS31" i="17"/>
  <c r="BL31" i="17"/>
  <c r="BE31" i="17"/>
  <c r="AX31" i="17"/>
  <c r="AQ31" i="17"/>
  <c r="AJ31" i="17"/>
  <c r="AC31" i="17"/>
  <c r="BF21" i="17"/>
  <c r="AY23" i="17"/>
  <c r="AX21" i="17"/>
  <c r="BP23" i="17"/>
  <c r="BM23" i="17"/>
  <c r="BL23" i="17"/>
  <c r="BI23" i="17"/>
  <c r="BF23" i="17"/>
  <c r="BE23" i="17"/>
  <c r="BB23" i="17"/>
  <c r="AX23" i="17"/>
  <c r="AU23" i="17"/>
  <c r="AQ23" i="17"/>
  <c r="AN23" i="17"/>
  <c r="AG23" i="17"/>
  <c r="AC23" i="17"/>
  <c r="AR23" i="17"/>
  <c r="AQ22" i="17"/>
  <c r="BP22" i="17"/>
  <c r="BM22" i="17"/>
  <c r="BL22" i="17"/>
  <c r="BI22" i="17"/>
  <c r="BF22" i="17"/>
  <c r="BE22" i="17"/>
  <c r="BB22" i="17"/>
  <c r="AY22" i="17"/>
  <c r="AX22" i="17"/>
  <c r="AU22" i="17"/>
  <c r="AR22" i="17"/>
  <c r="AN22" i="17"/>
  <c r="AG22" i="17"/>
  <c r="AD22" i="17"/>
  <c r="AK23" i="17"/>
  <c r="AK22" i="17"/>
  <c r="AJ23" i="17"/>
  <c r="AJ22" i="17"/>
  <c r="AJ21" i="17"/>
  <c r="BM21" i="17"/>
  <c r="BL21" i="17"/>
  <c r="BE21" i="17"/>
  <c r="AY21" i="17"/>
  <c r="AQ21" i="17"/>
  <c r="AK21" i="17"/>
  <c r="AD23" i="17"/>
  <c r="E21" i="17"/>
  <c r="E8" i="18" s="1"/>
  <c r="BL20" i="17"/>
  <c r="BE20" i="17"/>
  <c r="AX20" i="17"/>
  <c r="AQ20" i="17"/>
  <c r="AJ20" i="17"/>
  <c r="AC20" i="17"/>
  <c r="AY13" i="17"/>
  <c r="AX12" i="17"/>
  <c r="BB14" i="17"/>
  <c r="AY14" i="17"/>
  <c r="AX14" i="17"/>
  <c r="AU14" i="17"/>
  <c r="AQ14" i="17"/>
  <c r="AN14" i="17"/>
  <c r="AJ14" i="17"/>
  <c r="AG14" i="17"/>
  <c r="AR14" i="17"/>
  <c r="AQ13" i="17"/>
  <c r="BB13" i="17"/>
  <c r="AX13" i="17"/>
  <c r="AU13" i="17"/>
  <c r="AR13" i="17"/>
  <c r="AN13" i="17"/>
  <c r="AK13" i="17"/>
  <c r="AG13" i="17"/>
  <c r="AD13" i="17"/>
  <c r="AK14" i="17"/>
  <c r="AJ13" i="17"/>
  <c r="AJ12" i="17"/>
  <c r="AY12" i="17"/>
  <c r="AQ12" i="17"/>
  <c r="AK12" i="17"/>
  <c r="E12" i="17"/>
  <c r="E6" i="18" s="1"/>
  <c r="AX11" i="17"/>
  <c r="AQ11" i="17"/>
  <c r="AJ11" i="17"/>
  <c r="AC11" i="17"/>
  <c r="AX4" i="17"/>
  <c r="BB6" i="17"/>
  <c r="AY6" i="17"/>
  <c r="AX6" i="17"/>
  <c r="AU6" i="17"/>
  <c r="AQ6" i="17"/>
  <c r="AN6" i="17"/>
  <c r="AG6" i="17"/>
  <c r="AR6" i="17"/>
  <c r="AQ5" i="17"/>
  <c r="BB5" i="17"/>
  <c r="AY5" i="17"/>
  <c r="AX5" i="17"/>
  <c r="AU5" i="17"/>
  <c r="AR5" i="17"/>
  <c r="AN5" i="17"/>
  <c r="AK5" i="17"/>
  <c r="AG5" i="17"/>
  <c r="AK6" i="17"/>
  <c r="AJ6" i="17"/>
  <c r="AJ5" i="17"/>
  <c r="AJ4" i="17"/>
  <c r="AQ4" i="17"/>
  <c r="AK4" i="17"/>
  <c r="AD5" i="17"/>
  <c r="E4" i="17"/>
  <c r="B4" i="17" s="1"/>
  <c r="AC4" i="17" s="1"/>
  <c r="AC6" i="17"/>
  <c r="AX2" i="17"/>
  <c r="AQ2" i="17"/>
  <c r="AJ2" i="17"/>
  <c r="AC2" i="17"/>
  <c r="I6" i="16"/>
  <c r="H6" i="16"/>
  <c r="G6" i="16"/>
  <c r="F6" i="16"/>
  <c r="D6" i="16"/>
  <c r="C6" i="16"/>
  <c r="A6" i="16"/>
  <c r="A4" i="16"/>
  <c r="I4" i="16"/>
  <c r="H4" i="16"/>
  <c r="G4" i="16"/>
  <c r="F4" i="16"/>
  <c r="D4" i="16"/>
  <c r="C4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G12" i="15"/>
  <c r="F12" i="15"/>
  <c r="D12" i="15"/>
  <c r="C12" i="15"/>
  <c r="G4" i="15"/>
  <c r="F4" i="15"/>
  <c r="D4" i="15"/>
  <c r="C4" i="15"/>
  <c r="AD23" i="15"/>
  <c r="AC23" i="15"/>
  <c r="BE24" i="15" a="1"/>
  <c r="AX24" i="15" a="1"/>
  <c r="BP23" i="15"/>
  <c r="BM23" i="15"/>
  <c r="BL24" i="15" s="1" a="1"/>
  <c r="BL23" i="15"/>
  <c r="BI23" i="15"/>
  <c r="BF23" i="15"/>
  <c r="BE23" i="15"/>
  <c r="BB23" i="15"/>
  <c r="AY23" i="15"/>
  <c r="AX23" i="15"/>
  <c r="AU23" i="15"/>
  <c r="AR23" i="15"/>
  <c r="AQ24" i="15" s="1" a="1"/>
  <c r="AQ23" i="15"/>
  <c r="AN23" i="15"/>
  <c r="AK23" i="15"/>
  <c r="AJ23" i="15"/>
  <c r="AG23" i="15"/>
  <c r="AN14" i="15"/>
  <c r="C102" i="20" l="1"/>
  <c r="C32" i="20"/>
  <c r="C55" i="20"/>
  <c r="C98" i="20"/>
  <c r="B4" i="18"/>
  <c r="C51" i="20"/>
  <c r="C9" i="20"/>
  <c r="D75" i="20"/>
  <c r="E75" i="20"/>
  <c r="E9" i="20"/>
  <c r="C28" i="20"/>
  <c r="B12" i="17"/>
  <c r="B45" i="17"/>
  <c r="B21" i="17"/>
  <c r="AC14" i="17"/>
  <c r="BE35" i="17" a="1"/>
  <c r="BL24" i="17" a="1"/>
  <c r="BL24" i="17" s="1"/>
  <c r="AD8" i="17" a="1"/>
  <c r="AD8" i="17" s="1"/>
  <c r="AQ15" i="17" a="1"/>
  <c r="AR21" i="17"/>
  <c r="AR25" i="17" s="1" a="1"/>
  <c r="AR25" i="17" s="1"/>
  <c r="AY25" i="17" a="1"/>
  <c r="AY25" i="17" s="1"/>
  <c r="AX24" i="17" a="1"/>
  <c r="BM25" i="17" a="1"/>
  <c r="BM25" i="17" s="1"/>
  <c r="BE35" i="17"/>
  <c r="BI32" i="17" s="1"/>
  <c r="BI35" i="17" s="1"/>
  <c r="AD21" i="17"/>
  <c r="AJ24" i="17" a="1"/>
  <c r="AK25" i="17" a="1"/>
  <c r="AK25" i="17" s="1"/>
  <c r="AD4" i="17"/>
  <c r="AR4" i="17"/>
  <c r="AQ7" i="17" s="1" a="1"/>
  <c r="AC7" i="17" a="1"/>
  <c r="AY4" i="17"/>
  <c r="AD12" i="17"/>
  <c r="AD36" i="17" a="1"/>
  <c r="AD36" i="17" s="1"/>
  <c r="BM32" i="17"/>
  <c r="BM36" i="17" s="1" a="1"/>
  <c r="BM36" i="17" s="1"/>
  <c r="CA32" i="17"/>
  <c r="CA36" i="17" s="1" a="1"/>
  <c r="CA36" i="17" s="1"/>
  <c r="BM45" i="17"/>
  <c r="BM49" i="17" s="1" a="1"/>
  <c r="BM49" i="17" s="1"/>
  <c r="AR12" i="17"/>
  <c r="AR16" i="17" s="1" a="1"/>
  <c r="AR16" i="17" s="1"/>
  <c r="AK45" i="17"/>
  <c r="AY45" i="17"/>
  <c r="AX48" i="17" s="1" a="1"/>
  <c r="AD45" i="17"/>
  <c r="AR45" i="17"/>
  <c r="AQ48" i="17" s="1" a="1"/>
  <c r="BF45" i="17"/>
  <c r="BE48" i="17" s="1" a="1"/>
  <c r="BL24" i="15"/>
  <c r="AQ24" i="15"/>
  <c r="BE24" i="15"/>
  <c r="BM25" i="15" a="1"/>
  <c r="BM25" i="15" s="1"/>
  <c r="AX24" i="15"/>
  <c r="AC12" i="17" l="1"/>
  <c r="B6" i="18"/>
  <c r="AC21" i="17"/>
  <c r="B8" i="18"/>
  <c r="AC45" i="17"/>
  <c r="B10" i="18"/>
  <c r="AC15" i="17" a="1"/>
  <c r="AC15" i="17" s="1"/>
  <c r="BP21" i="17"/>
  <c r="BP24" i="17" s="1"/>
  <c r="AQ7" i="17"/>
  <c r="AU4" i="17" s="1"/>
  <c r="AU7" i="17" s="1"/>
  <c r="BI36" i="17"/>
  <c r="BE37" i="17" s="1"/>
  <c r="BN26" i="17"/>
  <c r="AX48" i="17"/>
  <c r="BB45" i="17"/>
  <c r="BB48" i="17" s="1"/>
  <c r="AQ48" i="17"/>
  <c r="AU45" i="17" s="1"/>
  <c r="AU48" i="17" s="1"/>
  <c r="AQ15" i="17"/>
  <c r="AU12" i="17"/>
  <c r="AU15" i="17" s="1"/>
  <c r="BM26" i="17"/>
  <c r="AQ24" i="17" a="1"/>
  <c r="AC24" i="17" a="1"/>
  <c r="AX24" i="17"/>
  <c r="BB21" i="17"/>
  <c r="BB24" i="17" s="1"/>
  <c r="AC7" i="17"/>
  <c r="AG4" i="17"/>
  <c r="AG7" i="17" s="1"/>
  <c r="AJ24" i="17"/>
  <c r="AN21" i="17" s="1"/>
  <c r="AN24" i="17" s="1"/>
  <c r="BP25" i="17"/>
  <c r="BL26" i="17"/>
  <c r="BE48" i="17"/>
  <c r="BI45" i="17" s="1"/>
  <c r="BI48" i="17" s="1"/>
  <c r="AG12" i="17" l="1"/>
  <c r="AG15" i="17" s="1"/>
  <c r="AG16" i="17" s="1"/>
  <c r="AC17" i="17" s="1"/>
  <c r="AU49" i="17"/>
  <c r="AQ50" i="17"/>
  <c r="AN25" i="17"/>
  <c r="AJ26" i="17"/>
  <c r="AK26" i="17"/>
  <c r="AL26" i="17"/>
  <c r="AU8" i="17"/>
  <c r="AQ9" i="17"/>
  <c r="BI49" i="17"/>
  <c r="BE50" i="17"/>
  <c r="BB25" i="17"/>
  <c r="AX26" i="17"/>
  <c r="AU16" i="17"/>
  <c r="AS17" i="17" s="1"/>
  <c r="AQ17" i="17"/>
  <c r="AG8" i="17"/>
  <c r="AY26" i="17"/>
  <c r="BB49" i="17"/>
  <c r="AX50" i="17" s="1"/>
  <c r="AZ26" i="17"/>
  <c r="AC24" i="17"/>
  <c r="AG21" i="17"/>
  <c r="AG24" i="17" s="1"/>
  <c r="AQ24" i="17"/>
  <c r="AU21" i="17"/>
  <c r="AU24" i="17" s="1"/>
  <c r="BQ23" i="17"/>
  <c r="BQ22" i="17"/>
  <c r="AE9" i="17" l="1"/>
  <c r="AD9" i="17"/>
  <c r="AU25" i="17"/>
  <c r="AS26" i="17" s="1"/>
  <c r="AQ26" i="17"/>
  <c r="BC23" i="17"/>
  <c r="BC22" i="17"/>
  <c r="AO22" i="17"/>
  <c r="AO23" i="17"/>
  <c r="AR17" i="17"/>
  <c r="AV14" i="17" s="1"/>
  <c r="AC9" i="17"/>
  <c r="AG25" i="17"/>
  <c r="AC26" i="17" l="1"/>
  <c r="AV13" i="17"/>
  <c r="AH6" i="17"/>
  <c r="K4" i="17" s="1"/>
  <c r="K4" i="18" s="1"/>
  <c r="AH5" i="17"/>
  <c r="J4" i="17" s="1"/>
  <c r="J4" i="18" s="1"/>
  <c r="AR26" i="17"/>
  <c r="AV23" i="17" s="1"/>
  <c r="D13" i="20" l="1"/>
  <c r="E13" i="20"/>
  <c r="AV22" i="17"/>
  <c r="V4" i="17"/>
  <c r="T4" i="17"/>
  <c r="W4" i="17"/>
  <c r="R4" i="17"/>
  <c r="Q4" i="17"/>
  <c r="P4" i="17"/>
  <c r="U4" i="17"/>
  <c r="X4" i="17" l="1"/>
  <c r="M4" i="17" s="1"/>
  <c r="M4" i="18" s="1"/>
  <c r="S4" i="17"/>
  <c r="L4" i="17" s="1"/>
  <c r="L4" i="18" s="1"/>
  <c r="Y4" i="17"/>
  <c r="N4" i="17" s="1"/>
  <c r="N4" i="18" s="1"/>
  <c r="BL46" i="15"/>
  <c r="BF47" i="15"/>
  <c r="AX45" i="15"/>
  <c r="BP47" i="15"/>
  <c r="BM47" i="15"/>
  <c r="BL47" i="15"/>
  <c r="BI47" i="15"/>
  <c r="BE47" i="15"/>
  <c r="BB47" i="15"/>
  <c r="AY47" i="15"/>
  <c r="AX47" i="15"/>
  <c r="AU47" i="15"/>
  <c r="AR47" i="15"/>
  <c r="AQ47" i="15"/>
  <c r="AN47" i="15"/>
  <c r="AG47" i="15"/>
  <c r="AC47" i="15"/>
  <c r="AQ45" i="15"/>
  <c r="BP46" i="15"/>
  <c r="BM46" i="15"/>
  <c r="BI46" i="15"/>
  <c r="BF46" i="15"/>
  <c r="BE46" i="15"/>
  <c r="BB46" i="15"/>
  <c r="AY46" i="15"/>
  <c r="AX46" i="15"/>
  <c r="AU46" i="15"/>
  <c r="AR46" i="15"/>
  <c r="AQ46" i="15"/>
  <c r="AN46" i="15"/>
  <c r="AK46" i="15"/>
  <c r="AG46" i="15"/>
  <c r="AC46" i="15"/>
  <c r="AK47" i="15"/>
  <c r="AJ47" i="15"/>
  <c r="AJ46" i="15"/>
  <c r="BM45" i="15"/>
  <c r="BL45" i="15"/>
  <c r="BE45" i="15"/>
  <c r="AJ45" i="15"/>
  <c r="AD47" i="15"/>
  <c r="AD46" i="15"/>
  <c r="AC45" i="15"/>
  <c r="BL44" i="15"/>
  <c r="BE44" i="15"/>
  <c r="AX44" i="15"/>
  <c r="AQ44" i="15"/>
  <c r="AJ44" i="15"/>
  <c r="AC44" i="15"/>
  <c r="BZ32" i="15"/>
  <c r="BL32" i="15"/>
  <c r="BM36" i="15" s="1" a="1"/>
  <c r="BM36" i="15" s="1"/>
  <c r="BE32" i="15"/>
  <c r="AX32" i="15"/>
  <c r="CD34" i="15"/>
  <c r="CA34" i="15"/>
  <c r="BZ34" i="15"/>
  <c r="BW34" i="15"/>
  <c r="BT34" i="15"/>
  <c r="BS34" i="15"/>
  <c r="BP34" i="15"/>
  <c r="BM34" i="15"/>
  <c r="BL34" i="15"/>
  <c r="BI34" i="15"/>
  <c r="BF34" i="15"/>
  <c r="BE34" i="15"/>
  <c r="BB34" i="15"/>
  <c r="AY34" i="15"/>
  <c r="AX34" i="15"/>
  <c r="AU34" i="15"/>
  <c r="AQ34" i="15"/>
  <c r="AN34" i="15"/>
  <c r="AG34" i="15"/>
  <c r="AR34" i="15"/>
  <c r="CD33" i="15"/>
  <c r="CA33" i="15"/>
  <c r="BZ33" i="15"/>
  <c r="BW33" i="15"/>
  <c r="BT33" i="15"/>
  <c r="BS33" i="15"/>
  <c r="BP33" i="15"/>
  <c r="BM33" i="15"/>
  <c r="BL33" i="15"/>
  <c r="BI33" i="15"/>
  <c r="BF33" i="15"/>
  <c r="BE33" i="15"/>
  <c r="BB33" i="15"/>
  <c r="AY33" i="15"/>
  <c r="AX33" i="15"/>
  <c r="AU33" i="15"/>
  <c r="AR33" i="15"/>
  <c r="AQ33" i="15"/>
  <c r="AN33" i="15"/>
  <c r="AG33" i="15"/>
  <c r="AD33" i="15"/>
  <c r="AK34" i="15"/>
  <c r="AK33" i="15"/>
  <c r="AJ34" i="15"/>
  <c r="AJ33" i="15"/>
  <c r="AJ32" i="15"/>
  <c r="BT32" i="15"/>
  <c r="BS32" i="15"/>
  <c r="BM32" i="15"/>
  <c r="BF32" i="15"/>
  <c r="AY32" i="15"/>
  <c r="AR32" i="15"/>
  <c r="AQ32" i="15"/>
  <c r="AK32" i="15"/>
  <c r="AC32" i="15"/>
  <c r="AD34" i="15"/>
  <c r="AC34" i="15"/>
  <c r="AC33" i="15"/>
  <c r="BZ31" i="15"/>
  <c r="BS31" i="15"/>
  <c r="BL31" i="15"/>
  <c r="BE31" i="15"/>
  <c r="AX31" i="15"/>
  <c r="AQ31" i="15"/>
  <c r="AJ31" i="15"/>
  <c r="AC31" i="15"/>
  <c r="BE21" i="15"/>
  <c r="AX22" i="15"/>
  <c r="AX21" i="15"/>
  <c r="AQ22" i="15"/>
  <c r="BP22" i="15"/>
  <c r="BM22" i="15"/>
  <c r="BL22" i="15"/>
  <c r="BI22" i="15"/>
  <c r="BF22" i="15"/>
  <c r="BE22" i="15"/>
  <c r="BB22" i="15"/>
  <c r="AY22" i="15"/>
  <c r="AU22" i="15"/>
  <c r="AR22" i="15"/>
  <c r="AN22" i="15"/>
  <c r="AG22" i="15"/>
  <c r="AD22" i="15"/>
  <c r="AK22" i="15"/>
  <c r="AJ22" i="15"/>
  <c r="AJ21" i="15"/>
  <c r="BM21" i="15"/>
  <c r="BL21" i="15"/>
  <c r="BF21" i="15"/>
  <c r="AY21" i="15"/>
  <c r="AQ21" i="15"/>
  <c r="AK21" i="15"/>
  <c r="AC21" i="15"/>
  <c r="AC22" i="15"/>
  <c r="BL20" i="15"/>
  <c r="BE20" i="15"/>
  <c r="AX20" i="15"/>
  <c r="AQ20" i="15"/>
  <c r="AJ20" i="15"/>
  <c r="AC20" i="15"/>
  <c r="AY13" i="15"/>
  <c r="AX12" i="15"/>
  <c r="BB14" i="15"/>
  <c r="AY14" i="15"/>
  <c r="AX14" i="15"/>
  <c r="AU14" i="15"/>
  <c r="AQ14" i="15"/>
  <c r="AG14" i="15"/>
  <c r="AR14" i="15"/>
  <c r="AQ13" i="15"/>
  <c r="BB13" i="15"/>
  <c r="AX13" i="15"/>
  <c r="AU13" i="15"/>
  <c r="AR13" i="15"/>
  <c r="AN13" i="15"/>
  <c r="AK13" i="15"/>
  <c r="AG13" i="15"/>
  <c r="AC13" i="15"/>
  <c r="AK14" i="15"/>
  <c r="AJ14" i="15"/>
  <c r="AJ13" i="15"/>
  <c r="AJ12" i="15"/>
  <c r="AR12" i="15"/>
  <c r="AQ12" i="15"/>
  <c r="AD14" i="15"/>
  <c r="AD13" i="15"/>
  <c r="E12" i="15"/>
  <c r="AC14" i="15"/>
  <c r="AX11" i="15"/>
  <c r="AQ11" i="15"/>
  <c r="AJ11" i="15"/>
  <c r="AC11" i="15"/>
  <c r="AY5" i="15"/>
  <c r="AX4" i="15"/>
  <c r="BB6" i="15"/>
  <c r="AY6" i="15"/>
  <c r="AX6" i="15"/>
  <c r="AU6" i="15"/>
  <c r="AQ6" i="15"/>
  <c r="AN6" i="15"/>
  <c r="AG6" i="15"/>
  <c r="AR6" i="15"/>
  <c r="BB5" i="15"/>
  <c r="AX5" i="15"/>
  <c r="AU5" i="15"/>
  <c r="AR5" i="15"/>
  <c r="AQ5" i="15"/>
  <c r="AN5" i="15"/>
  <c r="AK5" i="15"/>
  <c r="AG5" i="15"/>
  <c r="AC5" i="15"/>
  <c r="AK6" i="15"/>
  <c r="AJ6" i="15"/>
  <c r="AJ5" i="15"/>
  <c r="AJ4" i="15"/>
  <c r="AR4" i="15"/>
  <c r="AQ4" i="15"/>
  <c r="AD6" i="15"/>
  <c r="AD5" i="15"/>
  <c r="E4" i="15"/>
  <c r="AC6" i="15"/>
  <c r="AX2" i="15"/>
  <c r="AQ2" i="15"/>
  <c r="AJ2" i="15"/>
  <c r="AC2" i="15"/>
  <c r="B4" i="15" l="1"/>
  <c r="E4" i="16"/>
  <c r="AD4" i="15"/>
  <c r="B12" i="15"/>
  <c r="E6" i="16"/>
  <c r="AR16" i="15" a="1"/>
  <c r="AR16" i="15" s="1"/>
  <c r="AQ15" i="15" a="1"/>
  <c r="AR8" i="15" a="1"/>
  <c r="AR8" i="15" s="1"/>
  <c r="AQ7" i="15" a="1"/>
  <c r="AD12" i="15"/>
  <c r="AD32" i="15"/>
  <c r="AC35" i="15" s="1" a="1"/>
  <c r="AK36" i="15" a="1"/>
  <c r="AK36" i="15" s="1"/>
  <c r="AJ35" i="15" a="1"/>
  <c r="CA32" i="15"/>
  <c r="AD21" i="15"/>
  <c r="AR21" i="15"/>
  <c r="AR45" i="15"/>
  <c r="AK4" i="15"/>
  <c r="AK8" i="15" s="1" a="1"/>
  <c r="AK8" i="15" s="1"/>
  <c r="AO5" i="15" s="1"/>
  <c r="AY4" i="15"/>
  <c r="AK12" i="15"/>
  <c r="AK16" i="15" s="1" a="1"/>
  <c r="AK16" i="15" s="1"/>
  <c r="AO13" i="15" s="1"/>
  <c r="AY12" i="15"/>
  <c r="AD45" i="15"/>
  <c r="AC48" i="15" s="1" a="1"/>
  <c r="AK45" i="15"/>
  <c r="BF45" i="15"/>
  <c r="BE48" i="15" s="1" a="1"/>
  <c r="AY45" i="15"/>
  <c r="AY49" i="15" s="1" a="1"/>
  <c r="AY49" i="15" s="1"/>
  <c r="C2" i="14"/>
  <c r="D2" i="14"/>
  <c r="E2" i="14"/>
  <c r="F2" i="14"/>
  <c r="G2" i="14"/>
  <c r="H2" i="14"/>
  <c r="I2" i="14"/>
  <c r="J2" i="14"/>
  <c r="K2" i="14"/>
  <c r="L2" i="14"/>
  <c r="M2" i="14"/>
  <c r="N2" i="14"/>
  <c r="B2" i="14"/>
  <c r="L1" i="14"/>
  <c r="J1" i="14"/>
  <c r="H1" i="14"/>
  <c r="E1" i="14"/>
  <c r="B1" i="14"/>
  <c r="A34" i="14"/>
  <c r="B34" i="14"/>
  <c r="C34" i="14"/>
  <c r="D34" i="14"/>
  <c r="F34" i="14"/>
  <c r="G34" i="14"/>
  <c r="H34" i="14"/>
  <c r="I34" i="14"/>
  <c r="A35" i="14"/>
  <c r="B35" i="14"/>
  <c r="C35" i="14"/>
  <c r="D35" i="14"/>
  <c r="F35" i="14"/>
  <c r="G35" i="14"/>
  <c r="H35" i="14"/>
  <c r="I35" i="14"/>
  <c r="A31" i="14"/>
  <c r="B31" i="14"/>
  <c r="C31" i="14"/>
  <c r="D31" i="14"/>
  <c r="F31" i="14"/>
  <c r="G31" i="14"/>
  <c r="H31" i="14"/>
  <c r="I31" i="14"/>
  <c r="A32" i="14"/>
  <c r="B32" i="14"/>
  <c r="C32" i="14"/>
  <c r="D32" i="14"/>
  <c r="F32" i="14"/>
  <c r="G32" i="14"/>
  <c r="H32" i="14"/>
  <c r="I32" i="14"/>
  <c r="A33" i="14"/>
  <c r="B33" i="14"/>
  <c r="C33" i="14"/>
  <c r="D33" i="14"/>
  <c r="F33" i="14"/>
  <c r="G33" i="14"/>
  <c r="H33" i="14"/>
  <c r="I33" i="14"/>
  <c r="I30" i="14"/>
  <c r="H30" i="14"/>
  <c r="F30" i="14"/>
  <c r="G30" i="14"/>
  <c r="C30" i="14"/>
  <c r="D30" i="14"/>
  <c r="B30" i="14"/>
  <c r="A30" i="14"/>
  <c r="A29" i="14"/>
  <c r="C87" i="20" s="1"/>
  <c r="A22" i="14"/>
  <c r="B22" i="14"/>
  <c r="C22" i="14"/>
  <c r="D22" i="14"/>
  <c r="F22" i="14"/>
  <c r="G22" i="14"/>
  <c r="H22" i="14"/>
  <c r="I22" i="14"/>
  <c r="A23" i="14"/>
  <c r="B23" i="14"/>
  <c r="C23" i="14"/>
  <c r="D23" i="14"/>
  <c r="F23" i="14"/>
  <c r="G23" i="14"/>
  <c r="H23" i="14"/>
  <c r="I23" i="14"/>
  <c r="A24" i="14"/>
  <c r="B24" i="14"/>
  <c r="C24" i="14"/>
  <c r="D24" i="14"/>
  <c r="F24" i="14"/>
  <c r="G24" i="14"/>
  <c r="H24" i="14"/>
  <c r="I24" i="14"/>
  <c r="A25" i="14"/>
  <c r="B25" i="14"/>
  <c r="C25" i="14"/>
  <c r="D25" i="14"/>
  <c r="F25" i="14"/>
  <c r="G25" i="14"/>
  <c r="H25" i="14"/>
  <c r="I25" i="14"/>
  <c r="A26" i="14"/>
  <c r="B26" i="14"/>
  <c r="C26" i="14"/>
  <c r="D26" i="14"/>
  <c r="F26" i="14"/>
  <c r="G26" i="14"/>
  <c r="H26" i="14"/>
  <c r="I26" i="14"/>
  <c r="A27" i="14"/>
  <c r="B27" i="14"/>
  <c r="C27" i="14"/>
  <c r="D27" i="14"/>
  <c r="F27" i="14"/>
  <c r="G27" i="14"/>
  <c r="H27" i="14"/>
  <c r="I27" i="14"/>
  <c r="A28" i="14"/>
  <c r="B28" i="14"/>
  <c r="C28" i="14"/>
  <c r="D28" i="14"/>
  <c r="F28" i="14"/>
  <c r="G28" i="14"/>
  <c r="H28" i="14"/>
  <c r="I28" i="14"/>
  <c r="I21" i="14"/>
  <c r="H21" i="14"/>
  <c r="G21" i="14"/>
  <c r="F21" i="14"/>
  <c r="D21" i="14"/>
  <c r="C21" i="14"/>
  <c r="B21" i="14"/>
  <c r="A21" i="14"/>
  <c r="A20" i="14"/>
  <c r="C64" i="20" s="1"/>
  <c r="A15" i="14"/>
  <c r="B15" i="14"/>
  <c r="C15" i="14"/>
  <c r="D15" i="14"/>
  <c r="F15" i="14"/>
  <c r="G15" i="14"/>
  <c r="H15" i="14"/>
  <c r="I15" i="14"/>
  <c r="A16" i="14"/>
  <c r="B16" i="14"/>
  <c r="C16" i="14"/>
  <c r="D16" i="14"/>
  <c r="F16" i="14"/>
  <c r="G16" i="14"/>
  <c r="H16" i="14"/>
  <c r="I16" i="14"/>
  <c r="A17" i="14"/>
  <c r="B17" i="14"/>
  <c r="C17" i="14"/>
  <c r="D17" i="14"/>
  <c r="F17" i="14"/>
  <c r="G17" i="14"/>
  <c r="H17" i="14"/>
  <c r="I17" i="14"/>
  <c r="A18" i="14"/>
  <c r="B18" i="14"/>
  <c r="C18" i="14"/>
  <c r="D18" i="14"/>
  <c r="F18" i="14"/>
  <c r="G18" i="14"/>
  <c r="H18" i="14"/>
  <c r="I18" i="14"/>
  <c r="A19" i="14"/>
  <c r="B19" i="14"/>
  <c r="C19" i="14"/>
  <c r="D19" i="14"/>
  <c r="F19" i="14"/>
  <c r="G19" i="14"/>
  <c r="H19" i="14"/>
  <c r="I19" i="14"/>
  <c r="I14" i="14"/>
  <c r="H14" i="14"/>
  <c r="F14" i="14"/>
  <c r="G14" i="14"/>
  <c r="C14" i="14"/>
  <c r="D14" i="14"/>
  <c r="B14" i="14"/>
  <c r="A14" i="14"/>
  <c r="A13" i="14"/>
  <c r="C42" i="20" s="1"/>
  <c r="H10" i="14"/>
  <c r="I10" i="14"/>
  <c r="H11" i="14"/>
  <c r="I11" i="14"/>
  <c r="H12" i="14"/>
  <c r="I12" i="14"/>
  <c r="I9" i="14"/>
  <c r="H9" i="14"/>
  <c r="F9" i="14"/>
  <c r="G9" i="14"/>
  <c r="F10" i="14"/>
  <c r="G10" i="14"/>
  <c r="F11" i="14"/>
  <c r="G11" i="14"/>
  <c r="F12" i="14"/>
  <c r="G12" i="14"/>
  <c r="B10" i="14"/>
  <c r="C10" i="14"/>
  <c r="D10" i="14"/>
  <c r="B11" i="14"/>
  <c r="C11" i="14"/>
  <c r="D11" i="14"/>
  <c r="B12" i="14"/>
  <c r="C12" i="14"/>
  <c r="D12" i="14"/>
  <c r="C9" i="14"/>
  <c r="D9" i="14"/>
  <c r="B9" i="14"/>
  <c r="A10" i="14"/>
  <c r="A11" i="14"/>
  <c r="A12" i="14"/>
  <c r="A9" i="14"/>
  <c r="A8" i="14"/>
  <c r="C21" i="20" s="1"/>
  <c r="G7" i="14"/>
  <c r="F7" i="14"/>
  <c r="G6" i="14"/>
  <c r="F6" i="14"/>
  <c r="G5" i="14"/>
  <c r="F5" i="14"/>
  <c r="C4" i="14"/>
  <c r="D4" i="14"/>
  <c r="C5" i="14"/>
  <c r="D5" i="14"/>
  <c r="C6" i="14"/>
  <c r="D6" i="14"/>
  <c r="C7" i="14"/>
  <c r="D7" i="14"/>
  <c r="B5" i="14"/>
  <c r="B6" i="14"/>
  <c r="B7" i="14"/>
  <c r="B4" i="14"/>
  <c r="I7" i="14"/>
  <c r="I6" i="14"/>
  <c r="I5" i="14"/>
  <c r="I4" i="14"/>
  <c r="H5" i="14"/>
  <c r="H6" i="14"/>
  <c r="H7" i="14"/>
  <c r="H4" i="14"/>
  <c r="G4" i="14"/>
  <c r="F4" i="14"/>
  <c r="E15" i="4"/>
  <c r="E14" i="4"/>
  <c r="E13" i="4"/>
  <c r="E12" i="4"/>
  <c r="E7" i="4"/>
  <c r="E6" i="4"/>
  <c r="E5" i="4"/>
  <c r="AK4" i="4" s="1"/>
  <c r="E4" i="4"/>
  <c r="A7" i="14"/>
  <c r="A6" i="14"/>
  <c r="A5" i="14"/>
  <c r="A4" i="14"/>
  <c r="A3" i="14"/>
  <c r="C2" i="20" s="1"/>
  <c r="BP47" i="4"/>
  <c r="BP46" i="4"/>
  <c r="BI47" i="4"/>
  <c r="BI46" i="4"/>
  <c r="BB47" i="4"/>
  <c r="BB46" i="4"/>
  <c r="AU47" i="4"/>
  <c r="AU46" i="4"/>
  <c r="AG47" i="4"/>
  <c r="AG46" i="4"/>
  <c r="AN47" i="4"/>
  <c r="AN46" i="4"/>
  <c r="BL44" i="4"/>
  <c r="BE44" i="4"/>
  <c r="AX44" i="4"/>
  <c r="AQ44" i="4"/>
  <c r="AJ44" i="4"/>
  <c r="AC44" i="4"/>
  <c r="G50" i="4"/>
  <c r="BM47" i="4" s="1"/>
  <c r="F50" i="4"/>
  <c r="BM46" i="4" s="1"/>
  <c r="G49" i="4"/>
  <c r="BF47" i="4" s="1"/>
  <c r="F49" i="4"/>
  <c r="BF46" i="4" s="1"/>
  <c r="G48" i="4"/>
  <c r="AY47" i="4" s="1"/>
  <c r="F48" i="4"/>
  <c r="AY46" i="4" s="1"/>
  <c r="G47" i="4"/>
  <c r="AR47" i="4" s="1"/>
  <c r="F47" i="4"/>
  <c r="AR46" i="4" s="1"/>
  <c r="G46" i="4"/>
  <c r="AK47" i="4" s="1"/>
  <c r="F46" i="4"/>
  <c r="AK46" i="4" s="1"/>
  <c r="G45" i="4"/>
  <c r="AD47" i="4" s="1"/>
  <c r="F45" i="4"/>
  <c r="AD46" i="4" s="1"/>
  <c r="D50" i="4"/>
  <c r="BL47" i="4" s="1"/>
  <c r="C50" i="4"/>
  <c r="BL46" i="4" s="1"/>
  <c r="C49" i="4"/>
  <c r="BE46" i="4" s="1"/>
  <c r="D49" i="4"/>
  <c r="BE47" i="4" s="1"/>
  <c r="D48" i="4"/>
  <c r="AX47" i="4" s="1"/>
  <c r="C48" i="4"/>
  <c r="AX46" i="4" s="1"/>
  <c r="D47" i="4"/>
  <c r="AQ47" i="4" s="1"/>
  <c r="C47" i="4"/>
  <c r="AQ46" i="4" s="1"/>
  <c r="D46" i="4"/>
  <c r="AJ47" i="4" s="1"/>
  <c r="C46" i="4"/>
  <c r="AJ46" i="4" s="1"/>
  <c r="D45" i="4"/>
  <c r="AC47" i="4" s="1"/>
  <c r="C45" i="4"/>
  <c r="AC46" i="4" s="1"/>
  <c r="CD34" i="4"/>
  <c r="CD33" i="4"/>
  <c r="BW34" i="4"/>
  <c r="BW33" i="4"/>
  <c r="BP34" i="4"/>
  <c r="BP33" i="4"/>
  <c r="BI34" i="4"/>
  <c r="BI33" i="4"/>
  <c r="BB34" i="4"/>
  <c r="BB33" i="4"/>
  <c r="AU34" i="4"/>
  <c r="AU33" i="4"/>
  <c r="AN34" i="4"/>
  <c r="AN33" i="4"/>
  <c r="AG34" i="4"/>
  <c r="AG33" i="4"/>
  <c r="BZ31" i="4"/>
  <c r="BS31" i="4"/>
  <c r="BL31" i="4"/>
  <c r="BE31" i="4"/>
  <c r="AX31" i="4"/>
  <c r="AQ31" i="4"/>
  <c r="AJ31" i="4"/>
  <c r="AC31" i="4"/>
  <c r="G39" i="4"/>
  <c r="CA34" i="4" s="1"/>
  <c r="F39" i="4"/>
  <c r="CA33" i="4" s="1"/>
  <c r="G37" i="4"/>
  <c r="BM34" i="4" s="1"/>
  <c r="F37" i="4"/>
  <c r="BM33" i="4" s="1"/>
  <c r="G36" i="4"/>
  <c r="BF34" i="4" s="1"/>
  <c r="F36" i="4"/>
  <c r="BF33" i="4" s="1"/>
  <c r="G35" i="4"/>
  <c r="AY34" i="4" s="1"/>
  <c r="F35" i="4"/>
  <c r="AY33" i="4" s="1"/>
  <c r="G34" i="4"/>
  <c r="AR34" i="4" s="1"/>
  <c r="F34" i="4"/>
  <c r="AR33" i="4" s="1"/>
  <c r="G33" i="4"/>
  <c r="AK34" i="4" s="1"/>
  <c r="F33" i="4"/>
  <c r="AK33" i="4" s="1"/>
  <c r="G32" i="4"/>
  <c r="AD34" i="4" s="1"/>
  <c r="F32" i="4"/>
  <c r="AD33" i="4" s="1"/>
  <c r="G38" i="4"/>
  <c r="BT34" i="4" s="1"/>
  <c r="F38" i="4"/>
  <c r="BT33" i="4" s="1"/>
  <c r="D38" i="4"/>
  <c r="BS34" i="4" s="1"/>
  <c r="C38" i="4"/>
  <c r="BS33" i="4" s="1"/>
  <c r="D39" i="4"/>
  <c r="BZ34" i="4" s="1"/>
  <c r="C39" i="4"/>
  <c r="BZ33" i="4" s="1"/>
  <c r="D37" i="4"/>
  <c r="BL34" i="4" s="1"/>
  <c r="C37" i="4"/>
  <c r="BL33" i="4" s="1"/>
  <c r="D36" i="4"/>
  <c r="BE34" i="4" s="1"/>
  <c r="C36" i="4"/>
  <c r="BE33" i="4" s="1"/>
  <c r="D35" i="4"/>
  <c r="AX34" i="4" s="1"/>
  <c r="C35" i="4"/>
  <c r="AX33" i="4" s="1"/>
  <c r="D34" i="4"/>
  <c r="AQ34" i="4" s="1"/>
  <c r="C34" i="4"/>
  <c r="AQ33" i="4" s="1"/>
  <c r="D33" i="4"/>
  <c r="AJ34" i="4" s="1"/>
  <c r="C33" i="4"/>
  <c r="AJ33" i="4" s="1"/>
  <c r="D32" i="4"/>
  <c r="AC34" i="4" s="1"/>
  <c r="C32" i="4"/>
  <c r="AC33" i="4" s="1"/>
  <c r="BP23" i="4"/>
  <c r="BP22" i="4"/>
  <c r="BI23" i="4"/>
  <c r="BI22" i="4"/>
  <c r="BL20" i="4"/>
  <c r="BE20" i="4"/>
  <c r="BB23" i="4"/>
  <c r="BB22" i="4"/>
  <c r="AU23" i="4"/>
  <c r="AU22" i="4"/>
  <c r="AN23" i="4"/>
  <c r="AN22" i="4"/>
  <c r="AG23" i="4"/>
  <c r="AG22" i="4"/>
  <c r="AX20" i="4"/>
  <c r="AQ20" i="4"/>
  <c r="AJ20" i="4"/>
  <c r="AC20" i="4"/>
  <c r="G26" i="4"/>
  <c r="BM23" i="4" s="1"/>
  <c r="F26" i="4"/>
  <c r="BM22" i="4" s="1"/>
  <c r="G25" i="4"/>
  <c r="BF23" i="4" s="1"/>
  <c r="F25" i="4"/>
  <c r="BF22" i="4" s="1"/>
  <c r="G24" i="4"/>
  <c r="AY23" i="4" s="1"/>
  <c r="F24" i="4"/>
  <c r="AY22" i="4" s="1"/>
  <c r="G23" i="4"/>
  <c r="AR23" i="4" s="1"/>
  <c r="F23" i="4"/>
  <c r="AR22" i="4" s="1"/>
  <c r="G22" i="4"/>
  <c r="AK23" i="4" s="1"/>
  <c r="F22" i="4"/>
  <c r="AK22" i="4" s="1"/>
  <c r="D25" i="4"/>
  <c r="BE23" i="4" s="1"/>
  <c r="C25" i="4"/>
  <c r="BE22" i="4" s="1"/>
  <c r="B26" i="4"/>
  <c r="BL21" i="4" s="1"/>
  <c r="B25" i="4"/>
  <c r="BE21" i="4" s="1"/>
  <c r="B24" i="4"/>
  <c r="AX21" i="4" s="1"/>
  <c r="B23" i="4"/>
  <c r="AQ21" i="4" s="1"/>
  <c r="B22" i="4"/>
  <c r="AJ21" i="4" s="1"/>
  <c r="D26" i="4"/>
  <c r="BL23" i="4" s="1"/>
  <c r="C26" i="4"/>
  <c r="BL22" i="4" s="1"/>
  <c r="D24" i="4"/>
  <c r="AX23" i="4" s="1"/>
  <c r="C24" i="4"/>
  <c r="AX22" i="4" s="1"/>
  <c r="D23" i="4"/>
  <c r="AQ23" i="4" s="1"/>
  <c r="C23" i="4"/>
  <c r="AQ22" i="4" s="1"/>
  <c r="D22" i="4"/>
  <c r="AJ23" i="4" s="1"/>
  <c r="C22" i="4"/>
  <c r="AJ22" i="4" s="1"/>
  <c r="G21" i="4"/>
  <c r="AD23" i="4" s="1"/>
  <c r="F21" i="4"/>
  <c r="AD22" i="4" s="1"/>
  <c r="D21" i="4"/>
  <c r="AC23" i="4" s="1"/>
  <c r="C21" i="4"/>
  <c r="AC22" i="4" s="1"/>
  <c r="D13" i="4"/>
  <c r="AJ14" i="4" s="1"/>
  <c r="C13" i="4"/>
  <c r="AJ13" i="4" s="1"/>
  <c r="G15" i="4"/>
  <c r="AY14" i="4" s="1"/>
  <c r="F15" i="4"/>
  <c r="AY13" i="4" s="1"/>
  <c r="D15" i="4"/>
  <c r="AX14" i="4" s="1"/>
  <c r="C15" i="4"/>
  <c r="AX13" i="4" s="1"/>
  <c r="BB14" i="4"/>
  <c r="AU14" i="4"/>
  <c r="BB13" i="4"/>
  <c r="AU13" i="4"/>
  <c r="AX11" i="4"/>
  <c r="AQ11" i="4"/>
  <c r="AJ11" i="4"/>
  <c r="AC11" i="4"/>
  <c r="G14" i="4"/>
  <c r="AR14" i="4" s="1"/>
  <c r="F14" i="4"/>
  <c r="AR13" i="4" s="1"/>
  <c r="D14" i="4"/>
  <c r="AQ14" i="4" s="1"/>
  <c r="C14" i="4"/>
  <c r="AQ13" i="4" s="1"/>
  <c r="AN14" i="4"/>
  <c r="AN13" i="4"/>
  <c r="G13" i="4"/>
  <c r="AK14" i="4" s="1"/>
  <c r="F13" i="4"/>
  <c r="AK13" i="4" s="1"/>
  <c r="B13" i="4"/>
  <c r="AJ12" i="4" s="1"/>
  <c r="D12" i="4"/>
  <c r="AC14" i="4" s="1"/>
  <c r="C12" i="4"/>
  <c r="AC13" i="4" s="1"/>
  <c r="B12" i="4"/>
  <c r="AC12" i="4" s="1"/>
  <c r="G12" i="4"/>
  <c r="AD14" i="4" s="1"/>
  <c r="F12" i="4"/>
  <c r="AD13" i="4" s="1"/>
  <c r="AG14" i="4"/>
  <c r="AG13" i="4"/>
  <c r="AG6" i="4"/>
  <c r="BB6" i="4"/>
  <c r="AU6" i="4"/>
  <c r="AN6" i="4"/>
  <c r="BB5" i="4"/>
  <c r="AU5" i="4"/>
  <c r="AN5" i="4"/>
  <c r="AG5" i="4"/>
  <c r="AX2" i="4"/>
  <c r="AQ2" i="4"/>
  <c r="AJ2" i="4"/>
  <c r="AC2" i="4"/>
  <c r="G5" i="4"/>
  <c r="AK6" i="4" s="1"/>
  <c r="G6" i="4"/>
  <c r="AR6" i="4" s="1"/>
  <c r="G7" i="4"/>
  <c r="AY6" i="4" s="1"/>
  <c r="F7" i="4"/>
  <c r="AY5" i="4" s="1"/>
  <c r="F6" i="4"/>
  <c r="AR5" i="4" s="1"/>
  <c r="F5" i="4"/>
  <c r="AK5" i="4" s="1"/>
  <c r="G4" i="4"/>
  <c r="AD6" i="4" s="1"/>
  <c r="F4" i="4"/>
  <c r="AD5" i="4" s="1"/>
  <c r="D7" i="4"/>
  <c r="AX6" i="4" s="1"/>
  <c r="C7" i="4"/>
  <c r="AX5" i="4" s="1"/>
  <c r="D6" i="4"/>
  <c r="AQ6" i="4" s="1"/>
  <c r="C6" i="4"/>
  <c r="AQ5" i="4" s="1"/>
  <c r="D5" i="4"/>
  <c r="AJ6" i="4" s="1"/>
  <c r="C5" i="4"/>
  <c r="AJ5" i="4" s="1"/>
  <c r="D4" i="4"/>
  <c r="AC6" i="4" s="1"/>
  <c r="C4" i="4"/>
  <c r="AC5" i="4" s="1"/>
  <c r="E46" i="4"/>
  <c r="E47" i="4"/>
  <c r="E48" i="4"/>
  <c r="E49" i="4"/>
  <c r="E50" i="4"/>
  <c r="E45" i="4"/>
  <c r="E33" i="4"/>
  <c r="E34" i="4"/>
  <c r="E35" i="4"/>
  <c r="E36" i="4"/>
  <c r="E37" i="4"/>
  <c r="E38" i="4"/>
  <c r="E39" i="4"/>
  <c r="E32" i="4"/>
  <c r="E22" i="4"/>
  <c r="E23" i="4"/>
  <c r="E24" i="4"/>
  <c r="E25" i="4"/>
  <c r="E18" i="14" s="1"/>
  <c r="E26" i="4"/>
  <c r="E21" i="4"/>
  <c r="AD4" i="4"/>
  <c r="B50" i="4"/>
  <c r="BL45" i="4" s="1"/>
  <c r="B49" i="4"/>
  <c r="BE45" i="4" s="1"/>
  <c r="B48" i="4"/>
  <c r="AX45" i="4" s="1"/>
  <c r="B47" i="4"/>
  <c r="AQ45" i="4" s="1"/>
  <c r="B46" i="4"/>
  <c r="AJ45" i="4" s="1"/>
  <c r="B45" i="4"/>
  <c r="AC45" i="4" s="1"/>
  <c r="B38" i="4"/>
  <c r="BS32" i="4" s="1"/>
  <c r="B39" i="4"/>
  <c r="BZ32" i="4" s="1"/>
  <c r="B37" i="4"/>
  <c r="BL32" i="4" s="1"/>
  <c r="B36" i="4"/>
  <c r="BE32" i="4" s="1"/>
  <c r="B35" i="4"/>
  <c r="AX32" i="4" s="1"/>
  <c r="B34" i="4"/>
  <c r="AQ32" i="4" s="1"/>
  <c r="B33" i="4"/>
  <c r="AJ32" i="4" s="1"/>
  <c r="B32" i="4"/>
  <c r="AC32" i="4" s="1"/>
  <c r="B21" i="4"/>
  <c r="AC21" i="4" s="1"/>
  <c r="B15" i="4"/>
  <c r="AX12" i="4" s="1"/>
  <c r="B14" i="4"/>
  <c r="AQ12" i="4" s="1"/>
  <c r="B7" i="4"/>
  <c r="AX4" i="4" s="1"/>
  <c r="B6" i="4"/>
  <c r="AQ4" i="4" s="1"/>
  <c r="B5" i="4"/>
  <c r="AJ4" i="4" s="1"/>
  <c r="B4" i="4"/>
  <c r="AC4" i="4" s="1"/>
  <c r="C30" i="20" l="1"/>
  <c r="C48" i="20"/>
  <c r="C11" i="20"/>
  <c r="B6" i="16"/>
  <c r="AC12" i="15"/>
  <c r="B4" i="16"/>
  <c r="AC4" i="15"/>
  <c r="AR21" i="4"/>
  <c r="AK21" i="4"/>
  <c r="AR45" i="4"/>
  <c r="AQ48" i="4" s="1" a="1"/>
  <c r="AY12" i="4"/>
  <c r="BF45" i="4"/>
  <c r="BE48" i="4" s="1" a="1"/>
  <c r="BE48" i="4" s="1"/>
  <c r="E9" i="14"/>
  <c r="AD12" i="4"/>
  <c r="AD32" i="4"/>
  <c r="BM21" i="4"/>
  <c r="E6" i="14"/>
  <c r="E15" i="14"/>
  <c r="BF49" i="4" a="1"/>
  <c r="BF49" i="4" s="1"/>
  <c r="AR32" i="4"/>
  <c r="CA32" i="4"/>
  <c r="CA36" i="4" s="1" a="1"/>
  <c r="CA36" i="4" s="1"/>
  <c r="AK32" i="4"/>
  <c r="AJ35" i="4" s="1" a="1"/>
  <c r="AJ35" i="4" s="1"/>
  <c r="AK45" i="4"/>
  <c r="AK49" i="4" s="1" a="1"/>
  <c r="AK49" i="4" s="1"/>
  <c r="E5" i="14"/>
  <c r="BF21" i="4"/>
  <c r="BE24" i="4" s="1" a="1"/>
  <c r="BE24" i="4" s="1"/>
  <c r="BI21" i="4" s="1"/>
  <c r="BI24" i="4" s="1"/>
  <c r="BI25" i="4" s="1"/>
  <c r="BE26" i="4" s="1"/>
  <c r="BT32" i="4"/>
  <c r="AD45" i="4"/>
  <c r="AR4" i="4"/>
  <c r="AY21" i="4"/>
  <c r="BM32" i="4"/>
  <c r="BL35" i="4" s="1" a="1"/>
  <c r="BL35" i="4" s="1"/>
  <c r="BM45" i="4"/>
  <c r="BL48" i="4" s="1" a="1"/>
  <c r="E7" i="14"/>
  <c r="E32" i="14"/>
  <c r="BF32" i="4"/>
  <c r="BF36" i="4" s="1" a="1"/>
  <c r="BF36" i="4" s="1"/>
  <c r="AY32" i="4"/>
  <c r="AX35" i="4" s="1" a="1"/>
  <c r="AX35" i="4" s="1"/>
  <c r="AY45" i="4"/>
  <c r="AY49" i="4" s="1" a="1"/>
  <c r="AY49" i="4" s="1"/>
  <c r="AK12" i="4"/>
  <c r="AD21" i="4"/>
  <c r="E4" i="14"/>
  <c r="E11" i="14"/>
  <c r="AC48" i="15"/>
  <c r="AG45" i="15" s="1"/>
  <c r="AG48" i="15" s="1"/>
  <c r="BP21" i="15"/>
  <c r="BP24" i="15" s="1"/>
  <c r="AR12" i="4"/>
  <c r="AQ15" i="4" s="1" a="1"/>
  <c r="E10" i="14"/>
  <c r="E27" i="14"/>
  <c r="E24" i="14"/>
  <c r="BE48" i="15"/>
  <c r="BI45" i="15" s="1"/>
  <c r="BI48" i="15" s="1"/>
  <c r="BI21" i="15"/>
  <c r="BI24" i="15" s="1"/>
  <c r="E34" i="14"/>
  <c r="E17" i="14"/>
  <c r="E31" i="14"/>
  <c r="AJ35" i="15"/>
  <c r="AN32" i="15" s="1"/>
  <c r="AN35" i="15" s="1"/>
  <c r="AQ7" i="15"/>
  <c r="AU4" i="15" s="1"/>
  <c r="AU7" i="15" s="1"/>
  <c r="AJ15" i="15" a="1"/>
  <c r="AQ15" i="15"/>
  <c r="AU12" i="15" s="1"/>
  <c r="AU15" i="15" s="1"/>
  <c r="AY4" i="4"/>
  <c r="AX7" i="4" s="1" a="1"/>
  <c r="E12" i="14"/>
  <c r="E14" i="14"/>
  <c r="E26" i="14"/>
  <c r="E23" i="14"/>
  <c r="E30" i="14"/>
  <c r="AX48" i="15" a="1"/>
  <c r="E19" i="14"/>
  <c r="E16" i="14"/>
  <c r="E21" i="14"/>
  <c r="E33" i="14"/>
  <c r="E35" i="14"/>
  <c r="AD49" i="15" a="1"/>
  <c r="AD49" i="15" s="1"/>
  <c r="E28" i="14"/>
  <c r="E25" i="14"/>
  <c r="E22" i="14"/>
  <c r="AC35" i="15"/>
  <c r="AG32" i="15" s="1"/>
  <c r="AG35" i="15" s="1"/>
  <c r="BB21" i="15"/>
  <c r="BB24" i="15" s="1"/>
  <c r="AD49" i="4" a="1"/>
  <c r="AD49" i="4" s="1"/>
  <c r="AK36" i="4" a="1"/>
  <c r="AK36" i="4" s="1"/>
  <c r="AY36" i="4" a="1"/>
  <c r="AY36" i="4" s="1"/>
  <c r="BM36" i="4" a="1"/>
  <c r="BM36" i="4" s="1"/>
  <c r="AC35" i="4" a="1"/>
  <c r="AC35" i="4" s="1"/>
  <c r="AD36" i="4" a="1"/>
  <c r="AD36" i="4" s="1"/>
  <c r="BZ35" i="4" a="1"/>
  <c r="BS35" i="4" a="1"/>
  <c r="BS35" i="4" s="1"/>
  <c r="BT36" i="4" a="1"/>
  <c r="BT36" i="4" s="1"/>
  <c r="AR36" i="4" a="1"/>
  <c r="AR36" i="4" s="1"/>
  <c r="AQ35" i="4" a="1"/>
  <c r="AR25" i="4" a="1"/>
  <c r="AR25" i="4" s="1"/>
  <c r="AQ24" i="4" a="1"/>
  <c r="AQ24" i="4" s="1"/>
  <c r="AU21" i="4" s="1"/>
  <c r="AU24" i="4" s="1"/>
  <c r="AD25" i="4" a="1"/>
  <c r="AD25" i="4" s="1"/>
  <c r="AC24" i="4" a="1"/>
  <c r="BL24" i="4" a="1"/>
  <c r="BL24" i="4" s="1"/>
  <c r="BM25" i="4" a="1"/>
  <c r="BM25" i="4" s="1"/>
  <c r="AC24" i="4"/>
  <c r="AC15" i="4" a="1"/>
  <c r="AC15" i="4" s="1"/>
  <c r="AG12" i="4" s="1"/>
  <c r="AG15" i="4" s="1"/>
  <c r="AD16" i="4" a="1"/>
  <c r="AD16" i="4" s="1"/>
  <c r="AJ7" i="4" a="1"/>
  <c r="C67" i="20" l="1"/>
  <c r="C71" i="20"/>
  <c r="C70" i="20"/>
  <c r="C69" i="20"/>
  <c r="BE35" i="4" a="1"/>
  <c r="BE35" i="4" s="1"/>
  <c r="AJ48" i="4" a="1"/>
  <c r="AJ48" i="4" s="1"/>
  <c r="AN45" i="4" s="1"/>
  <c r="AN48" i="4" s="1"/>
  <c r="C47" i="20"/>
  <c r="C24" i="20"/>
  <c r="C7" i="20"/>
  <c r="C23" i="20"/>
  <c r="C94" i="20"/>
  <c r="C89" i="20"/>
  <c r="C93" i="20"/>
  <c r="C92" i="20"/>
  <c r="C68" i="20"/>
  <c r="C5" i="20"/>
  <c r="C45" i="20"/>
  <c r="C66" i="20"/>
  <c r="C6" i="20"/>
  <c r="C46" i="20"/>
  <c r="C44" i="20"/>
  <c r="C25" i="20"/>
  <c r="AR49" i="4" a="1"/>
  <c r="AR49" i="4" s="1"/>
  <c r="C73" i="20"/>
  <c r="C49" i="20"/>
  <c r="C26" i="20"/>
  <c r="C90" i="20"/>
  <c r="C72" i="20"/>
  <c r="C4" i="20"/>
  <c r="C91" i="20"/>
  <c r="AR16" i="4" a="1"/>
  <c r="AR16" i="4" s="1"/>
  <c r="BM49" i="4" a="1"/>
  <c r="BM49" i="4" s="1"/>
  <c r="BI25" i="15"/>
  <c r="BE26" i="15"/>
  <c r="BB25" i="15"/>
  <c r="AX26" i="15"/>
  <c r="BP25" i="15"/>
  <c r="BL26" i="15"/>
  <c r="BN26" i="15"/>
  <c r="BM26" i="15"/>
  <c r="BI49" i="15"/>
  <c r="BE50" i="15"/>
  <c r="AN36" i="15"/>
  <c r="AJ37" i="15" s="1"/>
  <c r="AU8" i="15"/>
  <c r="AQ9" i="15" s="1"/>
  <c r="AR9" i="15"/>
  <c r="AG36" i="15"/>
  <c r="AC37" i="15"/>
  <c r="AU16" i="15"/>
  <c r="AS17" i="15" s="1"/>
  <c r="AJ15" i="15"/>
  <c r="AN12" i="15" s="1"/>
  <c r="AN15" i="15" s="1"/>
  <c r="AX48" i="15"/>
  <c r="BB45" i="15" s="1"/>
  <c r="BB48" i="15" s="1"/>
  <c r="AG49" i="15"/>
  <c r="AD50" i="15" s="1"/>
  <c r="AC50" i="15"/>
  <c r="BL48" i="4"/>
  <c r="BP45" i="4" s="1"/>
  <c r="BP48" i="4" s="1"/>
  <c r="BI45" i="4"/>
  <c r="BI48" i="4" s="1"/>
  <c r="AQ48" i="4"/>
  <c r="AU45" i="4" s="1"/>
  <c r="AU48" i="4" s="1"/>
  <c r="AG21" i="4"/>
  <c r="AG24" i="4" s="1"/>
  <c r="AG25" i="4" s="1"/>
  <c r="AD26" i="4" s="1"/>
  <c r="BZ35" i="4"/>
  <c r="AQ35" i="4"/>
  <c r="AU32" i="4" s="1"/>
  <c r="AU35" i="4" s="1"/>
  <c r="AG32" i="4"/>
  <c r="AG35" i="4" s="1"/>
  <c r="BB32" i="4"/>
  <c r="BB35" i="4" s="1"/>
  <c r="BB36" i="4" s="1"/>
  <c r="AY37" i="4" s="1"/>
  <c r="AN32" i="4"/>
  <c r="AN35" i="4" s="1"/>
  <c r="AN36" i="4" s="1"/>
  <c r="AL37" i="4" s="1"/>
  <c r="BW32" i="4"/>
  <c r="BW35" i="4" s="1"/>
  <c r="BW36" i="4" s="1"/>
  <c r="BT37" i="4" s="1"/>
  <c r="BP32" i="4"/>
  <c r="BP35" i="4" s="1"/>
  <c r="BP21" i="4"/>
  <c r="BP24" i="4" s="1"/>
  <c r="AU25" i="4"/>
  <c r="AQ26" i="4" s="1"/>
  <c r="AQ15" i="4"/>
  <c r="AU12" i="4" s="1"/>
  <c r="AU15" i="4" s="1"/>
  <c r="AG16" i="4"/>
  <c r="AC17" i="4" s="1"/>
  <c r="AX7" i="4"/>
  <c r="BB4" i="4" s="1"/>
  <c r="BB7" i="4" s="1"/>
  <c r="BB8" i="4" s="1"/>
  <c r="AJ7" i="4"/>
  <c r="BI32" i="4" l="1"/>
  <c r="BI35" i="4" s="1"/>
  <c r="BI36" i="4" s="1"/>
  <c r="BG37" i="4" s="1"/>
  <c r="AE50" i="15"/>
  <c r="BQ23" i="15"/>
  <c r="BB49" i="15"/>
  <c r="AX50" i="15" s="1"/>
  <c r="AY50" i="15"/>
  <c r="AZ50" i="15"/>
  <c r="AH47" i="15"/>
  <c r="AH46" i="15"/>
  <c r="AK37" i="15"/>
  <c r="AL37" i="15"/>
  <c r="BF37" i="4"/>
  <c r="AS9" i="15"/>
  <c r="AV5" i="15" s="1"/>
  <c r="AN16" i="15"/>
  <c r="AL17" i="15" s="1"/>
  <c r="AR17" i="15"/>
  <c r="AQ17" i="15"/>
  <c r="AR26" i="4"/>
  <c r="BP49" i="4"/>
  <c r="BM50" i="4" s="1"/>
  <c r="AN49" i="4"/>
  <c r="AJ50" i="4" s="1"/>
  <c r="AE26" i="4"/>
  <c r="AK37" i="4"/>
  <c r="AX37" i="4"/>
  <c r="AU49" i="4"/>
  <c r="AS50" i="4" s="1"/>
  <c r="AJ37" i="4"/>
  <c r="BI49" i="4"/>
  <c r="BE50" i="4" s="1"/>
  <c r="BG50" i="4"/>
  <c r="AU36" i="4"/>
  <c r="AS37" i="4" s="1"/>
  <c r="AS26" i="4"/>
  <c r="AZ37" i="4"/>
  <c r="BS37" i="4"/>
  <c r="BE37" i="4"/>
  <c r="AG36" i="4"/>
  <c r="AC37" i="4" s="1"/>
  <c r="CD32" i="4"/>
  <c r="CD35" i="4" s="1"/>
  <c r="BU37" i="4"/>
  <c r="BP36" i="4"/>
  <c r="BL37" i="4" s="1"/>
  <c r="BP25" i="4"/>
  <c r="AC26" i="4"/>
  <c r="AU16" i="4"/>
  <c r="AS17" i="4" s="1"/>
  <c r="AE17" i="4"/>
  <c r="AD17" i="4"/>
  <c r="AX9" i="4"/>
  <c r="AN4" i="4"/>
  <c r="AN7" i="4" s="1"/>
  <c r="BN50" i="4" l="1"/>
  <c r="BL50" i="4"/>
  <c r="BQ47" i="4" s="1"/>
  <c r="K50" i="4" s="1"/>
  <c r="AV22" i="4"/>
  <c r="J23" i="4" s="1"/>
  <c r="J16" i="14" s="1"/>
  <c r="BC33" i="4"/>
  <c r="J35" i="4" s="1"/>
  <c r="J24" i="14" s="1"/>
  <c r="AO34" i="4"/>
  <c r="K33" i="4" s="1"/>
  <c r="K22" i="14" s="1"/>
  <c r="AR50" i="4"/>
  <c r="AO34" i="15"/>
  <c r="AH14" i="15"/>
  <c r="K12" i="15" s="1"/>
  <c r="AV6" i="15"/>
  <c r="BC46" i="15"/>
  <c r="BC47" i="15"/>
  <c r="BC34" i="4"/>
  <c r="K35" i="4" s="1"/>
  <c r="AK50" i="4"/>
  <c r="AJ17" i="15"/>
  <c r="AO14" i="15" s="1"/>
  <c r="AO33" i="15"/>
  <c r="AL50" i="4"/>
  <c r="AR37" i="4"/>
  <c r="AV13" i="15"/>
  <c r="AV14" i="15"/>
  <c r="AK17" i="15"/>
  <c r="BF50" i="4"/>
  <c r="BJ46" i="4" s="1"/>
  <c r="J49" i="4" s="1"/>
  <c r="AO33" i="4"/>
  <c r="J33" i="4" s="1"/>
  <c r="BN37" i="4"/>
  <c r="AQ50" i="4"/>
  <c r="BQ46" i="4"/>
  <c r="J50" i="4" s="1"/>
  <c r="AV23" i="4"/>
  <c r="K23" i="4" s="1"/>
  <c r="CD36" i="4"/>
  <c r="BZ37" i="4" s="1"/>
  <c r="BX34" i="4"/>
  <c r="K38" i="4" s="1"/>
  <c r="BX33" i="4"/>
  <c r="J38" i="4" s="1"/>
  <c r="AD37" i="4"/>
  <c r="AQ37" i="4"/>
  <c r="AQ17" i="4"/>
  <c r="BM37" i="4"/>
  <c r="AE37" i="4"/>
  <c r="BJ34" i="4"/>
  <c r="K36" i="4" s="1"/>
  <c r="BJ33" i="4"/>
  <c r="J36" i="4" s="1"/>
  <c r="BL26" i="4"/>
  <c r="BM26" i="4"/>
  <c r="AR17" i="4"/>
  <c r="BN26" i="4"/>
  <c r="AH22" i="4"/>
  <c r="J21" i="4" s="1"/>
  <c r="AH23" i="4"/>
  <c r="K21" i="4" s="1"/>
  <c r="AH13" i="4"/>
  <c r="J12" i="4" s="1"/>
  <c r="AH14" i="4"/>
  <c r="K12" i="4" s="1"/>
  <c r="AN8" i="4"/>
  <c r="AJ9" i="4" s="1"/>
  <c r="E67" i="20" l="1"/>
  <c r="D69" i="20"/>
  <c r="D46" i="20"/>
  <c r="AO47" i="4"/>
  <c r="K46" i="4" s="1"/>
  <c r="K6" i="16"/>
  <c r="BJ47" i="4"/>
  <c r="K49" i="4" s="1"/>
  <c r="W49" i="4" s="1"/>
  <c r="AO46" i="4"/>
  <c r="J34" i="14"/>
  <c r="K14" i="14"/>
  <c r="K35" i="14"/>
  <c r="J27" i="14"/>
  <c r="J25" i="14"/>
  <c r="J14" i="14"/>
  <c r="K25" i="14"/>
  <c r="K34" i="14"/>
  <c r="J22" i="14"/>
  <c r="K27" i="14"/>
  <c r="K9" i="14"/>
  <c r="K16" i="14"/>
  <c r="J9" i="14"/>
  <c r="J35" i="14"/>
  <c r="AV46" i="4"/>
  <c r="J47" i="4" s="1"/>
  <c r="K24" i="14"/>
  <c r="K31" i="14"/>
  <c r="AV47" i="4"/>
  <c r="K47" i="4" s="1"/>
  <c r="BQ34" i="4"/>
  <c r="K37" i="4" s="1"/>
  <c r="AV14" i="4"/>
  <c r="K14" i="4" s="1"/>
  <c r="BQ33" i="4"/>
  <c r="J37" i="4" s="1"/>
  <c r="AH34" i="4"/>
  <c r="K32" i="4" s="1"/>
  <c r="U32" i="4" s="1"/>
  <c r="AH33" i="4"/>
  <c r="J32" i="4" s="1"/>
  <c r="T21" i="4"/>
  <c r="CB37" i="4"/>
  <c r="AV13" i="4"/>
  <c r="J14" i="4" s="1"/>
  <c r="V21" i="4"/>
  <c r="W21" i="4"/>
  <c r="P21" i="4"/>
  <c r="AV33" i="4"/>
  <c r="J34" i="4" s="1"/>
  <c r="AV34" i="4"/>
  <c r="K34" i="4" s="1"/>
  <c r="CA37" i="4"/>
  <c r="BQ23" i="4"/>
  <c r="K26" i="4" s="1"/>
  <c r="BQ22" i="4"/>
  <c r="J26" i="4" s="1"/>
  <c r="Q21" i="4"/>
  <c r="U21" i="4"/>
  <c r="X21" i="4" s="1"/>
  <c r="M21" i="4" s="1"/>
  <c r="R21" i="4"/>
  <c r="V50" i="4"/>
  <c r="P33" i="4"/>
  <c r="U12" i="4"/>
  <c r="W12" i="4"/>
  <c r="V38" i="4"/>
  <c r="P12" i="4"/>
  <c r="U38" i="4"/>
  <c r="R12" i="4"/>
  <c r="R36" i="4"/>
  <c r="W38" i="4"/>
  <c r="W35" i="4"/>
  <c r="Q36" i="4"/>
  <c r="Q33" i="4"/>
  <c r="R50" i="4"/>
  <c r="V49" i="4"/>
  <c r="Q12" i="4"/>
  <c r="Q49" i="4"/>
  <c r="T33" i="4"/>
  <c r="Q38" i="4"/>
  <c r="P38" i="4"/>
  <c r="W36" i="4"/>
  <c r="V33" i="4"/>
  <c r="U33" i="4"/>
  <c r="U23" i="4"/>
  <c r="P49" i="4"/>
  <c r="U49" i="4"/>
  <c r="R33" i="4"/>
  <c r="T38" i="4"/>
  <c r="Q35" i="4"/>
  <c r="R38" i="4"/>
  <c r="R49" i="4"/>
  <c r="T12" i="4"/>
  <c r="T49" i="4"/>
  <c r="P23" i="4"/>
  <c r="W33" i="4"/>
  <c r="V12" i="4"/>
  <c r="R23" i="4"/>
  <c r="U50" i="4"/>
  <c r="W23" i="4"/>
  <c r="P50" i="4"/>
  <c r="P47" i="4"/>
  <c r="Q23" i="4"/>
  <c r="Q50" i="4"/>
  <c r="V23" i="4"/>
  <c r="T50" i="4"/>
  <c r="W50" i="4"/>
  <c r="T23" i="4"/>
  <c r="P35" i="4"/>
  <c r="P36" i="4"/>
  <c r="R35" i="4"/>
  <c r="T35" i="4"/>
  <c r="T36" i="4"/>
  <c r="V35" i="4"/>
  <c r="U35" i="4"/>
  <c r="V36" i="4"/>
  <c r="U36" i="4"/>
  <c r="E72" i="20" l="1"/>
  <c r="D94" i="20"/>
  <c r="E93" i="20"/>
  <c r="E44" i="20"/>
  <c r="E69" i="20"/>
  <c r="D23" i="20"/>
  <c r="E70" i="20"/>
  <c r="D93" i="20"/>
  <c r="E90" i="20"/>
  <c r="E46" i="20"/>
  <c r="D44" i="20"/>
  <c r="J46" i="4"/>
  <c r="E23" i="20"/>
  <c r="D70" i="20"/>
  <c r="D72" i="20"/>
  <c r="Q34" i="4"/>
  <c r="V47" i="4"/>
  <c r="D67" i="20"/>
  <c r="E94" i="20"/>
  <c r="W47" i="4"/>
  <c r="V37" i="4"/>
  <c r="U47" i="4"/>
  <c r="U46" i="4"/>
  <c r="J31" i="14"/>
  <c r="Q47" i="4"/>
  <c r="T47" i="4"/>
  <c r="R47" i="4"/>
  <c r="S47" i="4" s="1"/>
  <c r="L47" i="4" s="1"/>
  <c r="CE34" i="4"/>
  <c r="K39" i="4" s="1"/>
  <c r="K28" i="14" s="1"/>
  <c r="J19" i="14"/>
  <c r="K11" i="14"/>
  <c r="K26" i="14"/>
  <c r="K23" i="14"/>
  <c r="K21" i="14"/>
  <c r="M14" i="14"/>
  <c r="J23" i="14"/>
  <c r="J26" i="14"/>
  <c r="K32" i="14"/>
  <c r="J32" i="14"/>
  <c r="Q26" i="4"/>
  <c r="K19" i="14"/>
  <c r="T14" i="4"/>
  <c r="J11" i="14"/>
  <c r="Y21" i="4"/>
  <c r="N21" i="4" s="1"/>
  <c r="Q32" i="4"/>
  <c r="J21" i="14"/>
  <c r="P37" i="4"/>
  <c r="W37" i="4"/>
  <c r="Y37" i="4" s="1"/>
  <c r="N37" i="4" s="1"/>
  <c r="R14" i="4"/>
  <c r="W32" i="4"/>
  <c r="P32" i="4"/>
  <c r="V34" i="4"/>
  <c r="Q37" i="4"/>
  <c r="T37" i="4"/>
  <c r="R37" i="4"/>
  <c r="P34" i="4"/>
  <c r="R32" i="4"/>
  <c r="S32" i="4" s="1"/>
  <c r="L32" i="4" s="1"/>
  <c r="Q14" i="4"/>
  <c r="W14" i="4"/>
  <c r="U37" i="4"/>
  <c r="V32" i="4"/>
  <c r="T32" i="4"/>
  <c r="X32" i="4" s="1"/>
  <c r="M32" i="4" s="1"/>
  <c r="R34" i="4"/>
  <c r="V26" i="4"/>
  <c r="T34" i="4"/>
  <c r="R26" i="4"/>
  <c r="U34" i="4"/>
  <c r="CE33" i="4"/>
  <c r="J39" i="4" s="1"/>
  <c r="P14" i="4"/>
  <c r="V14" i="4"/>
  <c r="U14" i="4"/>
  <c r="U26" i="4"/>
  <c r="W26" i="4"/>
  <c r="W34" i="4"/>
  <c r="P26" i="4"/>
  <c r="T26" i="4"/>
  <c r="S21" i="4"/>
  <c r="L21" i="4" s="1"/>
  <c r="Y50" i="4"/>
  <c r="N50" i="4" s="1"/>
  <c r="X12" i="4"/>
  <c r="M12" i="4" s="1"/>
  <c r="S12" i="4"/>
  <c r="L12" i="4" s="1"/>
  <c r="Y38" i="4"/>
  <c r="N38" i="4" s="1"/>
  <c r="S49" i="4"/>
  <c r="L49" i="4" s="1"/>
  <c r="X23" i="4"/>
  <c r="M23" i="4" s="1"/>
  <c r="Y12" i="4"/>
  <c r="N12" i="4" s="1"/>
  <c r="S36" i="4"/>
  <c r="L36" i="4" s="1"/>
  <c r="Y32" i="4"/>
  <c r="N32" i="4" s="1"/>
  <c r="Y36" i="4"/>
  <c r="N36" i="4" s="1"/>
  <c r="S33" i="4"/>
  <c r="L33" i="4" s="1"/>
  <c r="X38" i="4"/>
  <c r="M38" i="4" s="1"/>
  <c r="Y33" i="4"/>
  <c r="N33" i="4" s="1"/>
  <c r="X33" i="4"/>
  <c r="M33" i="4" s="1"/>
  <c r="Y49" i="4"/>
  <c r="N49" i="4" s="1"/>
  <c r="X35" i="4"/>
  <c r="M35" i="4" s="1"/>
  <c r="S38" i="4"/>
  <c r="L38" i="4" s="1"/>
  <c r="Y35" i="4"/>
  <c r="N35" i="4" s="1"/>
  <c r="X49" i="4"/>
  <c r="M49" i="4" s="1"/>
  <c r="Y47" i="4"/>
  <c r="N47" i="4" s="1"/>
  <c r="S23" i="4"/>
  <c r="L23" i="4" s="1"/>
  <c r="S50" i="4"/>
  <c r="L50" i="4" s="1"/>
  <c r="X47" i="4"/>
  <c r="M47" i="4" s="1"/>
  <c r="S35" i="4"/>
  <c r="L35" i="4" s="1"/>
  <c r="X50" i="4"/>
  <c r="M50" i="4" s="1"/>
  <c r="Y23" i="4"/>
  <c r="N23" i="4" s="1"/>
  <c r="X36" i="4"/>
  <c r="M36" i="4" s="1"/>
  <c r="E73" i="20" l="1"/>
  <c r="D66" i="20"/>
  <c r="E66" i="20"/>
  <c r="D90" i="20"/>
  <c r="Q46" i="4"/>
  <c r="R46" i="4"/>
  <c r="D91" i="20"/>
  <c r="E68" i="20"/>
  <c r="T46" i="4"/>
  <c r="X46" i="4" s="1"/>
  <c r="M46" i="4" s="1"/>
  <c r="M31" i="14" s="1"/>
  <c r="S34" i="4"/>
  <c r="L34" i="4" s="1"/>
  <c r="L23" i="14" s="1"/>
  <c r="E91" i="20"/>
  <c r="P46" i="4"/>
  <c r="D25" i="20"/>
  <c r="D71" i="20"/>
  <c r="E71" i="20"/>
  <c r="D68" i="20"/>
  <c r="E25" i="20"/>
  <c r="W46" i="4"/>
  <c r="E49" i="20"/>
  <c r="D49" i="20"/>
  <c r="V46" i="4"/>
  <c r="Y46" i="4" s="1"/>
  <c r="N46" i="4" s="1"/>
  <c r="N31" i="14" s="1"/>
  <c r="Y26" i="4"/>
  <c r="N26" i="4" s="1"/>
  <c r="M35" i="14"/>
  <c r="N21" i="14"/>
  <c r="L21" i="14"/>
  <c r="N32" i="14"/>
  <c r="M34" i="14"/>
  <c r="N22" i="14"/>
  <c r="N35" i="14"/>
  <c r="L32" i="14"/>
  <c r="N24" i="14"/>
  <c r="M27" i="14"/>
  <c r="M16" i="14"/>
  <c r="L14" i="14"/>
  <c r="N26" i="14"/>
  <c r="M25" i="14"/>
  <c r="M32" i="14"/>
  <c r="L27" i="14"/>
  <c r="L22" i="14"/>
  <c r="L34" i="14"/>
  <c r="X26" i="4"/>
  <c r="M26" i="4" s="1"/>
  <c r="X14" i="4"/>
  <c r="M14" i="4" s="1"/>
  <c r="S37" i="4"/>
  <c r="L37" i="4" s="1"/>
  <c r="N16" i="14"/>
  <c r="N25" i="14"/>
  <c r="N27" i="14"/>
  <c r="N19" i="14"/>
  <c r="S14" i="4"/>
  <c r="L14" i="4" s="1"/>
  <c r="L35" i="14"/>
  <c r="N34" i="14"/>
  <c r="L9" i="14"/>
  <c r="L25" i="14"/>
  <c r="M21" i="14"/>
  <c r="N14" i="14"/>
  <c r="M24" i="14"/>
  <c r="L16" i="14"/>
  <c r="L24" i="14"/>
  <c r="M22" i="14"/>
  <c r="M9" i="14"/>
  <c r="P39" i="4"/>
  <c r="N9" i="14"/>
  <c r="Q39" i="4"/>
  <c r="J28" i="14"/>
  <c r="Y14" i="4"/>
  <c r="N14" i="4" s="1"/>
  <c r="Y34" i="4"/>
  <c r="N34" i="4" s="1"/>
  <c r="X37" i="4"/>
  <c r="M37" i="4" s="1"/>
  <c r="W39" i="4"/>
  <c r="X34" i="4"/>
  <c r="M34" i="4" s="1"/>
  <c r="U39" i="4"/>
  <c r="V39" i="4"/>
  <c r="T39" i="4"/>
  <c r="R39" i="4"/>
  <c r="S26" i="4"/>
  <c r="L26" i="4" s="1"/>
  <c r="D73" i="20" l="1"/>
  <c r="S46" i="4"/>
  <c r="L46" i="4" s="1"/>
  <c r="L31" i="14" s="1"/>
  <c r="L26" i="14"/>
  <c r="L19" i="14"/>
  <c r="M26" i="14"/>
  <c r="M11" i="14"/>
  <c r="M23" i="14"/>
  <c r="N23" i="14"/>
  <c r="M19" i="14"/>
  <c r="N11" i="14"/>
  <c r="L11" i="14"/>
  <c r="S39" i="4"/>
  <c r="L39" i="4" s="1"/>
  <c r="Y39" i="4"/>
  <c r="N39" i="4" s="1"/>
  <c r="X39" i="4"/>
  <c r="M39" i="4" s="1"/>
  <c r="N28" i="14" l="1"/>
  <c r="M28" i="14"/>
  <c r="L28" i="14"/>
  <c r="AC7" i="4" a="1"/>
  <c r="AQ7" i="4" a="1"/>
  <c r="AQ7" i="4" l="1"/>
  <c r="AC7" i="4"/>
  <c r="AG4" i="4" s="1"/>
  <c r="AG7" i="4" s="1"/>
  <c r="AG8" i="4" l="1"/>
  <c r="AC9" i="4" s="1"/>
  <c r="AU4" i="4"/>
  <c r="AU7" i="4" s="1"/>
  <c r="AU8" i="4" l="1"/>
  <c r="AQ9" i="4" s="1"/>
  <c r="AY8" i="4" a="1"/>
  <c r="AR8" i="4" a="1"/>
  <c r="AR8" i="4" s="1"/>
  <c r="AD8" i="4" a="1"/>
  <c r="AK8" i="4" a="1"/>
  <c r="AR9" i="4" l="1"/>
  <c r="AY8" i="4"/>
  <c r="AY9" i="4" s="1"/>
  <c r="AZ9" i="4"/>
  <c r="AS9" i="4"/>
  <c r="AD8" i="4"/>
  <c r="AD9" i="4" s="1"/>
  <c r="AE9" i="4"/>
  <c r="AK8" i="4"/>
  <c r="AK9" i="4" s="1"/>
  <c r="AL9" i="4"/>
  <c r="AV6" i="4" l="1"/>
  <c r="K6" i="4" s="1"/>
  <c r="AH5" i="4"/>
  <c r="J4" i="4" s="1"/>
  <c r="AH6" i="4"/>
  <c r="K4" i="4" s="1"/>
  <c r="BC5" i="4"/>
  <c r="J7" i="4" s="1"/>
  <c r="BC6" i="4"/>
  <c r="K7" i="4" s="1"/>
  <c r="AV5" i="4"/>
  <c r="J6" i="4" s="1"/>
  <c r="AO6" i="4"/>
  <c r="K5" i="4" s="1"/>
  <c r="AO5" i="4"/>
  <c r="J5" i="4" s="1"/>
  <c r="J4" i="14" l="1"/>
  <c r="J6" i="14"/>
  <c r="K7" i="14"/>
  <c r="J7" i="14"/>
  <c r="K4" i="14"/>
  <c r="J5" i="14"/>
  <c r="K5" i="14"/>
  <c r="K6" i="14"/>
  <c r="U5" i="4"/>
  <c r="Q5" i="4"/>
  <c r="R5" i="4"/>
  <c r="P5" i="4"/>
  <c r="V5" i="4"/>
  <c r="W5" i="4"/>
  <c r="T5" i="4"/>
  <c r="Q7" i="4"/>
  <c r="W7" i="4"/>
  <c r="P7" i="4"/>
  <c r="U7" i="4"/>
  <c r="T7" i="4"/>
  <c r="V7" i="4"/>
  <c r="R7" i="4"/>
  <c r="P6" i="4"/>
  <c r="R6" i="4"/>
  <c r="T6" i="4"/>
  <c r="U6" i="4"/>
  <c r="W6" i="4"/>
  <c r="V6" i="4"/>
  <c r="Q6" i="4"/>
  <c r="V4" i="4"/>
  <c r="P4" i="4"/>
  <c r="R4" i="4"/>
  <c r="T4" i="4"/>
  <c r="Q4" i="4"/>
  <c r="U4" i="4"/>
  <c r="W4" i="4"/>
  <c r="D5" i="20" l="1"/>
  <c r="E4" i="20"/>
  <c r="D7" i="20"/>
  <c r="E7" i="20"/>
  <c r="E6" i="20"/>
  <c r="D6" i="20"/>
  <c r="E5" i="20"/>
  <c r="D4" i="20"/>
  <c r="X5" i="4"/>
  <c r="M5" i="4" s="1"/>
  <c r="Y6" i="4"/>
  <c r="N6" i="4" s="1"/>
  <c r="S6" i="4"/>
  <c r="L6" i="4" s="1"/>
  <c r="Y5" i="4"/>
  <c r="N5" i="4" s="1"/>
  <c r="S4" i="4"/>
  <c r="L4" i="4" s="1"/>
  <c r="Y7" i="4"/>
  <c r="N7" i="4" s="1"/>
  <c r="X4" i="4"/>
  <c r="M4" i="4" s="1"/>
  <c r="S7" i="4"/>
  <c r="L7" i="4" s="1"/>
  <c r="S5" i="4"/>
  <c r="L5" i="4" s="1"/>
  <c r="X7" i="4"/>
  <c r="M7" i="4" s="1"/>
  <c r="Y4" i="4"/>
  <c r="N4" i="4" s="1"/>
  <c r="X6" i="4"/>
  <c r="M6" i="4" s="1"/>
  <c r="AX15" i="4" a="1"/>
  <c r="AY16" i="4" a="1"/>
  <c r="AY16" i="4" s="1"/>
  <c r="M4" i="14" l="1"/>
  <c r="M5" i="14"/>
  <c r="M6" i="14"/>
  <c r="N7" i="14"/>
  <c r="N4" i="14"/>
  <c r="L4" i="14"/>
  <c r="M7" i="14"/>
  <c r="N5" i="14"/>
  <c r="L5" i="14"/>
  <c r="L6" i="14"/>
  <c r="L7" i="14"/>
  <c r="N6" i="14"/>
  <c r="AX15" i="4"/>
  <c r="BB12" i="4" s="1"/>
  <c r="BB15" i="4" s="1"/>
  <c r="BB16" i="4" l="1"/>
  <c r="AX17" i="4" s="1"/>
  <c r="AZ17" i="4" l="1"/>
  <c r="AY17" i="4"/>
  <c r="AJ15" i="4" a="1"/>
  <c r="AK16" i="4" a="1"/>
  <c r="AK16" i="4" s="1"/>
  <c r="BC14" i="4" l="1"/>
  <c r="K15" i="4" s="1"/>
  <c r="BC13" i="4"/>
  <c r="J15" i="4" s="1"/>
  <c r="AJ15" i="4"/>
  <c r="AN12" i="4" s="1"/>
  <c r="AN15" i="4" s="1"/>
  <c r="P15" i="4" l="1"/>
  <c r="W15" i="4"/>
  <c r="T15" i="4"/>
  <c r="U15" i="4"/>
  <c r="X15" i="4" s="1"/>
  <c r="M15" i="4" s="1"/>
  <c r="K12" i="14"/>
  <c r="R15" i="4"/>
  <c r="J12" i="14"/>
  <c r="Q15" i="4"/>
  <c r="V15" i="4"/>
  <c r="Y15" i="4" s="1"/>
  <c r="N15" i="4" s="1"/>
  <c r="AN16" i="4"/>
  <c r="AL17" i="4" s="1"/>
  <c r="E26" i="20" l="1"/>
  <c r="D26" i="20"/>
  <c r="M12" i="14"/>
  <c r="N12" i="14"/>
  <c r="S15" i="4"/>
  <c r="L15" i="4" s="1"/>
  <c r="AJ17" i="4"/>
  <c r="AK17" i="4"/>
  <c r="L12" i="14" l="1"/>
  <c r="AO13" i="4"/>
  <c r="J13" i="4" s="1"/>
  <c r="AO14" i="4"/>
  <c r="K13" i="4" s="1"/>
  <c r="T13" i="4"/>
  <c r="J10" i="14" l="1"/>
  <c r="K10" i="14"/>
  <c r="R13" i="4"/>
  <c r="W13" i="4"/>
  <c r="V13" i="4"/>
  <c r="Q13" i="4"/>
  <c r="U13" i="4"/>
  <c r="P13" i="4"/>
  <c r="X13" i="4"/>
  <c r="M13" i="4" s="1"/>
  <c r="AJ24" i="4" a="1"/>
  <c r="AJ24" i="4" s="1"/>
  <c r="AX24" i="4" a="1"/>
  <c r="E24" i="20" l="1"/>
  <c r="D24" i="20"/>
  <c r="Y13" i="4"/>
  <c r="N13" i="4" s="1"/>
  <c r="N10" i="14" s="1"/>
  <c r="M10" i="14"/>
  <c r="S13" i="4"/>
  <c r="L13" i="4" s="1"/>
  <c r="AN21" i="4"/>
  <c r="AN24" i="4" s="1"/>
  <c r="AX24" i="4"/>
  <c r="BB21" i="4" s="1"/>
  <c r="BB24" i="4" s="1"/>
  <c r="L10" i="14" l="1"/>
  <c r="BB25" i="4"/>
  <c r="AN25" i="4"/>
  <c r="AJ26" i="4" s="1"/>
  <c r="AX26" i="4" l="1"/>
  <c r="AK25" i="4" l="1" a="1"/>
  <c r="AK25" i="4" s="1"/>
  <c r="AK26" i="4" s="1"/>
  <c r="BF25" i="4" a="1"/>
  <c r="BG26" i="4" s="1"/>
  <c r="BF25" i="4" l="1"/>
  <c r="BF26" i="4" s="1"/>
  <c r="AL26" i="4"/>
  <c r="AO23" i="4" s="1"/>
  <c r="K22" i="4" s="1"/>
  <c r="K15" i="14" l="1"/>
  <c r="BJ22" i="4"/>
  <c r="J25" i="4" s="1"/>
  <c r="BJ23" i="4"/>
  <c r="K25" i="4" s="1"/>
  <c r="AO22" i="4"/>
  <c r="J22" i="4" s="1"/>
  <c r="E45" i="20" l="1"/>
  <c r="J15" i="14"/>
  <c r="K18" i="14"/>
  <c r="J18" i="14"/>
  <c r="R22" i="4"/>
  <c r="V22" i="4"/>
  <c r="P22" i="4"/>
  <c r="W22" i="4"/>
  <c r="U22" i="4"/>
  <c r="T22" i="4"/>
  <c r="Q22" i="4"/>
  <c r="V25" i="4"/>
  <c r="P25" i="4"/>
  <c r="Q25" i="4"/>
  <c r="T25" i="4"/>
  <c r="W25" i="4"/>
  <c r="R25" i="4"/>
  <c r="U25" i="4"/>
  <c r="D48" i="20" l="1"/>
  <c r="E48" i="20"/>
  <c r="D45" i="20"/>
  <c r="Y25" i="4"/>
  <c r="N25" i="4" s="1"/>
  <c r="N18" i="14" s="1"/>
  <c r="S25" i="4"/>
  <c r="L25" i="4" s="1"/>
  <c r="L18" i="14" s="1"/>
  <c r="X22" i="4"/>
  <c r="M22" i="4" s="1"/>
  <c r="Y22" i="4"/>
  <c r="N22" i="4" s="1"/>
  <c r="X25" i="4"/>
  <c r="M25" i="4" s="1"/>
  <c r="S22" i="4"/>
  <c r="L22" i="4" s="1"/>
  <c r="AY25" i="4" a="1"/>
  <c r="AZ26" i="4" s="1"/>
  <c r="N15" i="14" l="1"/>
  <c r="M15" i="14"/>
  <c r="L15" i="14"/>
  <c r="M18" i="14"/>
  <c r="AY25" i="4"/>
  <c r="AY26" i="4" s="1"/>
  <c r="BC23" i="4" l="1"/>
  <c r="K24" i="4" s="1"/>
  <c r="BC22" i="4"/>
  <c r="J24" i="4" s="1"/>
  <c r="J17" i="14" l="1"/>
  <c r="K17" i="14"/>
  <c r="P24" i="4"/>
  <c r="W24" i="4"/>
  <c r="V24" i="4"/>
  <c r="Q24" i="4"/>
  <c r="R24" i="4"/>
  <c r="T24" i="4"/>
  <c r="U24" i="4"/>
  <c r="AX48" i="4" a="1"/>
  <c r="AX48" i="4" s="1"/>
  <c r="AC48" i="4" a="1"/>
  <c r="E47" i="20" l="1"/>
  <c r="D47" i="20"/>
  <c r="Y24" i="4"/>
  <c r="N24" i="4" s="1"/>
  <c r="N17" i="14" s="1"/>
  <c r="X24" i="4"/>
  <c r="M24" i="4" s="1"/>
  <c r="BB45" i="4"/>
  <c r="BB48" i="4" s="1"/>
  <c r="S24" i="4"/>
  <c r="L24" i="4" s="1"/>
  <c r="AC48" i="4"/>
  <c r="AG45" i="4" s="1"/>
  <c r="AG48" i="4" s="1"/>
  <c r="M17" i="14" l="1"/>
  <c r="L17" i="14"/>
  <c r="AG49" i="4"/>
  <c r="AE50" i="4" s="1"/>
  <c r="AC50" i="4"/>
  <c r="BB49" i="4"/>
  <c r="AZ50" i="4" s="1"/>
  <c r="AX50" i="4" l="1"/>
  <c r="AY50" i="4"/>
  <c r="AD50" i="4"/>
  <c r="AH46" i="4" s="1"/>
  <c r="J45" i="4" s="1"/>
  <c r="BC47" i="4"/>
  <c r="K48" i="4" s="1"/>
  <c r="BC46" i="4"/>
  <c r="J48" i="4" s="1"/>
  <c r="AH47" i="4" l="1"/>
  <c r="K45" i="4" s="1"/>
  <c r="P45" i="4"/>
  <c r="J30" i="14"/>
  <c r="K33" i="14"/>
  <c r="J33" i="14"/>
  <c r="K30" i="14"/>
  <c r="T48" i="4"/>
  <c r="U48" i="4"/>
  <c r="P48" i="4"/>
  <c r="V48" i="4"/>
  <c r="W48" i="4"/>
  <c r="R48" i="4"/>
  <c r="Q48" i="4"/>
  <c r="R45" i="4"/>
  <c r="W45" i="4"/>
  <c r="Q45" i="4"/>
  <c r="T45" i="4"/>
  <c r="U45" i="4"/>
  <c r="V45" i="4"/>
  <c r="E89" i="20" l="1"/>
  <c r="D92" i="20"/>
  <c r="E92" i="20"/>
  <c r="D89" i="20"/>
  <c r="S45" i="4"/>
  <c r="L45" i="4" s="1"/>
  <c r="L30" i="14" s="1"/>
  <c r="Y48" i="4"/>
  <c r="N48" i="4" s="1"/>
  <c r="X45" i="4"/>
  <c r="M45" i="4" s="1"/>
  <c r="Y45" i="4"/>
  <c r="N45" i="4" s="1"/>
  <c r="S48" i="4"/>
  <c r="L48" i="4" s="1"/>
  <c r="X48" i="4"/>
  <c r="M48" i="4" s="1"/>
  <c r="AK49" i="15" a="1"/>
  <c r="AK49" i="15" s="1"/>
  <c r="CA36" i="15" a="1"/>
  <c r="CA36" i="15" s="1"/>
  <c r="AQ35" i="15" a="1"/>
  <c r="AY16" i="15" a="1"/>
  <c r="AY16" i="15" s="1"/>
  <c r="AX15" i="15" a="1"/>
  <c r="AX15" i="15" s="1"/>
  <c r="BF49" i="15" a="1"/>
  <c r="BF49" i="15" s="1"/>
  <c r="BF50" i="15" s="1"/>
  <c r="BL48" i="15" a="1"/>
  <c r="BT36" i="15" a="1"/>
  <c r="BT36" i="15" s="1"/>
  <c r="AD36" i="15" a="1"/>
  <c r="AE37" i="15" s="1"/>
  <c r="BZ35" i="15" a="1"/>
  <c r="BZ35" i="15" s="1"/>
  <c r="AR49" i="15" a="1"/>
  <c r="AR49" i="15" s="1"/>
  <c r="BF36" i="15" a="1"/>
  <c r="BF36" i="15"/>
  <c r="BL35" i="15" a="1"/>
  <c r="BP32" i="15" s="1"/>
  <c r="BP35" i="15" s="1"/>
  <c r="BL35" i="15"/>
  <c r="AQ48" i="15" a="1"/>
  <c r="AY36" i="15" a="1"/>
  <c r="AY36" i="15" s="1"/>
  <c r="BE35" i="15" a="1"/>
  <c r="BE35" i="15" s="1"/>
  <c r="AJ48" i="15" a="1"/>
  <c r="AJ48" i="15" s="1"/>
  <c r="AX35" i="15" a="1"/>
  <c r="AX35" i="15" s="1"/>
  <c r="AY8" i="15" a="1"/>
  <c r="AY8" i="15" s="1"/>
  <c r="AX7" i="15" a="1"/>
  <c r="AX7" i="15" s="1"/>
  <c r="AU21" i="15"/>
  <c r="AU24" i="15" s="1"/>
  <c r="AJ7" i="15" a="1"/>
  <c r="AJ7" i="15" s="1"/>
  <c r="BG50" i="15"/>
  <c r="BQ22" i="15"/>
  <c r="N30" i="14" l="1"/>
  <c r="N33" i="14"/>
  <c r="L33" i="14"/>
  <c r="M30" i="14"/>
  <c r="M33" i="14"/>
  <c r="AK50" i="15"/>
  <c r="AN45" i="15"/>
  <c r="AN48" i="15" s="1"/>
  <c r="AL50" i="15" s="1"/>
  <c r="AD36" i="15"/>
  <c r="AD37" i="15" s="1"/>
  <c r="BJ47" i="15"/>
  <c r="BJ46" i="15"/>
  <c r="AQ48" i="15"/>
  <c r="AU45" i="15" s="1"/>
  <c r="AU48" i="15" s="1"/>
  <c r="BL48" i="15"/>
  <c r="BP45" i="15" s="1"/>
  <c r="BP48" i="15" s="1"/>
  <c r="BM37" i="15"/>
  <c r="BN37" i="15"/>
  <c r="BP36" i="15"/>
  <c r="BL37" i="15"/>
  <c r="AU32" i="15"/>
  <c r="AU35" i="15" s="1"/>
  <c r="AQ35" i="15"/>
  <c r="BF37" i="15"/>
  <c r="BB32" i="15"/>
  <c r="BB35" i="15" s="1"/>
  <c r="CD32" i="15"/>
  <c r="CD35" i="15" s="1"/>
  <c r="BI32" i="15"/>
  <c r="BI35" i="15" s="1"/>
  <c r="AU25" i="15"/>
  <c r="AQ26" i="15"/>
  <c r="BB12" i="15"/>
  <c r="BB15" i="15" s="1"/>
  <c r="AY17" i="15" s="1"/>
  <c r="BB4" i="15"/>
  <c r="BB7" i="15" s="1"/>
  <c r="AZ9" i="15"/>
  <c r="AN4" i="15"/>
  <c r="AN7" i="15" s="1"/>
  <c r="AN8" i="15" s="1"/>
  <c r="AK9" i="15" s="1"/>
  <c r="AN49" i="15" l="1"/>
  <c r="AJ50" i="15"/>
  <c r="AH34" i="15"/>
  <c r="AH33" i="15"/>
  <c r="BL50" i="15"/>
  <c r="BP49" i="15"/>
  <c r="AU49" i="15"/>
  <c r="AQ50" i="15"/>
  <c r="AS50" i="15"/>
  <c r="AR50" i="15"/>
  <c r="AQ37" i="15"/>
  <c r="AU36" i="15"/>
  <c r="AX37" i="15"/>
  <c r="BB36" i="15"/>
  <c r="AZ37" i="15"/>
  <c r="BZ37" i="15"/>
  <c r="CB37" i="15"/>
  <c r="CD36" i="15"/>
  <c r="CA37" i="15"/>
  <c r="AY37" i="15"/>
  <c r="BQ33" i="15"/>
  <c r="BQ34" i="15"/>
  <c r="BE37" i="15"/>
  <c r="BG37" i="15"/>
  <c r="BI36" i="15"/>
  <c r="BB16" i="15"/>
  <c r="AX17" i="15"/>
  <c r="AZ17" i="15"/>
  <c r="BB8" i="15"/>
  <c r="AX9" i="15"/>
  <c r="AY9" i="15"/>
  <c r="AJ9" i="15"/>
  <c r="AO6" i="15" s="1"/>
  <c r="AL9" i="15"/>
  <c r="AO46" i="15" l="1"/>
  <c r="AO47" i="15"/>
  <c r="AV46" i="15"/>
  <c r="AV47" i="15"/>
  <c r="BC33" i="15"/>
  <c r="BC34" i="15"/>
  <c r="BJ33" i="15"/>
  <c r="BJ34" i="15"/>
  <c r="CE33" i="15"/>
  <c r="CE34" i="15"/>
  <c r="BC13" i="15"/>
  <c r="BC14" i="15"/>
  <c r="BC5" i="15"/>
  <c r="BC6" i="15"/>
  <c r="AY25" i="15" l="1" a="1"/>
  <c r="AY25" i="15"/>
  <c r="AR25" i="15" a="1"/>
  <c r="AR25" i="15"/>
  <c r="AD25" i="15" a="1"/>
  <c r="AD25" i="15" s="1"/>
  <c r="AH22" i="15" s="1"/>
  <c r="AC24" i="15" a="1"/>
  <c r="BF25" i="15" a="1"/>
  <c r="BF25" i="15"/>
  <c r="AY26" i="15"/>
  <c r="BF26" i="15"/>
  <c r="BG26" i="15"/>
  <c r="AZ26" i="15"/>
  <c r="BC23" i="15"/>
  <c r="BJ23" i="15"/>
  <c r="BC22" i="15"/>
  <c r="BJ22" i="15"/>
  <c r="AS26" i="15"/>
  <c r="AR26" i="15"/>
  <c r="AV23" i="15"/>
  <c r="AV22" i="15"/>
  <c r="AK25" i="15" a="1"/>
  <c r="AK25" i="15" s="1"/>
  <c r="AO22" i="15" s="1"/>
  <c r="AJ24" i="15" a="1"/>
  <c r="AJ24" i="15" l="1"/>
  <c r="AN21" i="15"/>
  <c r="AN24" i="15" s="1"/>
  <c r="AC24" i="15"/>
  <c r="AG21" i="15" s="1"/>
  <c r="AG24" i="15" s="1"/>
  <c r="AJ26" i="15" l="1"/>
  <c r="AN25" i="15"/>
  <c r="AK26" i="15"/>
  <c r="AL26" i="15"/>
  <c r="AG25" i="15"/>
  <c r="AC26" i="15" s="1"/>
  <c r="AE26" i="15"/>
  <c r="AO23" i="15" l="1"/>
  <c r="AD26" i="15"/>
  <c r="AH23" i="15" s="1"/>
  <c r="BS35" i="15" l="1" a="1"/>
  <c r="AR36" i="15" a="1"/>
  <c r="AR36" i="15"/>
  <c r="BS35" i="15"/>
  <c r="BW32" i="15"/>
  <c r="BW35" i="15"/>
  <c r="BW36" i="15"/>
  <c r="BS37" i="15"/>
  <c r="BT37" i="15"/>
  <c r="BU37" i="15"/>
  <c r="BX33" i="15"/>
  <c r="BX34" i="15"/>
  <c r="AS37" i="15"/>
  <c r="AR37" i="15"/>
  <c r="AV34" i="15"/>
  <c r="AV33" i="15"/>
  <c r="BM49" i="15" a="1"/>
  <c r="BM49" i="15"/>
  <c r="BM50" i="15"/>
  <c r="BN50" i="15"/>
  <c r="BQ46" i="15"/>
  <c r="BQ47" i="15"/>
  <c r="BF49" i="17" a="1"/>
  <c r="BF49" i="17"/>
  <c r="BF50" i="17" s="1"/>
  <c r="AR49" i="17" a="1"/>
  <c r="AR49" i="17" s="1"/>
  <c r="AR50" i="17" s="1"/>
  <c r="BL48" i="17" a="1"/>
  <c r="BL48" i="17" s="1"/>
  <c r="BP45" i="17" s="1"/>
  <c r="BP48" i="17" s="1"/>
  <c r="AY49" i="17" a="1"/>
  <c r="AZ50" i="17" s="1"/>
  <c r="AJ48" i="17" a="1"/>
  <c r="AN45" i="17" s="1"/>
  <c r="AN48" i="17" s="1"/>
  <c r="AJ48" i="17"/>
  <c r="AK49" i="17" a="1"/>
  <c r="AK49" i="17" s="1"/>
  <c r="BF36" i="17" a="1"/>
  <c r="BF36" i="17" s="1"/>
  <c r="BF37" i="17" s="1"/>
  <c r="BL35" i="17" a="1"/>
  <c r="BL35" i="17" s="1"/>
  <c r="BF25" i="17" a="1"/>
  <c r="BF25" i="17" s="1"/>
  <c r="BE24" i="17" a="1"/>
  <c r="BE24" i="17" s="1"/>
  <c r="AC48" i="17" a="1"/>
  <c r="AY36" i="17" a="1"/>
  <c r="AY36" i="17"/>
  <c r="AR36" i="17" a="1"/>
  <c r="AR36" i="17"/>
  <c r="AX35" i="17" a="1"/>
  <c r="AX35" i="17" s="1"/>
  <c r="AD49" i="17" a="1"/>
  <c r="AD49" i="17" s="1"/>
  <c r="AK36" i="17" a="1"/>
  <c r="AK36" i="17"/>
  <c r="AQ35" i="17" a="1"/>
  <c r="AQ35" i="17"/>
  <c r="AU32" i="17"/>
  <c r="AU35" i="17" s="1"/>
  <c r="BT36" i="17" a="1"/>
  <c r="BT36" i="17" s="1"/>
  <c r="BZ35" i="17" a="1"/>
  <c r="BZ35" i="17" s="1"/>
  <c r="AJ35" i="17" a="1"/>
  <c r="AJ35" i="17" s="1"/>
  <c r="AN32" i="17" s="1"/>
  <c r="AN35" i="17" s="1"/>
  <c r="AY16" i="17" a="1"/>
  <c r="AY16" i="17" s="1"/>
  <c r="AY8" i="17" a="1"/>
  <c r="AY8" i="17" s="1"/>
  <c r="AX7" i="17" a="1"/>
  <c r="AX7" i="17"/>
  <c r="AK16" i="17" a="1"/>
  <c r="AK16" i="17" s="1"/>
  <c r="AX15" i="17" a="1"/>
  <c r="BB12" i="17" s="1"/>
  <c r="BB15" i="17" s="1"/>
  <c r="AX15" i="17"/>
  <c r="AJ15" i="17" a="1"/>
  <c r="AK8" i="17" a="1"/>
  <c r="AK8" i="17" s="1"/>
  <c r="AJ7" i="17" a="1"/>
  <c r="AN4" i="17" s="1"/>
  <c r="AN7" i="17" s="1"/>
  <c r="AJ7" i="17"/>
  <c r="BB4" i="17"/>
  <c r="BB7" i="17" s="1"/>
  <c r="AR8" i="17" a="1"/>
  <c r="AR8" i="17"/>
  <c r="BG37" i="17"/>
  <c r="BG50" i="17"/>
  <c r="AR9" i="17"/>
  <c r="AS9" i="17"/>
  <c r="AS50" i="17"/>
  <c r="AV5" i="17"/>
  <c r="AV6" i="17"/>
  <c r="AC7" i="15" a="1"/>
  <c r="AD16" i="15" a="1"/>
  <c r="AD16" i="15" s="1"/>
  <c r="AH13" i="15" s="1"/>
  <c r="J12" i="15" s="1"/>
  <c r="AC15" i="15" a="1"/>
  <c r="AC15" i="15" s="1"/>
  <c r="AD8" i="15" a="1"/>
  <c r="AD8" i="15" s="1"/>
  <c r="AH5" i="15" s="1"/>
  <c r="J4" i="15" s="1"/>
  <c r="J6" i="16" l="1"/>
  <c r="P12" i="15"/>
  <c r="W12" i="15"/>
  <c r="V12" i="15"/>
  <c r="Y12" i="15" s="1"/>
  <c r="N12" i="15" s="1"/>
  <c r="T12" i="15"/>
  <c r="R12" i="15"/>
  <c r="Q12" i="15"/>
  <c r="U12" i="15"/>
  <c r="J4" i="16"/>
  <c r="AC7" i="15"/>
  <c r="AG4" i="15" s="1"/>
  <c r="AG7" i="15" s="1"/>
  <c r="AG12" i="15"/>
  <c r="AG15" i="15" s="1"/>
  <c r="AC48" i="17"/>
  <c r="AG45" i="17" s="1"/>
  <c r="AG48" i="17" s="1"/>
  <c r="BJ47" i="17"/>
  <c r="BJ46" i="17"/>
  <c r="AN49" i="17"/>
  <c r="AJ50" i="17"/>
  <c r="BP49" i="17"/>
  <c r="BN50" i="17"/>
  <c r="BL50" i="17"/>
  <c r="BM50" i="17"/>
  <c r="AV46" i="17"/>
  <c r="AV47" i="17"/>
  <c r="AY49" i="17"/>
  <c r="AY50" i="17" s="1"/>
  <c r="AL50" i="17"/>
  <c r="AK50" i="17"/>
  <c r="AU36" i="17"/>
  <c r="AQ37" i="17"/>
  <c r="AR37" i="17"/>
  <c r="AS37" i="17"/>
  <c r="AN36" i="17"/>
  <c r="AK37" i="17"/>
  <c r="AJ37" i="17"/>
  <c r="AL37" i="17"/>
  <c r="BJ34" i="17"/>
  <c r="BJ33" i="17"/>
  <c r="BP32" i="17"/>
  <c r="BP35" i="17" s="1"/>
  <c r="BB32" i="17"/>
  <c r="BB35" i="17" s="1"/>
  <c r="AZ37" i="17" s="1"/>
  <c r="CD32" i="17"/>
  <c r="CD35" i="17" s="1"/>
  <c r="BI21" i="17"/>
  <c r="BI24" i="17" s="1"/>
  <c r="AZ17" i="17"/>
  <c r="BB16" i="17"/>
  <c r="AX17" i="17"/>
  <c r="AY17" i="17"/>
  <c r="AJ15" i="17"/>
  <c r="AN12" i="17" s="1"/>
  <c r="AN15" i="17" s="1"/>
  <c r="AJ9" i="17"/>
  <c r="AK9" i="17"/>
  <c r="AN8" i="17"/>
  <c r="AL9" i="17"/>
  <c r="BB8" i="17"/>
  <c r="AX9" i="17"/>
  <c r="AZ9" i="17"/>
  <c r="AY9" i="17"/>
  <c r="D11" i="20" l="1"/>
  <c r="S12" i="15"/>
  <c r="L12" i="15" s="1"/>
  <c r="D30" i="20"/>
  <c r="AG8" i="15"/>
  <c r="AC9" i="15" s="1"/>
  <c r="L6" i="16"/>
  <c r="N6" i="16"/>
  <c r="AG16" i="15"/>
  <c r="AC17" i="15" s="1"/>
  <c r="X12" i="15"/>
  <c r="M12" i="15" s="1"/>
  <c r="AG49" i="17"/>
  <c r="AC50" i="17" s="1"/>
  <c r="AE50" i="17"/>
  <c r="AD50" i="17"/>
  <c r="AO46" i="17"/>
  <c r="AO47" i="17"/>
  <c r="BQ47" i="17"/>
  <c r="BQ46" i="17"/>
  <c r="BC47" i="17"/>
  <c r="BC46" i="17"/>
  <c r="BP36" i="17"/>
  <c r="BM37" i="17"/>
  <c r="BL37" i="17"/>
  <c r="BN37" i="17"/>
  <c r="AV33" i="17"/>
  <c r="AV34" i="17"/>
  <c r="AY37" i="17"/>
  <c r="BB36" i="17"/>
  <c r="AX37" i="17"/>
  <c r="CB37" i="17"/>
  <c r="CD36" i="17"/>
  <c r="CA37" i="17"/>
  <c r="BZ37" i="17"/>
  <c r="AO34" i="17"/>
  <c r="AO33" i="17"/>
  <c r="BE26" i="17"/>
  <c r="BI25" i="17"/>
  <c r="BG26" i="17"/>
  <c r="BF26" i="17"/>
  <c r="AN16" i="17"/>
  <c r="AJ17" i="17"/>
  <c r="AL17" i="17"/>
  <c r="AK17" i="17"/>
  <c r="BC14" i="17"/>
  <c r="BC13" i="17"/>
  <c r="BC5" i="17"/>
  <c r="BC6" i="17"/>
  <c r="AO6" i="17"/>
  <c r="AO5" i="17"/>
  <c r="AE9" i="15" l="1"/>
  <c r="AD9" i="15"/>
  <c r="AE17" i="15"/>
  <c r="AD17" i="15"/>
  <c r="AH6" i="15"/>
  <c r="K4" i="15" s="1"/>
  <c r="M6" i="16"/>
  <c r="AH46" i="17"/>
  <c r="J45" i="17" s="1"/>
  <c r="J10" i="18" s="1"/>
  <c r="AH47" i="17"/>
  <c r="K45" i="17" s="1"/>
  <c r="K10" i="18" s="1"/>
  <c r="BC34" i="17"/>
  <c r="BC33" i="17"/>
  <c r="BQ34" i="17"/>
  <c r="BQ33" i="17"/>
  <c r="CE33" i="17"/>
  <c r="CE34" i="17"/>
  <c r="BJ23" i="17"/>
  <c r="BJ22" i="17"/>
  <c r="AO13" i="17"/>
  <c r="AO14" i="17"/>
  <c r="BS35" i="17" a="1"/>
  <c r="AC35" i="17" a="1"/>
  <c r="AC35" i="17"/>
  <c r="AG32" i="17"/>
  <c r="AG35" i="17"/>
  <c r="BS35" i="17"/>
  <c r="BW32" i="17"/>
  <c r="BW35" i="17"/>
  <c r="AG36" i="17"/>
  <c r="AE37" i="17"/>
  <c r="AD37" i="17"/>
  <c r="BW36" i="17"/>
  <c r="BS37" i="17"/>
  <c r="AC37" i="17"/>
  <c r="AH33" i="17"/>
  <c r="AH34" i="17"/>
  <c r="BT37" i="17"/>
  <c r="BU37" i="17"/>
  <c r="BX33" i="17"/>
  <c r="BX34" i="17"/>
  <c r="E102" i="20" l="1"/>
  <c r="D102" i="20"/>
  <c r="K4" i="16"/>
  <c r="U4" i="15"/>
  <c r="Q4" i="15"/>
  <c r="P4" i="15"/>
  <c r="T4" i="15"/>
  <c r="W4" i="15"/>
  <c r="R4" i="15"/>
  <c r="V4" i="15"/>
  <c r="Y4" i="15" s="1"/>
  <c r="N4" i="15" s="1"/>
  <c r="W45" i="17"/>
  <c r="T45" i="17"/>
  <c r="P45" i="17"/>
  <c r="U45" i="17"/>
  <c r="Q45" i="17"/>
  <c r="V45" i="17"/>
  <c r="R45" i="17"/>
  <c r="E11" i="20" l="1"/>
  <c r="X4" i="15"/>
  <c r="M4" i="15" s="1"/>
  <c r="M4" i="16" s="1"/>
  <c r="S4" i="15"/>
  <c r="L4" i="15" s="1"/>
  <c r="L4" i="16"/>
  <c r="N4" i="16"/>
  <c r="S45" i="17"/>
  <c r="L45" i="17" s="1"/>
  <c r="L10" i="18" s="1"/>
  <c r="Y45" i="17"/>
  <c r="N45" i="17" s="1"/>
  <c r="N10" i="18" s="1"/>
  <c r="X45" i="17"/>
  <c r="M45" i="17" s="1"/>
  <c r="M10" i="18" s="1"/>
  <c r="AD16" i="17" a="1"/>
  <c r="AD16" i="17" s="1"/>
  <c r="AD17" i="17" s="1"/>
  <c r="AD25" i="17" a="1"/>
  <c r="AE26" i="17" s="1"/>
  <c r="AE17" i="17" l="1"/>
  <c r="AH13" i="17" s="1"/>
  <c r="J12" i="17" s="1"/>
  <c r="J6" i="18" s="1"/>
  <c r="AD25" i="17"/>
  <c r="AD26" i="17" s="1"/>
  <c r="D32" i="20" l="1"/>
  <c r="AH14" i="17"/>
  <c r="K12" i="17" s="1"/>
  <c r="AH22" i="17"/>
  <c r="J21" i="17" s="1"/>
  <c r="J8" i="18" s="1"/>
  <c r="AH23" i="17"/>
  <c r="K21" i="17" s="1"/>
  <c r="K8" i="18" s="1"/>
  <c r="E55" i="20" l="1"/>
  <c r="D55" i="20"/>
  <c r="U12" i="17"/>
  <c r="K6" i="18"/>
  <c r="Q12" i="17"/>
  <c r="W12" i="17"/>
  <c r="R12" i="17"/>
  <c r="V12" i="17"/>
  <c r="Y12" i="17" s="1"/>
  <c r="N12" i="17" s="1"/>
  <c r="N6" i="18" s="1"/>
  <c r="T12" i="17"/>
  <c r="P12" i="17"/>
  <c r="S12" i="17" s="1"/>
  <c r="L12" i="17" s="1"/>
  <c r="L6" i="18" s="1"/>
  <c r="P21" i="17"/>
  <c r="R21" i="17"/>
  <c r="V21" i="17"/>
  <c r="Q21" i="17"/>
  <c r="W21" i="17"/>
  <c r="T21" i="17"/>
  <c r="U21" i="17"/>
  <c r="E32" i="20" l="1"/>
  <c r="X12" i="17"/>
  <c r="M12" i="17" s="1"/>
  <c r="M6" i="18" s="1"/>
  <c r="Y21" i="17"/>
  <c r="N21" i="17" s="1"/>
  <c r="N8" i="18" s="1"/>
  <c r="X21" i="17"/>
  <c r="M21" i="17" s="1"/>
  <c r="M8" i="18" s="1"/>
  <c r="S21" i="17"/>
  <c r="L21" i="17" s="1"/>
  <c r="L8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<sst xmlns="http://schemas.openxmlformats.org/spreadsheetml/2006/main" count="750" uniqueCount="232">
  <si>
    <t>Lower</t>
  </si>
  <si>
    <t>Base case</t>
  </si>
  <si>
    <t>Upper</t>
  </si>
  <si>
    <t>Lower bound</t>
  </si>
  <si>
    <t>Upper bound</t>
  </si>
  <si>
    <t>Min</t>
  </si>
  <si>
    <t>Median</t>
  </si>
  <si>
    <t>Max</t>
  </si>
  <si>
    <t>Expert 1 CE ratio</t>
  </si>
  <si>
    <t>Expert 2 CE ratio</t>
  </si>
  <si>
    <t>Avg pct deviation</t>
  </si>
  <si>
    <t>Cross $100K benchmark</t>
  </si>
  <si>
    <t>Cross $150K benchmark</t>
  </si>
  <si>
    <t>All &lt;= BM1</t>
  </si>
  <si>
    <t>All &gt; BM1</t>
  </si>
  <si>
    <t>All &lt;= BM2</t>
  </si>
  <si>
    <t>All &gt; BM2</t>
  </si>
  <si>
    <t>Expert 1 ICER</t>
  </si>
  <si>
    <t>Expert 2 ICER</t>
  </si>
  <si>
    <t>Prog disease on Olaparib</t>
  </si>
  <si>
    <t>Prog disease on PLD+C</t>
  </si>
  <si>
    <t>Duration of Treatment (Median Months) PLD+C</t>
  </si>
  <si>
    <t>Prog-free disease on Olaparib</t>
  </si>
  <si>
    <t xml:space="preserve">Prog-free disease on PLD+C  </t>
  </si>
  <si>
    <t>Prog disease on Rucaparib</t>
  </si>
  <si>
    <t>Prog-free disease on Rucaparib</t>
  </si>
  <si>
    <t>Duration Of Treatment (Median Months) PLD+C</t>
  </si>
  <si>
    <t>Niraparib for Maintenance therapy for platinum-sensitive disease</t>
  </si>
  <si>
    <t>Prog disease on Niraporib/placebo</t>
  </si>
  <si>
    <t>Prog disease on Niraparib</t>
  </si>
  <si>
    <t>Prog-free disease on Niraparib</t>
  </si>
  <si>
    <t>Prog-free disease off Niraparib</t>
  </si>
  <si>
    <t>Prog-free disease on Niraparib/placebo</t>
  </si>
  <si>
    <t>Prog-free disease off Niraparib/placebo</t>
  </si>
  <si>
    <t>Olaparib – gBRCAm Versus Placebo in Maintenance Therapy for Platinum-Sensitive Disease</t>
  </si>
  <si>
    <t>Prog disease on 2nd therapy Olaparib/placebo</t>
  </si>
  <si>
    <t>Prog disease on 2nd therapy Olaparib</t>
  </si>
  <si>
    <t>Prog disease on 1st therapy Olaparib/placebo</t>
  </si>
  <si>
    <t>Prog disease on 1st therapy Olaparib</t>
  </si>
  <si>
    <t>Prog-free disease off Olaparib</t>
  </si>
  <si>
    <t>Prog-free disease on Olaparib/placebo</t>
  </si>
  <si>
    <t>Prog-free disease off Olaparib/placebo</t>
  </si>
  <si>
    <t>Rucaparib – gBRCAm Versus Placebo in Maintenance Therapy for Platinum-Sensitive Disease</t>
  </si>
  <si>
    <t>Prog disease on Rucaparib/placebo</t>
  </si>
  <si>
    <t>Utility Progressed Disease Rucaparib Placebo</t>
  </si>
  <si>
    <t>Utility Progressed Disease Rucaparib</t>
  </si>
  <si>
    <t>Utility Progression-Free Disease on Treatment Rucaparib</t>
  </si>
  <si>
    <t>Prog-free disease off Rucaparib</t>
  </si>
  <si>
    <t>Utility Progression-Free Disease off Treatment Rucaparib</t>
  </si>
  <si>
    <t>Prog-free disease on Rucaparib/placebo</t>
  </si>
  <si>
    <t>Utility Progression-Free Disease on Treatment Rucaparib Placebo</t>
  </si>
  <si>
    <t>Prog-free disease off Rucaparib/placebo</t>
  </si>
  <si>
    <t>Utility Progression-Free Disease off Treatment Rucaparib Placebo</t>
  </si>
  <si>
    <t>Benchmark1</t>
  </si>
  <si>
    <t>Benchmark2</t>
  </si>
  <si>
    <t>Progressed disease</t>
  </si>
  <si>
    <t>From Table 5.3 - Page 50 in 2017 09 28 ICER Final Evidence Report</t>
  </si>
  <si>
    <t>Progression-free disease on treatment (Olaparib)</t>
  </si>
  <si>
    <t>Progression-free disease (on treatment) (Rucaparib)</t>
  </si>
  <si>
    <t>Progression-free disease (on treatment) (PLD+C)</t>
  </si>
  <si>
    <t>Recurrent BCRCA-Mutated Population</t>
  </si>
  <si>
    <t>Maintenance therapy for platinum-sensitive disease</t>
  </si>
  <si>
    <t>Progression-free disease (on treatment) (Olaparib)</t>
  </si>
  <si>
    <t>Progression-free disease (on treatment) (Niraparib)</t>
  </si>
  <si>
    <t>Progression-free disease (off treatment) (Olaparib)</t>
  </si>
  <si>
    <t>Progression-free disease (off treatment) (Niraparib)</t>
  </si>
  <si>
    <t>Progression-free disease (off treatment) (Rucaparib)</t>
  </si>
  <si>
    <t>Progressed disease - Niraparib</t>
  </si>
  <si>
    <t>Progressed disease - Rucaparib</t>
  </si>
  <si>
    <t>First subsequent therapy (Olaparib)</t>
  </si>
  <si>
    <t>Second subsequent therapy (Olaparib)</t>
  </si>
  <si>
    <t>Cost per month of rucaparib</t>
  </si>
  <si>
    <t>Neutropenia - Adverse event cost</t>
  </si>
  <si>
    <t>Utility - progression-free disease on treatment PLD+Cs</t>
  </si>
  <si>
    <t>Utility - Progressed disease - rucaparib</t>
  </si>
  <si>
    <t>Utility - Progressed disease - PLD+C</t>
  </si>
  <si>
    <t>Utility - Progression-free disease on treatment - rucaparib</t>
  </si>
  <si>
    <t>Duration of treatment (median months) PLD+C</t>
  </si>
  <si>
    <t>Pricer per course of treatment (monthly) PLD+C</t>
  </si>
  <si>
    <t>Anemia - Adverse event cost</t>
  </si>
  <si>
    <t>Thrombocytopenia - Adverse event cost</t>
  </si>
  <si>
    <t>Hand, foot, mouth disease - Adverse event cost</t>
  </si>
  <si>
    <t>CE ratio</t>
  </si>
  <si>
    <t>Input</t>
  </si>
  <si>
    <t>Figure E1. Rucaparib Versus PLD+C (3rd line or later use) in Recurrent BRCA-Mutated Population</t>
  </si>
  <si>
    <t>Figure E2. Olaparib – gBRCAm Versus Placebo in Maintenance Therapy for Platinum-Sensitive Disease</t>
  </si>
  <si>
    <t>Utility - Progressed disease - 2nd subsequent therapy olaparib placebo</t>
  </si>
  <si>
    <t>Utility - Progressed disease - 2nd subsequent therapy olaparib</t>
  </si>
  <si>
    <t>Cost per month - Olaparib</t>
  </si>
  <si>
    <t>Utility - Progression-free disease on treatment olaparib</t>
  </si>
  <si>
    <t>Utility - Progressed disease - 1st subsequent therapy olaparib placebo</t>
  </si>
  <si>
    <t xml:space="preserve">Utility - Progressed disease - 1st subsequent therapy olaparib </t>
  </si>
  <si>
    <t>Utility - Progression-free disease off treatment olaparib</t>
  </si>
  <si>
    <t>Utility - Progression-free disease on treatment olaparib placebo</t>
  </si>
  <si>
    <t>Utility - Progression-free disease off treatment olaparib placebo</t>
  </si>
  <si>
    <t>CT Scan - Abdomen and pelvis</t>
  </si>
  <si>
    <t>Figure E3. Rucaparib – gBRCAm Versus Placebo in Maintenance Therapy for Platinum-Sensitive Disease</t>
  </si>
  <si>
    <t>Utility - Progressed disease - Rucaparib placebo</t>
  </si>
  <si>
    <t>Utility - Progressed disease - Rucabarib</t>
  </si>
  <si>
    <t>Cost per month - Rucaparib</t>
  </si>
  <si>
    <t>Utility - Progression-free disease on treatment Rucaparib</t>
  </si>
  <si>
    <t>Utility - Progression-free disease off treatment Rucaparib</t>
  </si>
  <si>
    <t>Utility - Progression-free disease on treatment Rucaparib placebo</t>
  </si>
  <si>
    <t>Utility - Progression-free disease off treatment rucaparib placebo</t>
  </si>
  <si>
    <t>CT Scan Abdomen and Pelvis cost</t>
  </si>
  <si>
    <t>CE_Scale</t>
  </si>
  <si>
    <t>RoundPlace</t>
  </si>
  <si>
    <t>CE_BC_olaparib_BRCA</t>
  </si>
  <si>
    <t>CE_BC_rucaparib_BRCA</t>
  </si>
  <si>
    <t>CE_BC_rucaparib_Platinum</t>
  </si>
  <si>
    <t>CE_BC_nicaparib_Platinum</t>
  </si>
  <si>
    <t>Figure 5.2. Olaparib versus PLD+C (4th line or later use) in Recurrent BRCA-Mutated Population</t>
  </si>
  <si>
    <t>Utility - Progressed disease olaparib</t>
  </si>
  <si>
    <t>Cost per month olaparib</t>
  </si>
  <si>
    <t>Neutropenia adverse event cost</t>
  </si>
  <si>
    <t>Utility - Progressed disease PLD+C</t>
  </si>
  <si>
    <t>Thrombocyteopenia adverse event cost</t>
  </si>
  <si>
    <t>Utility - Progression-free disease on treatment PLD+C</t>
  </si>
  <si>
    <t>Price per course of treatment (monthly) PLD+C</t>
  </si>
  <si>
    <t>Hand, foot, mouth disease adverse event cost</t>
  </si>
  <si>
    <t>Stomatitis adverse event cost</t>
  </si>
  <si>
    <t>Figure 5.3. Niraparib versus Placebo in Maintenance Therapy for Platinum-Sensitive Disease (gBRCAm)</t>
  </si>
  <si>
    <t>Utility - Progressed disease niraparib placebo</t>
  </si>
  <si>
    <t>Utility - Progressed disease niraparib</t>
  </si>
  <si>
    <t>Cost per month niraparib</t>
  </si>
  <si>
    <t>Utility - progression-free disease on treatment niraparib</t>
  </si>
  <si>
    <t>Utility - progression-free disease off treatment niraparib</t>
  </si>
  <si>
    <t>Thrombocytopenia adverse event cost</t>
  </si>
  <si>
    <t>Utility - progression-free disease on treatment niraparib placebo</t>
  </si>
  <si>
    <t>Anemia adverse event cost</t>
  </si>
  <si>
    <t>Hypertension adverse event cost</t>
  </si>
  <si>
    <t>Utility - progression-free disease off treatment niraparib placebo</t>
  </si>
  <si>
    <t>Sensitivity Analysis</t>
  </si>
  <si>
    <t>Figure 5.2</t>
  </si>
  <si>
    <t>Figure E2</t>
  </si>
  <si>
    <t>Figure 5.3</t>
  </si>
  <si>
    <t>Drug</t>
  </si>
  <si>
    <t>Population</t>
  </si>
  <si>
    <t>Olaparib</t>
  </si>
  <si>
    <t>Niraparib</t>
  </si>
  <si>
    <t>Rucaparib</t>
  </si>
  <si>
    <t>BRCA</t>
  </si>
  <si>
    <t>Platinum</t>
  </si>
  <si>
    <t>CE_BC_olaparib_Platinum</t>
  </si>
  <si>
    <t>Figure E3</t>
  </si>
  <si>
    <t>Figure E1</t>
  </si>
  <si>
    <t>Table 5.5</t>
  </si>
  <si>
    <t>Table 5.7</t>
  </si>
  <si>
    <t>Table 5.9</t>
  </si>
  <si>
    <t>extreme</t>
  </si>
  <si>
    <t>Expert 1</t>
  </si>
  <si>
    <t>Expert 2</t>
  </si>
  <si>
    <t>Lower bound assumption</t>
  </si>
  <si>
    <t>Upper bound assumption</t>
  </si>
  <si>
    <t>Expert Group 1</t>
  </si>
  <si>
    <t>Expert Group 2</t>
  </si>
  <si>
    <t>Expert group imputed CE ratios (iv)</t>
  </si>
  <si>
    <t>Influence measures (v)</t>
  </si>
  <si>
    <t>Utility Progressed Disease Olaparib</t>
  </si>
  <si>
    <t>Utility Progressed Disease PLD+C</t>
  </si>
  <si>
    <t>Utility Progression-free Disease on Treatment Olaparib</t>
  </si>
  <si>
    <t xml:space="preserve">Utility Progression-Free Disease on Treatment PLD+C  </t>
  </si>
  <si>
    <t>Utility Progression-Free Disease on Treatment PLD+Cs</t>
  </si>
  <si>
    <t>Utility Progressed Disease Niraparib Placebo</t>
  </si>
  <si>
    <t>Utility Progressed Disease Niraparib</t>
  </si>
  <si>
    <t>Utility Progression-Free Disease on Treatment Niraparib</t>
  </si>
  <si>
    <t>Utility Progression-Free Disease off Treatment Niraparib</t>
  </si>
  <si>
    <t>Utility Progression-Free Disease on Treatment Niraparib Placebo</t>
  </si>
  <si>
    <t>Utility Progression-Free Disease off Treatment Niraparib Placebo</t>
  </si>
  <si>
    <t>Utility Progressed Disease - Second Subsequent Therapy Olaparib Placebo</t>
  </si>
  <si>
    <t>Utility Progressed Disease - Second Subsequent Therapy Olaparib</t>
  </si>
  <si>
    <t>Utility Progression-Free Disease on Treatment Olaparib</t>
  </si>
  <si>
    <t>Utility Progressed Disease - First Subsequent Therapy Olaparib Placebo</t>
  </si>
  <si>
    <t>Utility Progressed Disease - First Subsequent Therapy Olaparib</t>
  </si>
  <si>
    <t>Utility Progression-Free Disease off Treatment Olaparib</t>
  </si>
  <si>
    <t>Utility Progression-Free Disease on Treatment Olaparib Placebo</t>
  </si>
  <si>
    <t>Utility Progression-Free Disease off Treatment Olaparib Placebo</t>
  </si>
  <si>
    <t>#value</t>
  </si>
  <si>
    <t>ICER cancer survival estimates (months) (i)</t>
  </si>
  <si>
    <t>(ii)</t>
  </si>
  <si>
    <t>(iii)</t>
  </si>
  <si>
    <t>(iv)</t>
  </si>
  <si>
    <t>(v)</t>
  </si>
  <si>
    <t>(vi)</t>
  </si>
  <si>
    <t>PFS</t>
  </si>
  <si>
    <t>OS</t>
  </si>
  <si>
    <t>OS:PFS ratio</t>
  </si>
  <si>
    <t>Imputed OS</t>
  </si>
  <si>
    <t>ICER cost-effectiveness ratio</t>
  </si>
  <si>
    <t>Ratio of imputed OS for each drug to the ICER-reported OS for Olaparib</t>
  </si>
  <si>
    <t>Alternate cost-effectiveness ratio ($000/QALY)</t>
  </si>
  <si>
    <t>No need to impute</t>
  </si>
  <si>
    <t>Not applicable</t>
  </si>
  <si>
    <t>Panel (i)</t>
  </si>
  <si>
    <t>Table 4.3</t>
  </si>
  <si>
    <t>Nicaparib</t>
  </si>
  <si>
    <t>Page 28</t>
  </si>
  <si>
    <t>Table 4.6</t>
  </si>
  <si>
    <t>Page 34</t>
  </si>
  <si>
    <t>Table 4.5</t>
  </si>
  <si>
    <t>Page 27</t>
  </si>
  <si>
    <t>ICER</t>
  </si>
  <si>
    <t>Assumption Group</t>
  </si>
  <si>
    <t>Utility weights</t>
  </si>
  <si>
    <t>Overall survival extrapolation</t>
  </si>
  <si>
    <t>Duration of treatment (PLD+C)</t>
  </si>
  <si>
    <t>100K Benchmark</t>
  </si>
  <si>
    <t>150K Benchmark</t>
  </si>
  <si>
    <t>Value</t>
  </si>
  <si>
    <t>Report location</t>
  </si>
  <si>
    <t>(a) Olaparib for Recurrent BRCA-mutated population</t>
  </si>
  <si>
    <t>(b) Rucaparib  in Recurrent BRCA-Mutated Population</t>
  </si>
  <si>
    <t>(c) Niraparib for Maintenance therapy for platinum-sensitive disease</t>
  </si>
  <si>
    <t>(d) Olaparib – gBRCAm Versus Placebo in Maintenance Therapy for Platinum-Sensitive Disease</t>
  </si>
  <si>
    <t>(e) Rucaparib – gBRCAm Versus Placebo in Maintenance Therapy for Platinum-Sensitive Disease</t>
  </si>
  <si>
    <t>Analysis (a) Olaparib for Recurrent BRCA-mutated population</t>
  </si>
  <si>
    <t>Analysis (b) Rucaparib  in Recurrent BRCA-Mutated Population</t>
  </si>
  <si>
    <t>Analysis (c) Niraparib for Maintenance therapy for platinum-sensitive disease</t>
  </si>
  <si>
    <t>Analysis (d) Olaparib – gBRCAm Versus Placebo in Maintenance Therapy for Platinum-Sensitive Disease</t>
  </si>
  <si>
    <t>Analysis (e) Rucaparib – gBRCAm Versus Placebo in Maintenance Therapy for Platinum-Sensitive Disease</t>
  </si>
  <si>
    <t>BRCA-recurrent population - Analyses (a) and (b)</t>
  </si>
  <si>
    <t>Maintenance therapy for Platinum-sensitive disease - Analyses (c), (d), and (e)</t>
  </si>
  <si>
    <t>Olaparib for Recurrent BRCA-mutated population - Analysis (a)</t>
  </si>
  <si>
    <t>Rucaparib  in Recurrent BRCA-Mutated Population - Analysis (b)</t>
  </si>
  <si>
    <t>Utility weight assumptions from ICER (i)</t>
  </si>
  <si>
    <t>Expert group utility weight assumptions (iii)</t>
  </si>
  <si>
    <t>Treatment duration assumptions from ICER (i)</t>
  </si>
  <si>
    <t>Expert group treatment duration assumptions (iii)</t>
  </si>
  <si>
    <t>CE ratios from ICER ($000/QALY) (ii)</t>
  </si>
  <si>
    <t>Neutrapenia cost assumptions from ICER (i)</t>
  </si>
  <si>
    <t>Expert group neutrapenia cost assumptions (iii)</t>
  </si>
  <si>
    <t>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</si>
</sst>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"/>
    <numFmt numFmtId="166" formatCode="&quot;$&quot;#,##0.00"/>
    <numFmt numFmtId="167" formatCode="&quot;$&quot;#,##0"/>
    <numFmt numFmtId="168" formatCode="_(&quot;$&quot;* #,##0.0000_);_(&quot;$&quot;* \(#,##0.0000\);_(&quot;$&quot;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7"/>
      <color theme="1"/>
      <name val="Times New Roman"/>
      <family val="1"/>
    </font>
    <font>
      <b/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/>
    <xf numFmtId="0" fontId="2" fillId="0" borderId="0" xfId="0" applyFont="1"/>
    <xf numFmtId="2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 wrapText="1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8" fillId="0" borderId="0" xfId="0" applyFont="1"/>
    <xf numFmtId="2" fontId="7" fillId="0" borderId="0" xfId="0" applyNumberFormat="1" applyFont="1" applyAlignment="1">
      <alignment horizontal="center"/>
    </xf>
    <xf numFmtId="164" fontId="7" fillId="0" borderId="0" xfId="1" applyNumberFormat="1" applyFont="1"/>
    <xf numFmtId="9" fontId="7" fillId="0" borderId="0" xfId="2" applyFont="1" applyAlignment="1">
      <alignment horizontal="center"/>
    </xf>
    <xf numFmtId="9" fontId="0" fillId="0" borderId="0" xfId="2" applyFont="1"/>
    <xf numFmtId="0" fontId="7" fillId="0" borderId="0" xfId="0" applyFont="1" applyAlignment="1">
      <alignment horizontal="center"/>
    </xf>
    <xf numFmtId="2" fontId="7" fillId="0" borderId="0" xfId="3" applyNumberFormat="1" applyFont="1" applyAlignment="1">
      <alignment horizontal="center"/>
    </xf>
    <xf numFmtId="6" fontId="0" fillId="0" borderId="0" xfId="0" applyNumberFormat="1"/>
    <xf numFmtId="165" fontId="0" fillId="0" borderId="0" xfId="0" applyNumberFormat="1"/>
    <xf numFmtId="0" fontId="10" fillId="0" borderId="0" xfId="0" applyFont="1"/>
    <xf numFmtId="0" fontId="11" fillId="0" borderId="0" xfId="0" applyFont="1"/>
    <xf numFmtId="0" fontId="10" fillId="0" borderId="0" xfId="0" applyFont="1" applyAlignment="1">
      <alignment horizontal="center"/>
    </xf>
    <xf numFmtId="166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44" fontId="10" fillId="0" borderId="0" xfId="1" applyFont="1" applyAlignment="1">
      <alignment horizontal="center"/>
    </xf>
    <xf numFmtId="168" fontId="10" fillId="0" borderId="0" xfId="1" applyNumberFormat="1" applyFont="1" applyAlignment="1">
      <alignment horizontal="center"/>
    </xf>
    <xf numFmtId="44" fontId="10" fillId="0" borderId="0" xfId="1" applyNumberFormat="1" applyFont="1" applyAlignment="1">
      <alignment horizontal="center"/>
    </xf>
    <xf numFmtId="164" fontId="10" fillId="0" borderId="0" xfId="1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0" fontId="12" fillId="0" borderId="0" xfId="0" applyFont="1"/>
    <xf numFmtId="3" fontId="12" fillId="0" borderId="0" xfId="0" applyNumberFormat="1" applyFont="1" applyAlignment="1">
      <alignment horizontal="center"/>
    </xf>
    <xf numFmtId="2" fontId="12" fillId="0" borderId="0" xfId="0" applyNumberFormat="1" applyFont="1"/>
    <xf numFmtId="0" fontId="12" fillId="0" borderId="0" xfId="0" applyFont="1" applyAlignment="1">
      <alignment horizontal="center"/>
    </xf>
    <xf numFmtId="167" fontId="10" fillId="2" borderId="0" xfId="0" applyNumberFormat="1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/>
    <xf numFmtId="2" fontId="10" fillId="2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4" fontId="12" fillId="0" borderId="0" xfId="0" applyNumberFormat="1" applyFont="1"/>
    <xf numFmtId="0" fontId="10" fillId="0" borderId="0" xfId="0" applyFont="1" applyFill="1"/>
    <xf numFmtId="2" fontId="10" fillId="2" borderId="0" xfId="1" applyNumberFormat="1" applyFont="1" applyFill="1" applyAlignment="1">
      <alignment horizontal="center"/>
    </xf>
    <xf numFmtId="164" fontId="13" fillId="0" borderId="0" xfId="1" applyNumberFormat="1" applyFont="1"/>
    <xf numFmtId="164" fontId="14" fillId="0" borderId="0" xfId="1" applyNumberFormat="1" applyFont="1"/>
    <xf numFmtId="3" fontId="14" fillId="0" borderId="0" xfId="0" applyNumberFormat="1" applyFont="1" applyAlignment="1">
      <alignment horizontal="center"/>
    </xf>
    <xf numFmtId="164" fontId="14" fillId="0" borderId="0" xfId="0" applyNumberFormat="1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4" fontId="7" fillId="0" borderId="0" xfId="1" applyFont="1" applyAlignment="1">
      <alignment horizontal="center"/>
    </xf>
    <xf numFmtId="164" fontId="7" fillId="0" borderId="0" xfId="1" applyNumberFormat="1" applyFont="1" applyAlignment="1">
      <alignment horizontal="center"/>
    </xf>
    <xf numFmtId="2" fontId="12" fillId="0" borderId="0" xfId="0" applyNumberFormat="1" applyFont="1" applyAlignment="1">
      <alignment horizontal="right"/>
    </xf>
    <xf numFmtId="0" fontId="6" fillId="0" borderId="0" xfId="0" applyFont="1" applyFill="1" applyBorder="1" applyAlignment="1">
      <alignment horizontal="justify" vertical="center"/>
    </xf>
    <xf numFmtId="0" fontId="6" fillId="0" borderId="0" xfId="0" applyFont="1" applyFill="1" applyBorder="1" applyAlignment="1">
      <alignment horizontal="center" vertical="center"/>
    </xf>
    <xf numFmtId="0" fontId="9" fillId="0" borderId="0" xfId="0" applyFont="1" applyAlignment="1">
      <alignment horizontal="center" wrapText="1"/>
    </xf>
    <xf numFmtId="44" fontId="10" fillId="0" borderId="0" xfId="1" applyFont="1"/>
    <xf numFmtId="6" fontId="10" fillId="0" borderId="0" xfId="0" applyNumberFormat="1" applyFont="1"/>
    <xf numFmtId="164" fontId="10" fillId="0" borderId="0" xfId="1" applyNumberFormat="1" applyFont="1"/>
    <xf numFmtId="164" fontId="10" fillId="0" borderId="0" xfId="0" applyNumberFormat="1" applyFont="1"/>
    <xf numFmtId="0" fontId="2" fillId="0" borderId="1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 wrapText="1"/>
    </xf>
    <xf numFmtId="2" fontId="7" fillId="0" borderId="1" xfId="0" applyNumberFormat="1" applyFont="1" applyBorder="1" applyAlignment="1">
      <alignment horizontal="center"/>
    </xf>
    <xf numFmtId="164" fontId="7" fillId="0" borderId="1" xfId="1" applyNumberFormat="1" applyFont="1" applyBorder="1"/>
    <xf numFmtId="9" fontId="7" fillId="0" borderId="1" xfId="2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justify"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top"/>
    </xf>
    <xf numFmtId="0" fontId="6" fillId="0" borderId="1" xfId="0" applyFont="1" applyBorder="1" applyAlignment="1">
      <alignment horizontal="justify" vertical="center"/>
    </xf>
    <xf numFmtId="0" fontId="6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6" fontId="6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164" fontId="7" fillId="0" borderId="1" xfId="1" applyNumberFormat="1" applyFont="1" applyBorder="1" applyAlignment="1">
      <alignment horizontal="center"/>
    </xf>
    <xf numFmtId="44" fontId="7" fillId="0" borderId="1" xfId="1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15" fillId="0" borderId="2" xfId="0" applyFont="1" applyBorder="1" applyAlignment="1">
      <alignment horizontal="left" vertical="center"/>
    </xf>
    <xf numFmtId="0" fontId="15" fillId="0" borderId="3" xfId="0" applyFont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'Figures - Main'!$C$3</c:f>
              <c:strCache>
                <c:ptCount val="1"/>
                <c:pt idx="0">
                  <c:v>ICER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xVal>
            <c:numRef>
              <c:f>'Figures - Main'!$C$4:$C$12</c:f>
              <c:numCache>
                <c:formatCode>_("$"* #,##0_);_("$"* \(#,##0\);_("$"* "-"??_);_(@_)</c:formatCode>
                <c:ptCount val="9"/>
                <c:pt idx="0">
                  <c:v>146</c:v>
                </c:pt>
                <c:pt idx="1">
                  <c:v>146</c:v>
                </c:pt>
                <c:pt idx="2">
                  <c:v>146</c:v>
                </c:pt>
                <c:pt idx="3">
                  <c:v>146</c:v>
                </c:pt>
                <c:pt idx="4">
                  <c:v>146</c:v>
                </c:pt>
                <c:pt idx="5">
                  <c:v>146</c:v>
                </c:pt>
                <c:pt idx="6">
                  <c:v>146</c:v>
                </c:pt>
                <c:pt idx="8">
                  <c:v>295</c:v>
                </c:pt>
              </c:numCache>
            </c:numRef>
          </c:xVal>
          <c:yVal>
            <c:numRef>
              <c:f>'Figures - Main'!$H$4:$H$12</c:f>
              <c:numCache>
                <c:formatCode>General</c:formatCode>
                <c:ptCount val="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8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5-47B8-ACB8-D479773FA91D}"/>
            </c:ext>
          </c:extLst>
        </c:ser>
        <c:ser>
          <c:idx val="6"/>
          <c:order val="1"/>
          <c:tx>
            <c:strRef>
              <c:f>'Figures - Main'!$D$3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>
              <a:noFill/>
            </a:ln>
          </c:spPr>
          <c:xVal>
            <c:numRef>
              <c:f>'Figures - Main'!$D$4:$D$12</c:f>
              <c:numCache>
                <c:formatCode>_("$"* #,##0_);_("$"* \(#,##0\);_("$"* "-"??_);_(@_)</c:formatCode>
                <c:ptCount val="9"/>
                <c:pt idx="0">
                  <c:v>121</c:v>
                </c:pt>
                <c:pt idx="1">
                  <c:v>139</c:v>
                </c:pt>
                <c:pt idx="2">
                  <c:v>139</c:v>
                </c:pt>
                <c:pt idx="3">
                  <c:v>139</c:v>
                </c:pt>
                <c:pt idx="4">
                  <c:v>146</c:v>
                </c:pt>
                <c:pt idx="5">
                  <c:v>146</c:v>
                </c:pt>
                <c:pt idx="6">
                  <c:v>123</c:v>
                </c:pt>
                <c:pt idx="8">
                  <c:v>233</c:v>
                </c:pt>
              </c:numCache>
            </c:numRef>
          </c:xVal>
          <c:yVal>
            <c:numRef>
              <c:f>'Figures - Main'!$H$4:$H$12</c:f>
              <c:numCache>
                <c:formatCode>General</c:formatCode>
                <c:ptCount val="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8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35-47B8-ACB8-D479773FA91D}"/>
            </c:ext>
          </c:extLst>
        </c:ser>
        <c:ser>
          <c:idx val="7"/>
          <c:order val="2"/>
          <c:tx>
            <c:strRef>
              <c:f>'Figures - Main'!$E$3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>
              <a:noFill/>
            </a:ln>
          </c:spPr>
          <c:xVal>
            <c:numRef>
              <c:f>'Figures - Main'!$E$4:$E$12</c:f>
              <c:numCache>
                <c:formatCode>_("$"* #,##0_);_("$"* \(#,##0\);_("$"* "-"??_);_(@_)</c:formatCode>
                <c:ptCount val="9"/>
                <c:pt idx="0">
                  <c:v>146</c:v>
                </c:pt>
                <c:pt idx="1">
                  <c:v>146</c:v>
                </c:pt>
                <c:pt idx="2">
                  <c:v>128</c:v>
                </c:pt>
                <c:pt idx="3">
                  <c:v>125</c:v>
                </c:pt>
                <c:pt idx="4">
                  <c:v>146</c:v>
                </c:pt>
                <c:pt idx="5">
                  <c:v>152</c:v>
                </c:pt>
                <c:pt idx="6">
                  <c:v>126</c:v>
                </c:pt>
                <c:pt idx="8">
                  <c:v>244</c:v>
                </c:pt>
              </c:numCache>
            </c:numRef>
          </c:xVal>
          <c:yVal>
            <c:numRef>
              <c:f>'Figures - Main'!$H$4:$H$12</c:f>
              <c:numCache>
                <c:formatCode>General</c:formatCode>
                <c:ptCount val="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8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35-47B8-ACB8-D479773FA91D}"/>
            </c:ext>
          </c:extLst>
        </c:ser>
        <c:ser>
          <c:idx val="8"/>
          <c:order val="3"/>
          <c:tx>
            <c:strRef>
              <c:f>'Figures - Main'!$F$3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xVal>
            <c:numRef>
              <c:f>'Figures - Main'!$F$110:$F$111</c:f>
              <c:numCache>
                <c:formatCode>General</c:formatCode>
                <c:ptCount val="2"/>
              </c:numCache>
            </c:numRef>
          </c:xVal>
          <c:yVal>
            <c:numRef>
              <c:f>'Figures - Main'!$H$110:$H$111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35-47B8-ACB8-D479773FA91D}"/>
            </c:ext>
          </c:extLst>
        </c:ser>
        <c:ser>
          <c:idx val="9"/>
          <c:order val="4"/>
          <c:tx>
            <c:strRef>
              <c:f>'Figures - Main'!$G$3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xVal>
            <c:numRef>
              <c:f>'Figures - Main'!$G$113:$G$114</c:f>
              <c:numCache>
                <c:formatCode>General</c:formatCode>
                <c:ptCount val="2"/>
              </c:numCache>
            </c:numRef>
          </c:xVal>
          <c:yVal>
            <c:numRef>
              <c:f>'Figures - Main'!$H$113:$H$114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35-47B8-ACB8-D479773FA91D}"/>
            </c:ext>
          </c:extLst>
        </c:ser>
        <c:ser>
          <c:idx val="0"/>
          <c:order val="5"/>
          <c:tx>
            <c:strRef>
              <c:f>'Figures - Main'!$C$3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'Figures - Main'!$C$4:$C$46</c:f>
              <c:numCache>
                <c:formatCode>_("$"* #,##0_);_("$"* \(#,##0\);_("$"* "-"??_);_(@_)</c:formatCode>
                <c:ptCount val="43"/>
                <c:pt idx="0">
                  <c:v>146</c:v>
                </c:pt>
                <c:pt idx="1">
                  <c:v>146</c:v>
                </c:pt>
                <c:pt idx="2">
                  <c:v>146</c:v>
                </c:pt>
                <c:pt idx="3">
                  <c:v>146</c:v>
                </c:pt>
                <c:pt idx="4">
                  <c:v>146</c:v>
                </c:pt>
                <c:pt idx="5">
                  <c:v>146</c:v>
                </c:pt>
                <c:pt idx="6">
                  <c:v>146</c:v>
                </c:pt>
                <c:pt idx="8">
                  <c:v>295</c:v>
                </c:pt>
                <c:pt idx="9">
                  <c:v>295</c:v>
                </c:pt>
                <c:pt idx="10">
                  <c:v>295</c:v>
                </c:pt>
                <c:pt idx="11">
                  <c:v>295</c:v>
                </c:pt>
                <c:pt idx="12">
                  <c:v>295</c:v>
                </c:pt>
                <c:pt idx="13">
                  <c:v>295</c:v>
                </c:pt>
                <c:pt idx="14">
                  <c:v>295</c:v>
                </c:pt>
                <c:pt idx="16">
                  <c:v>291</c:v>
                </c:pt>
                <c:pt idx="17">
                  <c:v>291</c:v>
                </c:pt>
                <c:pt idx="18">
                  <c:v>291</c:v>
                </c:pt>
                <c:pt idx="19">
                  <c:v>291</c:v>
                </c:pt>
                <c:pt idx="20">
                  <c:v>291</c:v>
                </c:pt>
                <c:pt idx="21">
                  <c:v>291</c:v>
                </c:pt>
                <c:pt idx="22">
                  <c:v>291</c:v>
                </c:pt>
                <c:pt idx="23">
                  <c:v>291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  <c:pt idx="31">
                  <c:v>324</c:v>
                </c:pt>
                <c:pt idx="32">
                  <c:v>324</c:v>
                </c:pt>
                <c:pt idx="33">
                  <c:v>324</c:v>
                </c:pt>
                <c:pt idx="35">
                  <c:v>369</c:v>
                </c:pt>
                <c:pt idx="36">
                  <c:v>369</c:v>
                </c:pt>
                <c:pt idx="37">
                  <c:v>369</c:v>
                </c:pt>
                <c:pt idx="38">
                  <c:v>369</c:v>
                </c:pt>
                <c:pt idx="39">
                  <c:v>369</c:v>
                </c:pt>
                <c:pt idx="40">
                  <c:v>369</c:v>
                </c:pt>
                <c:pt idx="41">
                  <c:v>369</c:v>
                </c:pt>
                <c:pt idx="42">
                  <c:v>369</c:v>
                </c:pt>
              </c:numCache>
            </c:numRef>
          </c:xVal>
          <c:yVal>
            <c:numRef>
              <c:f>'Figures - Main'!$H$4:$H$46</c:f>
              <c:numCache>
                <c:formatCode>General</c:formatCode>
                <c:ptCount val="43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35-47B8-ACB8-D479773FA91D}"/>
            </c:ext>
          </c:extLst>
        </c:ser>
        <c:ser>
          <c:idx val="1"/>
          <c:order val="6"/>
          <c:tx>
            <c:strRef>
              <c:f>'Figures - Main'!$D$3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'Figures - Main'!$D$4:$D$114</c:f>
              <c:numCache>
                <c:formatCode>_("$"* #,##0_);_("$"* \(#,##0\);_("$"* "-"??_);_(@_)</c:formatCode>
                <c:ptCount val="111"/>
                <c:pt idx="0">
                  <c:v>121</c:v>
                </c:pt>
                <c:pt idx="1">
                  <c:v>139</c:v>
                </c:pt>
                <c:pt idx="2">
                  <c:v>139</c:v>
                </c:pt>
                <c:pt idx="3">
                  <c:v>139</c:v>
                </c:pt>
                <c:pt idx="4">
                  <c:v>146</c:v>
                </c:pt>
                <c:pt idx="5">
                  <c:v>146</c:v>
                </c:pt>
                <c:pt idx="6">
                  <c:v>123</c:v>
                </c:pt>
                <c:pt idx="8">
                  <c:v>233</c:v>
                </c:pt>
                <c:pt idx="9">
                  <c:v>266</c:v>
                </c:pt>
                <c:pt idx="10">
                  <c:v>268</c:v>
                </c:pt>
                <c:pt idx="11">
                  <c:v>277</c:v>
                </c:pt>
                <c:pt idx="12">
                  <c:v>295</c:v>
                </c:pt>
                <c:pt idx="13">
                  <c:v>298</c:v>
                </c:pt>
                <c:pt idx="14">
                  <c:v>268</c:v>
                </c:pt>
                <c:pt idx="16">
                  <c:v>0</c:v>
                </c:pt>
                <c:pt idx="17">
                  <c:v>89</c:v>
                </c:pt>
                <c:pt idx="18">
                  <c:v>267</c:v>
                </c:pt>
                <c:pt idx="19">
                  <c:v>295</c:v>
                </c:pt>
                <c:pt idx="20">
                  <c:v>267</c:v>
                </c:pt>
                <c:pt idx="21">
                  <c:v>292</c:v>
                </c:pt>
                <c:pt idx="22">
                  <c:v>291</c:v>
                </c:pt>
                <c:pt idx="23">
                  <c:v>291</c:v>
                </c:pt>
                <c:pt idx="25">
                  <c:v>56</c:v>
                </c:pt>
                <c:pt idx="26">
                  <c:v>162</c:v>
                </c:pt>
                <c:pt idx="27">
                  <c:v>295</c:v>
                </c:pt>
                <c:pt idx="28">
                  <c:v>263</c:v>
                </c:pt>
                <c:pt idx="29">
                  <c:v>248</c:v>
                </c:pt>
                <c:pt idx="30">
                  <c:v>328</c:v>
                </c:pt>
                <c:pt idx="31">
                  <c:v>307</c:v>
                </c:pt>
                <c:pt idx="32">
                  <c:v>325</c:v>
                </c:pt>
                <c:pt idx="33">
                  <c:v>324</c:v>
                </c:pt>
                <c:pt idx="35">
                  <c:v>0</c:v>
                </c:pt>
                <c:pt idx="36">
                  <c:v>0</c:v>
                </c:pt>
                <c:pt idx="37">
                  <c:v>333</c:v>
                </c:pt>
                <c:pt idx="38">
                  <c:v>374</c:v>
                </c:pt>
                <c:pt idx="39">
                  <c:v>367</c:v>
                </c:pt>
                <c:pt idx="40">
                  <c:v>370</c:v>
                </c:pt>
                <c:pt idx="41">
                  <c:v>369</c:v>
                </c:pt>
                <c:pt idx="42">
                  <c:v>369</c:v>
                </c:pt>
              </c:numCache>
            </c:numRef>
          </c:xVal>
          <c:yVal>
            <c:numRef>
              <c:f>'Figures - Main'!$H$4:$H$114</c:f>
              <c:numCache>
                <c:formatCode>General</c:formatCode>
                <c:ptCount val="111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35-47B8-ACB8-D479773FA91D}"/>
            </c:ext>
          </c:extLst>
        </c:ser>
        <c:ser>
          <c:idx val="2"/>
          <c:order val="7"/>
          <c:tx>
            <c:strRef>
              <c:f>'Figures - Main'!$E$3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'Figures - Main'!$E$4:$E$114</c:f>
              <c:numCache>
                <c:formatCode>_("$"* #,##0_);_("$"* \(#,##0\);_("$"* "-"??_);_(@_)</c:formatCode>
                <c:ptCount val="111"/>
                <c:pt idx="0">
                  <c:v>146</c:v>
                </c:pt>
                <c:pt idx="1">
                  <c:v>146</c:v>
                </c:pt>
                <c:pt idx="2">
                  <c:v>128</c:v>
                </c:pt>
                <c:pt idx="3">
                  <c:v>125</c:v>
                </c:pt>
                <c:pt idx="4">
                  <c:v>146</c:v>
                </c:pt>
                <c:pt idx="5">
                  <c:v>152</c:v>
                </c:pt>
                <c:pt idx="6">
                  <c:v>126</c:v>
                </c:pt>
                <c:pt idx="8">
                  <c:v>244</c:v>
                </c:pt>
                <c:pt idx="9">
                  <c:v>295</c:v>
                </c:pt>
                <c:pt idx="10">
                  <c:v>239</c:v>
                </c:pt>
                <c:pt idx="11">
                  <c:v>242</c:v>
                </c:pt>
                <c:pt idx="12">
                  <c:v>156</c:v>
                </c:pt>
                <c:pt idx="14">
                  <c:v>271</c:v>
                </c:pt>
                <c:pt idx="16">
                  <c:v>98</c:v>
                </c:pt>
                <c:pt idx="17">
                  <c:v>171</c:v>
                </c:pt>
                <c:pt idx="18">
                  <c:v>238</c:v>
                </c:pt>
                <c:pt idx="19">
                  <c:v>295</c:v>
                </c:pt>
                <c:pt idx="20">
                  <c:v>238</c:v>
                </c:pt>
                <c:pt idx="21">
                  <c:v>292</c:v>
                </c:pt>
                <c:pt idx="22">
                  <c:v>117</c:v>
                </c:pt>
                <c:pt idx="23">
                  <c:v>292</c:v>
                </c:pt>
                <c:pt idx="25">
                  <c:v>181</c:v>
                </c:pt>
                <c:pt idx="26">
                  <c:v>235</c:v>
                </c:pt>
                <c:pt idx="27">
                  <c:v>263</c:v>
                </c:pt>
                <c:pt idx="28">
                  <c:v>277</c:v>
                </c:pt>
                <c:pt idx="29">
                  <c:v>274</c:v>
                </c:pt>
                <c:pt idx="30">
                  <c:v>328</c:v>
                </c:pt>
                <c:pt idx="31">
                  <c:v>274</c:v>
                </c:pt>
                <c:pt idx="32">
                  <c:v>325</c:v>
                </c:pt>
                <c:pt idx="33">
                  <c:v>324</c:v>
                </c:pt>
                <c:pt idx="35">
                  <c:v>0</c:v>
                </c:pt>
                <c:pt idx="36">
                  <c:v>112</c:v>
                </c:pt>
                <c:pt idx="37">
                  <c:v>298</c:v>
                </c:pt>
                <c:pt idx="38">
                  <c:v>374</c:v>
                </c:pt>
                <c:pt idx="39">
                  <c:v>340</c:v>
                </c:pt>
                <c:pt idx="40">
                  <c:v>370</c:v>
                </c:pt>
                <c:pt idx="41">
                  <c:v>187</c:v>
                </c:pt>
                <c:pt idx="42">
                  <c:v>370</c:v>
                </c:pt>
              </c:numCache>
            </c:numRef>
          </c:xVal>
          <c:yVal>
            <c:numRef>
              <c:f>'Figures - Main'!$H$4:$H$114</c:f>
              <c:numCache>
                <c:formatCode>General</c:formatCode>
                <c:ptCount val="111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5-47B8-ACB8-D479773FA91D}"/>
            </c:ext>
          </c:extLst>
        </c:ser>
        <c:ser>
          <c:idx val="3"/>
          <c:order val="8"/>
          <c:tx>
            <c:strRef>
              <c:f>'Figures - Main'!$F$3</c:f>
              <c:strCache>
                <c:ptCount val="1"/>
                <c:pt idx="0">
                  <c:v>100K Benchmark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8235-47B8-ACB8-D479773FA91D}"/>
              </c:ext>
            </c:extLst>
          </c:dPt>
          <c:xVal>
            <c:numRef>
              <c:f>'Figures - Main'!$F$48:$F$49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'Figures - Main'!$H$48:$H$49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35-47B8-ACB8-D479773FA91D}"/>
            </c:ext>
          </c:extLst>
        </c:ser>
        <c:ser>
          <c:idx val="4"/>
          <c:order val="9"/>
          <c:tx>
            <c:strRef>
              <c:f>'Figures - Main'!$G$3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'Figures - Main'!$G$50:$G$51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'Figures - Main'!$H$50:$H$51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35-47B8-ACB8-D479773F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Figures!$C$3</c:f>
              <c:strCache>
                <c:ptCount val="1"/>
                <c:pt idx="0">
                  <c:v>ICER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xVal>
            <c:numRef>
              <c:f>Figures!$C$4:$C$13</c:f>
              <c:numCache>
                <c:formatCode>_("$"* #,##0_);_("$"* \(#,##0\);_("$"* "-"??_);_(@_)</c:formatCode>
                <c:ptCount val="10"/>
                <c:pt idx="0">
                  <c:v>146</c:v>
                </c:pt>
                <c:pt idx="1">
                  <c:v>146</c:v>
                </c:pt>
                <c:pt idx="2">
                  <c:v>146</c:v>
                </c:pt>
                <c:pt idx="3">
                  <c:v>146</c:v>
                </c:pt>
                <c:pt idx="5">
                  <c:v>146</c:v>
                </c:pt>
                <c:pt idx="7">
                  <c:v>146</c:v>
                </c:pt>
                <c:pt idx="9">
                  <c:v>146</c:v>
                </c:pt>
              </c:numCache>
            </c:numRef>
          </c:xVal>
          <c:yVal>
            <c:numRef>
              <c:f>Figures!$H$4:$H$13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15A-4C54-8224-D3B95E7B7A6B}"/>
            </c:ext>
          </c:extLst>
        </c:ser>
        <c:ser>
          <c:idx val="6"/>
          <c:order val="1"/>
          <c:tx>
            <c:strRef>
              <c:f>Figures!$D$3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>
              <a:noFill/>
            </a:ln>
          </c:spPr>
          <c:xVal>
            <c:numRef>
              <c:f>Figures!$D$4:$D$13</c:f>
              <c:numCache>
                <c:formatCode>_("$"* #,##0_);_("$"* \(#,##0\);_("$"* "-"??_);_(@_)</c:formatCode>
                <c:ptCount val="10"/>
                <c:pt idx="0">
                  <c:v>121</c:v>
                </c:pt>
                <c:pt idx="1">
                  <c:v>139</c:v>
                </c:pt>
                <c:pt idx="2">
                  <c:v>139</c:v>
                </c:pt>
                <c:pt idx="3">
                  <c:v>139</c:v>
                </c:pt>
                <c:pt idx="5">
                  <c:v>146</c:v>
                </c:pt>
                <c:pt idx="7">
                  <c:v>146</c:v>
                </c:pt>
                <c:pt idx="9">
                  <c:v>123</c:v>
                </c:pt>
              </c:numCache>
            </c:numRef>
          </c:xVal>
          <c:yVal>
            <c:numRef>
              <c:f>Figures!$H$4:$H$13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15A-4C54-8224-D3B95E7B7A6B}"/>
            </c:ext>
          </c:extLst>
        </c:ser>
        <c:ser>
          <c:idx val="7"/>
          <c:order val="2"/>
          <c:tx>
            <c:strRef>
              <c:f>Figures!$E$3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>
              <a:noFill/>
            </a:ln>
          </c:spPr>
          <c:xVal>
            <c:numRef>
              <c:f>Figures!$E$4:$E$13</c:f>
              <c:numCache>
                <c:formatCode>_("$"* #,##0_);_("$"* \(#,##0\);_("$"* "-"??_);_(@_)</c:formatCode>
                <c:ptCount val="10"/>
                <c:pt idx="0">
                  <c:v>146</c:v>
                </c:pt>
                <c:pt idx="1">
                  <c:v>146</c:v>
                </c:pt>
                <c:pt idx="2">
                  <c:v>128</c:v>
                </c:pt>
                <c:pt idx="3">
                  <c:v>125</c:v>
                </c:pt>
                <c:pt idx="5">
                  <c:v>146</c:v>
                </c:pt>
                <c:pt idx="7">
                  <c:v>152</c:v>
                </c:pt>
                <c:pt idx="9">
                  <c:v>126</c:v>
                </c:pt>
              </c:numCache>
            </c:numRef>
          </c:xVal>
          <c:yVal>
            <c:numRef>
              <c:f>Figures!$H$4:$H$13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15A-4C54-8224-D3B95E7B7A6B}"/>
            </c:ext>
          </c:extLst>
        </c:ser>
        <c:ser>
          <c:idx val="8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xVal>
            <c:numRef>
              <c:f>Figures!$F$15:$F$16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Figures!$H$15:$H$16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15A-4C54-8224-D3B95E7B7A6B}"/>
            </c:ext>
          </c:extLst>
        </c:ser>
        <c:ser>
          <c:idx val="9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xVal>
            <c:numRef>
              <c:f>Figures!$G$18:$G$19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Figures!$H$18:$H$19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15A-4C54-8224-D3B95E7B7A6B}"/>
            </c:ext>
          </c:extLst>
        </c:ser>
        <c:ser>
          <c:idx val="0"/>
          <c:order val="5"/>
          <c:tx>
            <c:strRef>
              <c:f>Figures!$C$3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Figures!$C$4:$C$13</c:f>
              <c:numCache>
                <c:formatCode>_("$"* #,##0_);_("$"* \(#,##0\);_("$"* "-"??_);_(@_)</c:formatCode>
                <c:ptCount val="10"/>
                <c:pt idx="0">
                  <c:v>146</c:v>
                </c:pt>
                <c:pt idx="1">
                  <c:v>146</c:v>
                </c:pt>
                <c:pt idx="2">
                  <c:v>146</c:v>
                </c:pt>
                <c:pt idx="3">
                  <c:v>146</c:v>
                </c:pt>
                <c:pt idx="5">
                  <c:v>146</c:v>
                </c:pt>
                <c:pt idx="7">
                  <c:v>146</c:v>
                </c:pt>
                <c:pt idx="9">
                  <c:v>146</c:v>
                </c:pt>
              </c:numCache>
            </c:numRef>
          </c:xVal>
          <c:yVal>
            <c:numRef>
              <c:f>Figures!$H$4:$H$13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A-4C54-8224-D3B95E7B7A6B}"/>
            </c:ext>
          </c:extLst>
        </c:ser>
        <c:ser>
          <c:idx val="1"/>
          <c:order val="6"/>
          <c:tx>
            <c:strRef>
              <c:f>Figures!$D$3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Figures!$D$4:$D$13</c:f>
              <c:numCache>
                <c:formatCode>_("$"* #,##0_);_("$"* \(#,##0\);_("$"* "-"??_);_(@_)</c:formatCode>
                <c:ptCount val="10"/>
                <c:pt idx="0">
                  <c:v>121</c:v>
                </c:pt>
                <c:pt idx="1">
                  <c:v>139</c:v>
                </c:pt>
                <c:pt idx="2">
                  <c:v>139</c:v>
                </c:pt>
                <c:pt idx="3">
                  <c:v>139</c:v>
                </c:pt>
                <c:pt idx="5">
                  <c:v>146</c:v>
                </c:pt>
                <c:pt idx="7">
                  <c:v>146</c:v>
                </c:pt>
                <c:pt idx="9">
                  <c:v>123</c:v>
                </c:pt>
              </c:numCache>
            </c:numRef>
          </c:xVal>
          <c:yVal>
            <c:numRef>
              <c:f>Figures!$H$4:$H$13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5A-4C54-8224-D3B95E7B7A6B}"/>
            </c:ext>
          </c:extLst>
        </c:ser>
        <c:ser>
          <c:idx val="2"/>
          <c:order val="7"/>
          <c:tx>
            <c:strRef>
              <c:f>Figures!$E$3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Figures!$E$4:$E$13</c:f>
              <c:numCache>
                <c:formatCode>_("$"* #,##0_);_("$"* \(#,##0\);_("$"* "-"??_);_(@_)</c:formatCode>
                <c:ptCount val="10"/>
                <c:pt idx="0">
                  <c:v>146</c:v>
                </c:pt>
                <c:pt idx="1">
                  <c:v>146</c:v>
                </c:pt>
                <c:pt idx="2">
                  <c:v>128</c:v>
                </c:pt>
                <c:pt idx="3">
                  <c:v>125</c:v>
                </c:pt>
                <c:pt idx="5">
                  <c:v>146</c:v>
                </c:pt>
                <c:pt idx="7">
                  <c:v>152</c:v>
                </c:pt>
                <c:pt idx="9">
                  <c:v>126</c:v>
                </c:pt>
              </c:numCache>
            </c:numRef>
          </c:xVal>
          <c:yVal>
            <c:numRef>
              <c:f>Figures!$H$4:$H$13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5A-4C54-8224-D3B95E7B7A6B}"/>
            </c:ext>
          </c:extLst>
        </c:ser>
        <c:ser>
          <c:idx val="3"/>
          <c:order val="8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Figures!$F$15:$F$16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Figures!$H$15:$H$16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15A-4C54-8224-D3B95E7B7A6B}"/>
            </c:ext>
          </c:extLst>
        </c:ser>
        <c:ser>
          <c:idx val="4"/>
          <c:order val="9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Figures!$G$18:$G$19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Figures!$H$18:$H$19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15A-4C54-8224-D3B95E7B7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Figures!$C$22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Figures!$C$23:$C$32</c:f>
              <c:numCache>
                <c:formatCode>_("$"* #,##0_);_("$"* \(#,##0\);_("$"* "-"??_);_(@_)</c:formatCode>
                <c:ptCount val="10"/>
                <c:pt idx="0">
                  <c:v>295</c:v>
                </c:pt>
                <c:pt idx="1">
                  <c:v>295</c:v>
                </c:pt>
                <c:pt idx="2">
                  <c:v>295</c:v>
                </c:pt>
                <c:pt idx="3">
                  <c:v>295</c:v>
                </c:pt>
                <c:pt idx="5">
                  <c:v>295</c:v>
                </c:pt>
                <c:pt idx="7">
                  <c:v>295</c:v>
                </c:pt>
                <c:pt idx="9">
                  <c:v>295</c:v>
                </c:pt>
              </c:numCache>
            </c:numRef>
          </c:xVal>
          <c:yVal>
            <c:numRef>
              <c:f>Figures!$H$23:$H$32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DE-4DE1-8B17-0A07D42B963F}"/>
            </c:ext>
          </c:extLst>
        </c:ser>
        <c:ser>
          <c:idx val="1"/>
          <c:order val="1"/>
          <c:tx>
            <c:strRef>
              <c:f>Figures!$D$22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Figures!$D$23:$D$32</c:f>
              <c:numCache>
                <c:formatCode>_("$"* #,##0_);_("$"* \(#,##0\);_("$"* "-"??_);_(@_)</c:formatCode>
                <c:ptCount val="10"/>
                <c:pt idx="0">
                  <c:v>233</c:v>
                </c:pt>
                <c:pt idx="1">
                  <c:v>266</c:v>
                </c:pt>
                <c:pt idx="2">
                  <c:v>268</c:v>
                </c:pt>
                <c:pt idx="3">
                  <c:v>277</c:v>
                </c:pt>
                <c:pt idx="5">
                  <c:v>295</c:v>
                </c:pt>
                <c:pt idx="7">
                  <c:v>298</c:v>
                </c:pt>
                <c:pt idx="9">
                  <c:v>268</c:v>
                </c:pt>
              </c:numCache>
            </c:numRef>
          </c:xVal>
          <c:yVal>
            <c:numRef>
              <c:f>Figures!$H$23:$H$32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DE-4DE1-8B17-0A07D42B963F}"/>
            </c:ext>
          </c:extLst>
        </c:ser>
        <c:ser>
          <c:idx val="2"/>
          <c:order val="2"/>
          <c:tx>
            <c:strRef>
              <c:f>Figures!$E$22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Figures!$E$23:$E$32</c:f>
              <c:numCache>
                <c:formatCode>_("$"* #,##0_);_("$"* \(#,##0\);_("$"* "-"??_);_(@_)</c:formatCode>
                <c:ptCount val="10"/>
                <c:pt idx="0">
                  <c:v>244</c:v>
                </c:pt>
                <c:pt idx="1">
                  <c:v>295</c:v>
                </c:pt>
                <c:pt idx="2">
                  <c:v>239</c:v>
                </c:pt>
                <c:pt idx="3">
                  <c:v>242</c:v>
                </c:pt>
                <c:pt idx="5">
                  <c:v>156</c:v>
                </c:pt>
                <c:pt idx="9">
                  <c:v>271</c:v>
                </c:pt>
              </c:numCache>
            </c:numRef>
          </c:xVal>
          <c:yVal>
            <c:numRef>
              <c:f>Figures!$H$23:$H$32</c:f>
              <c:numCache>
                <c:formatCode>General</c:formatCode>
                <c:ptCount val="10"/>
                <c:pt idx="0">
                  <c:v>1.375</c:v>
                </c:pt>
                <c:pt idx="1">
                  <c:v>1.125</c:v>
                </c:pt>
                <c:pt idx="2">
                  <c:v>0.875</c:v>
                </c:pt>
                <c:pt idx="3">
                  <c:v>0.625</c:v>
                </c:pt>
                <c:pt idx="5">
                  <c:v>2.5</c:v>
                </c:pt>
                <c:pt idx="7">
                  <c:v>3.5</c:v>
                </c:pt>
                <c:pt idx="9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DE-4DE1-8B17-0A07D42B963F}"/>
            </c:ext>
          </c:extLst>
        </c:ser>
        <c:ser>
          <c:idx val="3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Figures!$F$34:$F$35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Figures!$H$34:$H$35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DE-4DE1-8B17-0A07D42B963F}"/>
            </c:ext>
          </c:extLst>
        </c:ser>
        <c:ser>
          <c:idx val="4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Figures!$G$37:$G$38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Figures!$H$37:$H$38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DE-4DE1-8B17-0A07D42B9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535687744935862E-2"/>
          <c:y val="3.1845714062822147E-2"/>
          <c:w val="0.88024118591303002"/>
          <c:h val="0.76497250068260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Figures!$C$65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Figures!$C$66:$C$75</c:f>
              <c:numCache>
                <c:formatCode>_("$"* #,##0_);_("$"* \(#,##0\);_("$"* "-"??_);_(@_)</c:formatCode>
                <c:ptCount val="10"/>
                <c:pt idx="0">
                  <c:v>324</c:v>
                </c:pt>
                <c:pt idx="1">
                  <c:v>324</c:v>
                </c:pt>
                <c:pt idx="2">
                  <c:v>324</c:v>
                </c:pt>
                <c:pt idx="3">
                  <c:v>324</c:v>
                </c:pt>
                <c:pt idx="4">
                  <c:v>324</c:v>
                </c:pt>
                <c:pt idx="5">
                  <c:v>324</c:v>
                </c:pt>
                <c:pt idx="6">
                  <c:v>324</c:v>
                </c:pt>
                <c:pt idx="7">
                  <c:v>324</c:v>
                </c:pt>
                <c:pt idx="9">
                  <c:v>324</c:v>
                </c:pt>
              </c:numCache>
            </c:numRef>
          </c:xVal>
          <c:yVal>
            <c:numRef>
              <c:f>Figures!$H$66:$H$75</c:f>
              <c:numCache>
                <c:formatCode>General</c:formatCode>
                <c:ptCount val="10"/>
                <c:pt idx="0">
                  <c:v>1.7750000000000004</c:v>
                </c:pt>
                <c:pt idx="1">
                  <c:v>1.5500000000000003</c:v>
                </c:pt>
                <c:pt idx="2">
                  <c:v>1.3250000000000002</c:v>
                </c:pt>
                <c:pt idx="3">
                  <c:v>1.1000000000000001</c:v>
                </c:pt>
                <c:pt idx="4">
                  <c:v>0.875</c:v>
                </c:pt>
                <c:pt idx="5">
                  <c:v>0.65</c:v>
                </c:pt>
                <c:pt idx="6">
                  <c:v>0.42500000000000004</c:v>
                </c:pt>
                <c:pt idx="7">
                  <c:v>0.2</c:v>
                </c:pt>
                <c:pt idx="9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9-4579-9E56-32E80457D24C}"/>
            </c:ext>
          </c:extLst>
        </c:ser>
        <c:ser>
          <c:idx val="1"/>
          <c:order val="1"/>
          <c:tx>
            <c:strRef>
              <c:f>Figures!$D$65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Figures!$D$66:$D$75</c:f>
              <c:numCache>
                <c:formatCode>_("$"* #,##0_);_("$"* \(#,##0\);_("$"* "-"??_);_(@_)</c:formatCode>
                <c:ptCount val="10"/>
                <c:pt idx="0">
                  <c:v>56</c:v>
                </c:pt>
                <c:pt idx="1">
                  <c:v>162</c:v>
                </c:pt>
                <c:pt idx="2">
                  <c:v>295</c:v>
                </c:pt>
                <c:pt idx="3">
                  <c:v>263</c:v>
                </c:pt>
                <c:pt idx="4">
                  <c:v>248</c:v>
                </c:pt>
                <c:pt idx="5">
                  <c:v>328</c:v>
                </c:pt>
                <c:pt idx="6">
                  <c:v>307</c:v>
                </c:pt>
                <c:pt idx="7">
                  <c:v>325</c:v>
                </c:pt>
                <c:pt idx="9">
                  <c:v>324</c:v>
                </c:pt>
              </c:numCache>
            </c:numRef>
          </c:xVal>
          <c:yVal>
            <c:numRef>
              <c:f>Figures!$H$66:$H$75</c:f>
              <c:numCache>
                <c:formatCode>General</c:formatCode>
                <c:ptCount val="10"/>
                <c:pt idx="0">
                  <c:v>1.7750000000000004</c:v>
                </c:pt>
                <c:pt idx="1">
                  <c:v>1.5500000000000003</c:v>
                </c:pt>
                <c:pt idx="2">
                  <c:v>1.3250000000000002</c:v>
                </c:pt>
                <c:pt idx="3">
                  <c:v>1.1000000000000001</c:v>
                </c:pt>
                <c:pt idx="4">
                  <c:v>0.875</c:v>
                </c:pt>
                <c:pt idx="5">
                  <c:v>0.65</c:v>
                </c:pt>
                <c:pt idx="6">
                  <c:v>0.42500000000000004</c:v>
                </c:pt>
                <c:pt idx="7">
                  <c:v>0.2</c:v>
                </c:pt>
                <c:pt idx="9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9-4579-9E56-32E80457D24C}"/>
            </c:ext>
          </c:extLst>
        </c:ser>
        <c:ser>
          <c:idx val="2"/>
          <c:order val="2"/>
          <c:tx>
            <c:strRef>
              <c:f>Figures!$E$65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Figures!$E$66:$E$75</c:f>
              <c:numCache>
                <c:formatCode>_("$"* #,##0_);_("$"* \(#,##0\);_("$"* "-"??_);_(@_)</c:formatCode>
                <c:ptCount val="10"/>
                <c:pt idx="0">
                  <c:v>181</c:v>
                </c:pt>
                <c:pt idx="1">
                  <c:v>235</c:v>
                </c:pt>
                <c:pt idx="2">
                  <c:v>263</c:v>
                </c:pt>
                <c:pt idx="3">
                  <c:v>277</c:v>
                </c:pt>
                <c:pt idx="4">
                  <c:v>274</c:v>
                </c:pt>
                <c:pt idx="5">
                  <c:v>328</c:v>
                </c:pt>
                <c:pt idx="6">
                  <c:v>274</c:v>
                </c:pt>
                <c:pt idx="7">
                  <c:v>325</c:v>
                </c:pt>
                <c:pt idx="9">
                  <c:v>324</c:v>
                </c:pt>
              </c:numCache>
            </c:numRef>
          </c:xVal>
          <c:yVal>
            <c:numRef>
              <c:f>Figures!$H$66:$H$75</c:f>
              <c:numCache>
                <c:formatCode>General</c:formatCode>
                <c:ptCount val="10"/>
                <c:pt idx="0">
                  <c:v>1.7750000000000004</c:v>
                </c:pt>
                <c:pt idx="1">
                  <c:v>1.5500000000000003</c:v>
                </c:pt>
                <c:pt idx="2">
                  <c:v>1.3250000000000002</c:v>
                </c:pt>
                <c:pt idx="3">
                  <c:v>1.1000000000000001</c:v>
                </c:pt>
                <c:pt idx="4">
                  <c:v>0.875</c:v>
                </c:pt>
                <c:pt idx="5">
                  <c:v>0.65</c:v>
                </c:pt>
                <c:pt idx="6">
                  <c:v>0.42500000000000004</c:v>
                </c:pt>
                <c:pt idx="7">
                  <c:v>0.2</c:v>
                </c:pt>
                <c:pt idx="9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9-4579-9E56-32E80457D24C}"/>
            </c:ext>
          </c:extLst>
        </c:ser>
        <c:ser>
          <c:idx val="3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Figures!$F$81:$F$82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Figures!$H$81:$H$82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59-4579-9E56-32E80457D24C}"/>
            </c:ext>
          </c:extLst>
        </c:ser>
        <c:ser>
          <c:idx val="4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Figures!$G$84:$G$85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Figures!$H$84:$H$85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59-4579-9E56-32E80457D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Figures!$C$43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Figures!$C$44:$C$55</c:f>
              <c:numCache>
                <c:formatCode>_("$"* #,##0_);_("$"* \(#,##0\);_("$"* "-"??_);_(@_)</c:formatCode>
                <c:ptCount val="12"/>
                <c:pt idx="0">
                  <c:v>291</c:v>
                </c:pt>
                <c:pt idx="1">
                  <c:v>291</c:v>
                </c:pt>
                <c:pt idx="2">
                  <c:v>291</c:v>
                </c:pt>
                <c:pt idx="3">
                  <c:v>291</c:v>
                </c:pt>
                <c:pt idx="4">
                  <c:v>291</c:v>
                </c:pt>
                <c:pt idx="5">
                  <c:v>291</c:v>
                </c:pt>
                <c:pt idx="7">
                  <c:v>291</c:v>
                </c:pt>
                <c:pt idx="11">
                  <c:v>291</c:v>
                </c:pt>
              </c:numCache>
            </c:numRef>
          </c:xVal>
          <c:yVal>
            <c:numRef>
              <c:f>Figures!$H$44:$H$55</c:f>
              <c:numCache>
                <c:formatCode>General</c:formatCode>
                <c:ptCount val="12"/>
                <c:pt idx="0">
                  <c:v>1.583</c:v>
                </c:pt>
                <c:pt idx="1">
                  <c:v>1.333</c:v>
                </c:pt>
                <c:pt idx="2">
                  <c:v>1.083</c:v>
                </c:pt>
                <c:pt idx="3">
                  <c:v>0.83299999999999996</c:v>
                </c:pt>
                <c:pt idx="4">
                  <c:v>0.58299999999999996</c:v>
                </c:pt>
                <c:pt idx="5">
                  <c:v>0.33300000000000002</c:v>
                </c:pt>
                <c:pt idx="7">
                  <c:v>2.5</c:v>
                </c:pt>
                <c:pt idx="9">
                  <c:v>3.5</c:v>
                </c:pt>
                <c:pt idx="11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698-B15B-03A986FAF45F}"/>
            </c:ext>
          </c:extLst>
        </c:ser>
        <c:ser>
          <c:idx val="1"/>
          <c:order val="1"/>
          <c:tx>
            <c:strRef>
              <c:f>Figures!$D$43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Figures!$D$44:$D$55</c:f>
              <c:numCache>
                <c:formatCode>_("$"* #,##0_);_("$"* \(#,##0\);_("$"* "-"??_);_(@_)</c:formatCode>
                <c:ptCount val="12"/>
                <c:pt idx="0">
                  <c:v>0</c:v>
                </c:pt>
                <c:pt idx="1">
                  <c:v>89</c:v>
                </c:pt>
                <c:pt idx="2">
                  <c:v>267</c:v>
                </c:pt>
                <c:pt idx="3">
                  <c:v>295</c:v>
                </c:pt>
                <c:pt idx="4">
                  <c:v>267</c:v>
                </c:pt>
                <c:pt idx="5">
                  <c:v>292</c:v>
                </c:pt>
                <c:pt idx="7">
                  <c:v>291</c:v>
                </c:pt>
                <c:pt idx="11">
                  <c:v>291</c:v>
                </c:pt>
              </c:numCache>
            </c:numRef>
          </c:xVal>
          <c:yVal>
            <c:numRef>
              <c:f>Figures!$H$44:$H$55</c:f>
              <c:numCache>
                <c:formatCode>General</c:formatCode>
                <c:ptCount val="12"/>
                <c:pt idx="0">
                  <c:v>1.583</c:v>
                </c:pt>
                <c:pt idx="1">
                  <c:v>1.333</c:v>
                </c:pt>
                <c:pt idx="2">
                  <c:v>1.083</c:v>
                </c:pt>
                <c:pt idx="3">
                  <c:v>0.83299999999999996</c:v>
                </c:pt>
                <c:pt idx="4">
                  <c:v>0.58299999999999996</c:v>
                </c:pt>
                <c:pt idx="5">
                  <c:v>0.33300000000000002</c:v>
                </c:pt>
                <c:pt idx="7">
                  <c:v>2.5</c:v>
                </c:pt>
                <c:pt idx="9">
                  <c:v>3.5</c:v>
                </c:pt>
                <c:pt idx="11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698-B15B-03A986FAF45F}"/>
            </c:ext>
          </c:extLst>
        </c:ser>
        <c:ser>
          <c:idx val="2"/>
          <c:order val="2"/>
          <c:tx>
            <c:strRef>
              <c:f>Figures!$E$43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Figures!$E$44:$E$55</c:f>
              <c:numCache>
                <c:formatCode>_("$"* #,##0_);_("$"* \(#,##0\);_("$"* "-"??_);_(@_)</c:formatCode>
                <c:ptCount val="12"/>
                <c:pt idx="0">
                  <c:v>98</c:v>
                </c:pt>
                <c:pt idx="1">
                  <c:v>171</c:v>
                </c:pt>
                <c:pt idx="2">
                  <c:v>238</c:v>
                </c:pt>
                <c:pt idx="3">
                  <c:v>295</c:v>
                </c:pt>
                <c:pt idx="4">
                  <c:v>238</c:v>
                </c:pt>
                <c:pt idx="5">
                  <c:v>292</c:v>
                </c:pt>
                <c:pt idx="7">
                  <c:v>117</c:v>
                </c:pt>
                <c:pt idx="11">
                  <c:v>292</c:v>
                </c:pt>
              </c:numCache>
            </c:numRef>
          </c:xVal>
          <c:yVal>
            <c:numRef>
              <c:f>Figures!$H$44:$H$55</c:f>
              <c:numCache>
                <c:formatCode>General</c:formatCode>
                <c:ptCount val="12"/>
                <c:pt idx="0">
                  <c:v>1.583</c:v>
                </c:pt>
                <c:pt idx="1">
                  <c:v>1.333</c:v>
                </c:pt>
                <c:pt idx="2">
                  <c:v>1.083</c:v>
                </c:pt>
                <c:pt idx="3">
                  <c:v>0.83299999999999996</c:v>
                </c:pt>
                <c:pt idx="4">
                  <c:v>0.58299999999999996</c:v>
                </c:pt>
                <c:pt idx="5">
                  <c:v>0.33300000000000002</c:v>
                </c:pt>
                <c:pt idx="7">
                  <c:v>2.5</c:v>
                </c:pt>
                <c:pt idx="9">
                  <c:v>3.5</c:v>
                </c:pt>
                <c:pt idx="11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39-4698-B15B-03A986FAF45F}"/>
            </c:ext>
          </c:extLst>
        </c:ser>
        <c:ser>
          <c:idx val="3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Figures!$F$34:$F$35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Figures!$H$34:$H$35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39-4698-B15B-03A986FAF45F}"/>
            </c:ext>
          </c:extLst>
        </c:ser>
        <c:ser>
          <c:idx val="4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Figures!$G$37:$G$38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Figures!$H$37:$H$38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39-4698-B15B-03A986FAF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Figures!$C$88</c:f>
              <c:strCache>
                <c:ptCount val="1"/>
                <c:pt idx="0">
                  <c:v>ICER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Figures!$C$89:$C$102</c:f>
              <c:numCache>
                <c:formatCode>_("$"* #,##0_);_("$"* \(#,##0\);_("$"* "-"??_);_(@_)</c:formatCode>
                <c:ptCount val="14"/>
                <c:pt idx="0">
                  <c:v>369</c:v>
                </c:pt>
                <c:pt idx="1">
                  <c:v>369</c:v>
                </c:pt>
                <c:pt idx="2">
                  <c:v>369</c:v>
                </c:pt>
                <c:pt idx="3">
                  <c:v>369</c:v>
                </c:pt>
                <c:pt idx="4">
                  <c:v>369</c:v>
                </c:pt>
                <c:pt idx="5">
                  <c:v>369</c:v>
                </c:pt>
                <c:pt idx="9">
                  <c:v>369</c:v>
                </c:pt>
                <c:pt idx="13">
                  <c:v>369</c:v>
                </c:pt>
              </c:numCache>
            </c:numRef>
          </c:xVal>
          <c:yVal>
            <c:numRef>
              <c:f>Figures!$H$89:$H$102</c:f>
              <c:numCache>
                <c:formatCode>General</c:formatCode>
                <c:ptCount val="14"/>
                <c:pt idx="0">
                  <c:v>1.65</c:v>
                </c:pt>
                <c:pt idx="1">
                  <c:v>1.4</c:v>
                </c:pt>
                <c:pt idx="2">
                  <c:v>1.1499999999999999</c:v>
                </c:pt>
                <c:pt idx="3">
                  <c:v>0.9</c:v>
                </c:pt>
                <c:pt idx="4">
                  <c:v>0.65</c:v>
                </c:pt>
                <c:pt idx="5">
                  <c:v>0.4</c:v>
                </c:pt>
                <c:pt idx="9">
                  <c:v>2.5</c:v>
                </c:pt>
                <c:pt idx="11">
                  <c:v>3.5</c:v>
                </c:pt>
                <c:pt idx="1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4-43D3-858F-16B56930D072}"/>
            </c:ext>
          </c:extLst>
        </c:ser>
        <c:ser>
          <c:idx val="1"/>
          <c:order val="1"/>
          <c:tx>
            <c:strRef>
              <c:f>Figures!$D$88</c:f>
              <c:strCache>
                <c:ptCount val="1"/>
                <c:pt idx="0">
                  <c:v>Expert Group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Figures!$D$89:$D$102</c:f>
              <c:numCache>
                <c:formatCode>_("$"* #,##0_);_("$"* \(#,##0\);_("$"* "-"??_);_(@_)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333</c:v>
                </c:pt>
                <c:pt idx="3">
                  <c:v>374</c:v>
                </c:pt>
                <c:pt idx="4">
                  <c:v>367</c:v>
                </c:pt>
                <c:pt idx="5">
                  <c:v>370</c:v>
                </c:pt>
                <c:pt idx="9">
                  <c:v>369</c:v>
                </c:pt>
                <c:pt idx="13">
                  <c:v>369</c:v>
                </c:pt>
              </c:numCache>
            </c:numRef>
          </c:xVal>
          <c:yVal>
            <c:numRef>
              <c:f>Figures!$H$89:$H$102</c:f>
              <c:numCache>
                <c:formatCode>General</c:formatCode>
                <c:ptCount val="14"/>
                <c:pt idx="0">
                  <c:v>1.65</c:v>
                </c:pt>
                <c:pt idx="1">
                  <c:v>1.4</c:v>
                </c:pt>
                <c:pt idx="2">
                  <c:v>1.1499999999999999</c:v>
                </c:pt>
                <c:pt idx="3">
                  <c:v>0.9</c:v>
                </c:pt>
                <c:pt idx="4">
                  <c:v>0.65</c:v>
                </c:pt>
                <c:pt idx="5">
                  <c:v>0.4</c:v>
                </c:pt>
                <c:pt idx="9">
                  <c:v>2.5</c:v>
                </c:pt>
                <c:pt idx="11">
                  <c:v>3.5</c:v>
                </c:pt>
                <c:pt idx="1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34-43D3-858F-16B56930D072}"/>
            </c:ext>
          </c:extLst>
        </c:ser>
        <c:ser>
          <c:idx val="2"/>
          <c:order val="2"/>
          <c:tx>
            <c:strRef>
              <c:f>Figures!$E$88</c:f>
              <c:strCache>
                <c:ptCount val="1"/>
                <c:pt idx="0">
                  <c:v>Expert Group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Figures!$E$89:$E$102</c:f>
              <c:numCache>
                <c:formatCode>_("$"* #,##0_);_("$"* \(#,##0\);_("$"* "-"??_);_(@_)</c:formatCode>
                <c:ptCount val="14"/>
                <c:pt idx="0">
                  <c:v>0</c:v>
                </c:pt>
                <c:pt idx="1">
                  <c:v>112</c:v>
                </c:pt>
                <c:pt idx="2">
                  <c:v>298</c:v>
                </c:pt>
                <c:pt idx="3">
                  <c:v>374</c:v>
                </c:pt>
                <c:pt idx="4">
                  <c:v>340</c:v>
                </c:pt>
                <c:pt idx="5">
                  <c:v>370</c:v>
                </c:pt>
                <c:pt idx="9">
                  <c:v>187</c:v>
                </c:pt>
                <c:pt idx="13">
                  <c:v>370</c:v>
                </c:pt>
              </c:numCache>
            </c:numRef>
          </c:xVal>
          <c:yVal>
            <c:numRef>
              <c:f>Figures!$H$89:$H$102</c:f>
              <c:numCache>
                <c:formatCode>General</c:formatCode>
                <c:ptCount val="14"/>
                <c:pt idx="0">
                  <c:v>1.65</c:v>
                </c:pt>
                <c:pt idx="1">
                  <c:v>1.4</c:v>
                </c:pt>
                <c:pt idx="2">
                  <c:v>1.1499999999999999</c:v>
                </c:pt>
                <c:pt idx="3">
                  <c:v>0.9</c:v>
                </c:pt>
                <c:pt idx="4">
                  <c:v>0.65</c:v>
                </c:pt>
                <c:pt idx="5">
                  <c:v>0.4</c:v>
                </c:pt>
                <c:pt idx="9">
                  <c:v>2.5</c:v>
                </c:pt>
                <c:pt idx="11">
                  <c:v>3.5</c:v>
                </c:pt>
                <c:pt idx="1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34-43D3-858F-16B56930D072}"/>
            </c:ext>
          </c:extLst>
        </c:ser>
        <c:ser>
          <c:idx val="3"/>
          <c:order val="3"/>
          <c:tx>
            <c:strRef>
              <c:f>Figures!$F$3</c:f>
              <c:strCache>
                <c:ptCount val="1"/>
                <c:pt idx="0">
                  <c:v>100K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Figures!$F$81:$F$82</c:f>
              <c:numCache>
                <c:formatCode>General</c:formatCode>
                <c:ptCount val="2"/>
                <c:pt idx="0">
                  <c:v>100</c:v>
                </c:pt>
                <c:pt idx="1">
                  <c:v>100</c:v>
                </c:pt>
              </c:numCache>
            </c:numRef>
          </c:xVal>
          <c:yVal>
            <c:numRef>
              <c:f>Figures!$H$81:$H$82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34-43D3-858F-16B56930D072}"/>
            </c:ext>
          </c:extLst>
        </c:ser>
        <c:ser>
          <c:idx val="4"/>
          <c:order val="4"/>
          <c:tx>
            <c:strRef>
              <c:f>Figures!$G$3</c:f>
              <c:strCache>
                <c:ptCount val="1"/>
                <c:pt idx="0">
                  <c:v>150K Benchmark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Figures!$G$84:$G$85</c:f>
              <c:numCache>
                <c:formatCode>General</c:formatCode>
                <c:ptCount val="2"/>
                <c:pt idx="0">
                  <c:v>150</c:v>
                </c:pt>
                <c:pt idx="1">
                  <c:v>150</c:v>
                </c:pt>
              </c:numCache>
            </c:numRef>
          </c:xVal>
          <c:yVal>
            <c:numRef>
              <c:f>Figures!$H$84:$H$85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34-43D3-858F-16B56930D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33168"/>
        <c:axId val="529118192"/>
      </c:scatterChart>
      <c:valAx>
        <c:axId val="52913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Cost-Effectiveness ($000/QALY)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9118192"/>
        <c:crosses val="autoZero"/>
        <c:crossBetween val="midCat"/>
      </c:valAx>
      <c:valAx>
        <c:axId val="52911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331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image" Target="../media/image1.emf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277211</xdr:colOff>
      <xdr:row>1</xdr:row>
      <xdr:rowOff>358829</xdr:rowOff>
    </xdr:from>
    <xdr:to>
      <xdr:col>17</xdr:col>
      <xdr:colOff>353411</xdr:colOff>
      <xdr:row>19</xdr:row>
      <xdr:rowOff>125467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1E33C-2DEA-4835-B7C8-76BBDEAE1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0.17292</cdr:x>
      <cdr:y>0.04534</cdr:y>
    </cdr:from>
    <cdr:to>
      <cdr:x>0.20238</cdr:x>
      <cdr:y>0.18584</cdr:y>
    </cdr:to>
    <cdr:sp macro="" textlink="">
      <cdr:nvSpPr>
        <cdr:cNvPr id="8" name="Left Brace 7">
          <a:extLst xmlns:a="http://schemas.openxmlformats.org/drawingml/2006/main">
            <a:ext uri="{FF2B5EF4-FFF2-40B4-BE49-F238E27FC236}">
              <a16:creationId xmlns:a16="http://schemas.microsoft.com/office/drawing/2014/main" id="{B2B0D4B7-67BA-4F68-AFB4-BD1AEFCCEE11}"/>
            </a:ext>
          </a:extLst>
        </cdr:cNvPr>
        <cdr:cNvSpPr/>
      </cdr:nvSpPr>
      <cdr:spPr>
        <a:xfrm xmlns:a="http://schemas.openxmlformats.org/drawingml/2006/main">
          <a:off x="963908" y="162474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0.17888</cdr:x>
      <cdr:y>0.09301</cdr:y>
    </cdr:from>
    <cdr:to>
      <cdr:x>0.2814</cdr:x>
      <cdr:y>0.1517</cdr:y>
    </cdr:to>
    <cdr:sp macro="" textlink="">
      <cdr:nvSpPr>
        <cdr:cNvPr id="9" name="TextBox 14">
          <a:extLst xmlns:a="http://schemas.openxmlformats.org/drawingml/2006/main">
            <a:ext uri="{FF2B5EF4-FFF2-40B4-BE49-F238E27FC236}">
              <a16:creationId xmlns:a16="http://schemas.microsoft.com/office/drawing/2014/main" id="{0022F178-300C-4249-BA5B-7A2E1D01DC11}"/>
            </a:ext>
          </a:extLst>
        </cdr:cNvPr>
        <cdr:cNvSpPr txBox="1"/>
      </cdr:nvSpPr>
      <cdr:spPr>
        <a:xfrm xmlns:a="http://schemas.openxmlformats.org/drawingml/2006/main">
          <a:off x="997166" y="333264"/>
          <a:ext cx="571501" cy="21031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Olaparib</a:t>
          </a:r>
        </a:p>
      </cdr:txBody>
    </cdr:sp>
  </cdr:relSizeAnchor>
  <cdr:relSizeAnchor xmlns:cdr="http://schemas.openxmlformats.org/drawingml/2006/chartDrawing">
    <cdr:from>
      <cdr:x>0.17292</cdr:x>
      <cdr:y>0.19384</cdr:y>
    </cdr:from>
    <cdr:to>
      <cdr:x>0.20238</cdr:x>
      <cdr:y>0.33434</cdr:y>
    </cdr:to>
    <cdr:sp macro="" textlink="">
      <cdr:nvSpPr>
        <cdr:cNvPr id="10" name="Left Brace 9">
          <a:extLst xmlns:a="http://schemas.openxmlformats.org/drawingml/2006/main">
            <a:ext uri="{FF2B5EF4-FFF2-40B4-BE49-F238E27FC236}">
              <a16:creationId xmlns:a16="http://schemas.microsoft.com/office/drawing/2014/main" id="{A743E746-9A69-4157-BE1A-F6863100EECD}"/>
            </a:ext>
          </a:extLst>
        </cdr:cNvPr>
        <cdr:cNvSpPr/>
      </cdr:nvSpPr>
      <cdr:spPr>
        <a:xfrm xmlns:a="http://schemas.openxmlformats.org/drawingml/2006/main">
          <a:off x="963907" y="694559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0.17181</cdr:x>
      <cdr:y>0.22867</cdr:y>
    </cdr:from>
    <cdr:to>
      <cdr:x>0.2873</cdr:x>
      <cdr:y>0.28736</cdr:y>
    </cdr:to>
    <cdr:sp macro="" textlink="">
      <cdr:nvSpPr>
        <cdr:cNvPr id="11" name="TextBox 14">
          <a:extLst xmlns:a="http://schemas.openxmlformats.org/drawingml/2006/main">
            <a:ext uri="{FF2B5EF4-FFF2-40B4-BE49-F238E27FC236}">
              <a16:creationId xmlns:a16="http://schemas.microsoft.com/office/drawing/2014/main" id="{84B253A1-2822-4C68-B269-F2D868B4E968}"/>
            </a:ext>
          </a:extLst>
        </cdr:cNvPr>
        <cdr:cNvSpPr txBox="1"/>
      </cdr:nvSpPr>
      <cdr:spPr>
        <a:xfrm xmlns:a="http://schemas.openxmlformats.org/drawingml/2006/main">
          <a:off x="957754" y="819367"/>
          <a:ext cx="643759" cy="21031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Rucaparib</a:t>
          </a:r>
        </a:p>
      </cdr:txBody>
    </cdr:sp>
  </cdr:relSizeAnchor>
  <cdr:relSizeAnchor xmlns:cdr="http://schemas.openxmlformats.org/drawingml/2006/chartDrawing">
    <cdr:from>
      <cdr:x>0.13167</cdr:x>
      <cdr:y>0.04168</cdr:y>
    </cdr:from>
    <cdr:to>
      <cdr:x>0.16113</cdr:x>
      <cdr:y>0.33068</cdr:y>
    </cdr:to>
    <cdr:sp macro="" textlink="">
      <cdr:nvSpPr>
        <cdr:cNvPr id="14" name="Left Brace 13">
          <a:extLst xmlns:a="http://schemas.openxmlformats.org/drawingml/2006/main">
            <a:ext uri="{FF2B5EF4-FFF2-40B4-BE49-F238E27FC236}">
              <a16:creationId xmlns:a16="http://schemas.microsoft.com/office/drawing/2014/main" id="{5DE33D69-0960-4723-8B7A-AE451C9905BF}"/>
            </a:ext>
          </a:extLst>
        </cdr:cNvPr>
        <cdr:cNvSpPr/>
      </cdr:nvSpPr>
      <cdr:spPr>
        <a:xfrm xmlns:a="http://schemas.openxmlformats.org/drawingml/2006/main">
          <a:off x="733973" y="149335"/>
          <a:ext cx="164222" cy="1035543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0.00919</cdr:x>
      <cdr:y>0.12234</cdr:y>
    </cdr:from>
    <cdr:to>
      <cdr:x>0.12106</cdr:x>
      <cdr:y>0.24689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6BD7ABD-4300-4B9D-869D-DA417C2B6BFF}"/>
            </a:ext>
          </a:extLst>
        </cdr:cNvPr>
        <cdr:cNvSpPr txBox="1"/>
      </cdr:nvSpPr>
      <cdr:spPr>
        <a:xfrm xmlns:a="http://schemas.openxmlformats.org/drawingml/2006/main">
          <a:off x="51238" y="438369"/>
          <a:ext cx="623616" cy="4462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BRCA mutated</a:t>
          </a:r>
          <a:r>
            <a:rPr lang="en-US" sz="800" baseline="0">
              <a:latin typeface="Times New Roman" panose="02020603050405020304" pitchFamily="18" charset="0"/>
              <a:cs typeface="Times New Roman" panose="02020603050405020304" pitchFamily="18" charset="0"/>
            </a:rPr>
            <a:t> populaion</a:t>
          </a:r>
          <a:endParaRPr lang="en-US" sz="8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0.17166</cdr:x>
      <cdr:y>0.50916</cdr:y>
    </cdr:from>
    <cdr:to>
      <cdr:x>0.20112</cdr:x>
      <cdr:y>0.64966</cdr:y>
    </cdr:to>
    <cdr:sp macro="" textlink="">
      <cdr:nvSpPr>
        <cdr:cNvPr id="16" name="Left Brace 15">
          <a:extLst xmlns:a="http://schemas.openxmlformats.org/drawingml/2006/main">
            <a:ext uri="{FF2B5EF4-FFF2-40B4-BE49-F238E27FC236}">
              <a16:creationId xmlns:a16="http://schemas.microsoft.com/office/drawing/2014/main" id="{E377F8D4-901A-4E44-AEB3-0D6268871B01}"/>
            </a:ext>
          </a:extLst>
        </cdr:cNvPr>
        <cdr:cNvSpPr/>
      </cdr:nvSpPr>
      <cdr:spPr>
        <a:xfrm xmlns:a="http://schemas.openxmlformats.org/drawingml/2006/main">
          <a:off x="956902" y="1824421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0.17645</cdr:x>
      <cdr:y>0.55682</cdr:y>
    </cdr:from>
    <cdr:to>
      <cdr:x>0.27897</cdr:x>
      <cdr:y>0.61552</cdr:y>
    </cdr:to>
    <cdr:sp macro="" textlink="">
      <cdr:nvSpPr>
        <cdr:cNvPr id="17" name="TextBox 14">
          <a:extLst xmlns:a="http://schemas.openxmlformats.org/drawingml/2006/main">
            <a:ext uri="{FF2B5EF4-FFF2-40B4-BE49-F238E27FC236}">
              <a16:creationId xmlns:a16="http://schemas.microsoft.com/office/drawing/2014/main" id="{D0BBC0B9-3239-4B4B-AC74-C15B2845E9E5}"/>
            </a:ext>
          </a:extLst>
        </cdr:cNvPr>
        <cdr:cNvSpPr txBox="1"/>
      </cdr:nvSpPr>
      <cdr:spPr>
        <a:xfrm xmlns:a="http://schemas.openxmlformats.org/drawingml/2006/main">
          <a:off x="983591" y="1995211"/>
          <a:ext cx="571501" cy="21031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Olaparib</a:t>
          </a:r>
        </a:p>
      </cdr:txBody>
    </cdr:sp>
  </cdr:relSizeAnchor>
  <cdr:relSizeAnchor xmlns:cdr="http://schemas.openxmlformats.org/drawingml/2006/chartDrawing">
    <cdr:from>
      <cdr:x>0.17166</cdr:x>
      <cdr:y>0.65765</cdr:y>
    </cdr:from>
    <cdr:to>
      <cdr:x>0.20112</cdr:x>
      <cdr:y>0.79815</cdr:y>
    </cdr:to>
    <cdr:sp macro="" textlink="">
      <cdr:nvSpPr>
        <cdr:cNvPr id="18" name="Left Brace 17">
          <a:extLst xmlns:a="http://schemas.openxmlformats.org/drawingml/2006/main">
            <a:ext uri="{FF2B5EF4-FFF2-40B4-BE49-F238E27FC236}">
              <a16:creationId xmlns:a16="http://schemas.microsoft.com/office/drawing/2014/main" id="{EACC3213-DEF5-4DEC-956F-8ED910BB5C80}"/>
            </a:ext>
          </a:extLst>
        </cdr:cNvPr>
        <cdr:cNvSpPr/>
      </cdr:nvSpPr>
      <cdr:spPr>
        <a:xfrm xmlns:a="http://schemas.openxmlformats.org/drawingml/2006/main">
          <a:off x="956901" y="2356506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0.17056</cdr:x>
      <cdr:y>0.69248</cdr:y>
    </cdr:from>
    <cdr:to>
      <cdr:x>0.28604</cdr:x>
      <cdr:y>0.75118</cdr:y>
    </cdr:to>
    <cdr:sp macro="" textlink="">
      <cdr:nvSpPr>
        <cdr:cNvPr id="19" name="TextBox 14">
          <a:extLst xmlns:a="http://schemas.openxmlformats.org/drawingml/2006/main">
            <a:ext uri="{FF2B5EF4-FFF2-40B4-BE49-F238E27FC236}">
              <a16:creationId xmlns:a16="http://schemas.microsoft.com/office/drawing/2014/main" id="{67721D0E-40E3-4A29-A777-924615723E30}"/>
            </a:ext>
          </a:extLst>
        </cdr:cNvPr>
        <cdr:cNvSpPr txBox="1"/>
      </cdr:nvSpPr>
      <cdr:spPr>
        <a:xfrm xmlns:a="http://schemas.openxmlformats.org/drawingml/2006/main">
          <a:off x="950748" y="2481314"/>
          <a:ext cx="643759" cy="21031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Rucaparib</a:t>
          </a:r>
        </a:p>
      </cdr:txBody>
    </cdr:sp>
  </cdr:relSizeAnchor>
  <cdr:relSizeAnchor xmlns:cdr="http://schemas.openxmlformats.org/drawingml/2006/chartDrawing">
    <cdr:from>
      <cdr:x>0.17173</cdr:x>
      <cdr:y>0.34783</cdr:y>
    </cdr:from>
    <cdr:to>
      <cdr:x>0.20119</cdr:x>
      <cdr:y>0.48833</cdr:y>
    </cdr:to>
    <cdr:sp macro="" textlink="">
      <cdr:nvSpPr>
        <cdr:cNvPr id="20" name="Left Brace 19">
          <a:extLst xmlns:a="http://schemas.openxmlformats.org/drawingml/2006/main">
            <a:ext uri="{FF2B5EF4-FFF2-40B4-BE49-F238E27FC236}">
              <a16:creationId xmlns:a16="http://schemas.microsoft.com/office/drawing/2014/main" id="{94C750CD-F6B8-43C0-B21C-0E803468402A}"/>
            </a:ext>
          </a:extLst>
        </cdr:cNvPr>
        <cdr:cNvSpPr/>
      </cdr:nvSpPr>
      <cdr:spPr>
        <a:xfrm xmlns:a="http://schemas.openxmlformats.org/drawingml/2006/main">
          <a:off x="957317" y="1246352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0.16709</cdr:x>
      <cdr:y>0.42849</cdr:y>
    </cdr:from>
    <cdr:to>
      <cdr:x>0.28376</cdr:x>
      <cdr:y>0.48719</cdr:y>
    </cdr:to>
    <cdr:sp macro="" textlink="">
      <cdr:nvSpPr>
        <cdr:cNvPr id="21" name="TextBox 14">
          <a:extLst xmlns:a="http://schemas.openxmlformats.org/drawingml/2006/main">
            <a:ext uri="{FF2B5EF4-FFF2-40B4-BE49-F238E27FC236}">
              <a16:creationId xmlns:a16="http://schemas.microsoft.com/office/drawing/2014/main" id="{6320EA4D-9044-435B-AEF3-D747C402C0DB}"/>
            </a:ext>
          </a:extLst>
        </cdr:cNvPr>
        <cdr:cNvSpPr txBox="1"/>
      </cdr:nvSpPr>
      <cdr:spPr>
        <a:xfrm xmlns:a="http://schemas.openxmlformats.org/drawingml/2006/main">
          <a:off x="931455" y="1535383"/>
          <a:ext cx="650352" cy="21031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Nicaparib</a:t>
          </a:r>
        </a:p>
      </cdr:txBody>
    </cdr:sp>
  </cdr:relSizeAnchor>
  <cdr:relSizeAnchor xmlns:cdr="http://schemas.openxmlformats.org/drawingml/2006/chartDrawing">
    <cdr:from>
      <cdr:x>0.12578</cdr:x>
      <cdr:y>0.35451</cdr:y>
    </cdr:from>
    <cdr:to>
      <cdr:x>0.15178</cdr:x>
      <cdr:y>0.79632</cdr:y>
    </cdr:to>
    <cdr:sp macro="" textlink="">
      <cdr:nvSpPr>
        <cdr:cNvPr id="22" name="Left Brace 21">
          <a:extLst xmlns:a="http://schemas.openxmlformats.org/drawingml/2006/main">
            <a:ext uri="{FF2B5EF4-FFF2-40B4-BE49-F238E27FC236}">
              <a16:creationId xmlns:a16="http://schemas.microsoft.com/office/drawing/2014/main" id="{F869C06A-FB39-4C30-BD40-E785B51C232C}"/>
            </a:ext>
          </a:extLst>
        </cdr:cNvPr>
        <cdr:cNvSpPr/>
      </cdr:nvSpPr>
      <cdr:spPr>
        <a:xfrm xmlns:a="http://schemas.openxmlformats.org/drawingml/2006/main">
          <a:off x="701128" y="1270274"/>
          <a:ext cx="144954" cy="158312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</cdr:x>
      <cdr:y>0.51282</cdr:y>
    </cdr:from>
    <cdr:to>
      <cdr:x>0.13088</cdr:x>
      <cdr:y>0.63737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0CCDD1CA-A1D0-46FE-B249-53624427195B}"/>
            </a:ext>
          </a:extLst>
        </cdr:cNvPr>
        <cdr:cNvSpPr txBox="1"/>
      </cdr:nvSpPr>
      <cdr:spPr>
        <a:xfrm xmlns:a="http://schemas.openxmlformats.org/drawingml/2006/main">
          <a:off x="0" y="1837558"/>
          <a:ext cx="729593" cy="4462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Maintenance therapy population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</xdr:row>
      <xdr:rowOff>332552</xdr:rowOff>
    </xdr:from>
    <xdr:to>
      <xdr:col>18</xdr:col>
      <xdr:colOff>419100</xdr:colOff>
      <xdr:row>19</xdr:row>
      <xdr:rowOff>99190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291353</xdr:colOff>
      <xdr:row>20</xdr:row>
      <xdr:rowOff>123265</xdr:rowOff>
    </xdr:from>
    <xdr:to>
      <xdr:col>18</xdr:col>
      <xdr:colOff>367553</xdr:colOff>
      <xdr:row>38</xdr:row>
      <xdr:rowOff>89928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347383</xdr:colOff>
      <xdr:row>63</xdr:row>
      <xdr:rowOff>0</xdr:rowOff>
    </xdr:from>
    <xdr:to>
      <xdr:col>18</xdr:col>
      <xdr:colOff>423583</xdr:colOff>
      <xdr:row>79</xdr:row>
      <xdr:rowOff>123545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326572</xdr:colOff>
      <xdr:row>42</xdr:row>
      <xdr:rowOff>13607</xdr:rowOff>
    </xdr:from>
    <xdr:to>
      <xdr:col>18</xdr:col>
      <xdr:colOff>402772</xdr:colOff>
      <xdr:row>59</xdr:row>
      <xdr:rowOff>170770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421821</xdr:colOff>
      <xdr:row>87</xdr:row>
      <xdr:rowOff>81642</xdr:rowOff>
    </xdr:from>
    <xdr:to>
      <xdr:col>18</xdr:col>
      <xdr:colOff>498021</xdr:colOff>
      <xdr:row>105</xdr:row>
      <xdr:rowOff>55509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11</xdr:col>
      <xdr:colOff>127425</xdr:colOff>
      <xdr:row>11</xdr:row>
      <xdr:rowOff>151953</xdr:rowOff>
    </xdr:from>
    <xdr:ext cx="1027012" cy="25449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1267534" y="2636736"/>
          <a:ext cx="1027012" cy="25449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11</xdr:col>
      <xdr:colOff>88317</xdr:colOff>
      <xdr:row>6</xdr:row>
      <xdr:rowOff>175335</xdr:rowOff>
    </xdr:from>
    <xdr:ext cx="1203769" cy="41665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1228426" y="1707618"/>
          <a:ext cx="1203769" cy="41665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Overall survival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extrapolation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11</xdr:col>
      <xdr:colOff>7790</xdr:colOff>
      <xdr:row>4</xdr:row>
      <xdr:rowOff>3439</xdr:rowOff>
    </xdr:from>
    <xdr:ext cx="1325709" cy="41665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1147899" y="1154722"/>
          <a:ext cx="1325709" cy="41665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Duration of treatment (PLD+C)</a:t>
          </a:r>
        </a:p>
      </xdr:txBody>
    </xdr:sp>
    <xdr:clientData/>
  </xdr:oneCellAnchor>
  <xdr:oneCellAnchor>
    <xdr:from>
      <xdr:col>10</xdr:col>
      <xdr:colOff>604272</xdr:colOff>
      <xdr:row>2</xdr:row>
      <xdr:rowOff>41474</xdr:rowOff>
    </xdr:from>
    <xdr:ext cx="1366417" cy="41665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11127755" y="619543"/>
          <a:ext cx="1366417" cy="41665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Neutrapenia - adverse event cost</a:t>
          </a:r>
        </a:p>
      </xdr:txBody>
    </xdr:sp>
    <xdr:clientData/>
  </xdr:oneCellAnchor>
  <xdr:oneCellAnchor>
    <xdr:from>
      <xdr:col>17</xdr:col>
      <xdr:colOff>315346</xdr:colOff>
      <xdr:row>70</xdr:row>
      <xdr:rowOff>19595</xdr:rowOff>
    </xdr:from>
    <xdr:ext cx="412229" cy="22499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5090712" y="14544058"/>
          <a:ext cx="412229" cy="2249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1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17</xdr:col>
      <xdr:colOff>313405</xdr:colOff>
      <xdr:row>70</xdr:row>
      <xdr:rowOff>142704</xdr:rowOff>
    </xdr:from>
    <xdr:ext cx="412229" cy="22499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5088771" y="14667167"/>
          <a:ext cx="412229" cy="2249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2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17</xdr:col>
      <xdr:colOff>308436</xdr:colOff>
      <xdr:row>71</xdr:row>
      <xdr:rowOff>69452</xdr:rowOff>
    </xdr:from>
    <xdr:ext cx="412229" cy="22499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15083802" y="14784415"/>
          <a:ext cx="412229" cy="2249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3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17</xdr:col>
      <xdr:colOff>306093</xdr:colOff>
      <xdr:row>72</xdr:row>
      <xdr:rowOff>1857</xdr:rowOff>
    </xdr:from>
    <xdr:ext cx="412229" cy="224998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15081459" y="14907320"/>
          <a:ext cx="412229" cy="2249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4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17</xdr:col>
      <xdr:colOff>308395</xdr:colOff>
      <xdr:row>72</xdr:row>
      <xdr:rowOff>128399</xdr:rowOff>
    </xdr:from>
    <xdr:ext cx="412229" cy="224998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5083761" y="15033862"/>
          <a:ext cx="412229" cy="2249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5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twoCellAnchor>
    <xdr:from>
      <xdr:col>17</xdr:col>
      <xdr:colOff>429651</xdr:colOff>
      <xdr:row>98</xdr:row>
      <xdr:rowOff>82728</xdr:rowOff>
    </xdr:from>
    <xdr:to>
      <xdr:col>18</xdr:col>
      <xdr:colOff>230883</xdr:colOff>
      <xdr:row>99</xdr:row>
      <xdr:rowOff>116960</xdr:rowOff>
    </xdr:to>
    <xdr:sp macro="" textlink="">
      <xdr:nvSpPr>
        <xdr:cNvPr id="22" name="TextBox 1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5229530" y="20347987"/>
          <a:ext cx="412146" cy="2247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4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390854</xdr:colOff>
      <xdr:row>99</xdr:row>
      <xdr:rowOff>23197</xdr:rowOff>
    </xdr:from>
    <xdr:to>
      <xdr:col>18</xdr:col>
      <xdr:colOff>192086</xdr:colOff>
      <xdr:row>100</xdr:row>
      <xdr:rowOff>57429</xdr:rowOff>
    </xdr:to>
    <xdr:sp macro="" textlink="">
      <xdr:nvSpPr>
        <xdr:cNvPr id="23" name="TextBox 1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5190733" y="20478956"/>
          <a:ext cx="412146" cy="2247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5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390854</xdr:colOff>
      <xdr:row>99</xdr:row>
      <xdr:rowOff>160734</xdr:rowOff>
    </xdr:from>
    <xdr:to>
      <xdr:col>18</xdr:col>
      <xdr:colOff>192086</xdr:colOff>
      <xdr:row>101</xdr:row>
      <xdr:rowOff>4466</xdr:rowOff>
    </xdr:to>
    <xdr:sp macro="" textlink="">
      <xdr:nvSpPr>
        <xdr:cNvPr id="24" name="TextBox 1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15190733" y="20616493"/>
          <a:ext cx="412146" cy="2247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6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16</xdr:col>
      <xdr:colOff>262758</xdr:colOff>
      <xdr:row>45</xdr:row>
      <xdr:rowOff>26276</xdr:rowOff>
    </xdr:from>
    <xdr:ext cx="312906" cy="38722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E916F8D-673A-438F-A623-48A63EBFE5E7}"/>
            </a:ext>
          </a:extLst>
        </xdr:cNvPr>
        <xdr:cNvSpPr txBox="1"/>
      </xdr:nvSpPr>
      <xdr:spPr>
        <a:xfrm>
          <a:off x="14451724" y="9367345"/>
          <a:ext cx="312906" cy="3872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Times New Roman" panose="02020603050405020304" pitchFamily="18" charset="0"/>
              <a:cs typeface="Times New Roman" panose="02020603050405020304" pitchFamily="18" charset="0"/>
            </a:rPr>
            <a:t>?</a:t>
          </a:r>
        </a:p>
      </xdr:txBody>
    </xdr:sp>
    <xdr:clientData/>
  </xdr:oneCellAnchor>
  <xdr:twoCellAnchor>
    <xdr:from>
      <xdr:col>13</xdr:col>
      <xdr:colOff>170793</xdr:colOff>
      <xdr:row>9</xdr:row>
      <xdr:rowOff>164224</xdr:rowOff>
    </xdr:from>
    <xdr:to>
      <xdr:col>13</xdr:col>
      <xdr:colOff>335017</xdr:colOff>
      <xdr:row>14</xdr:row>
      <xdr:rowOff>124810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C7041FCD-4F07-45F8-A1EB-96E8746284D1}"/>
            </a:ext>
          </a:extLst>
        </xdr:cNvPr>
        <xdr:cNvSpPr/>
      </xdr:nvSpPr>
      <xdr:spPr>
        <a:xfrm>
          <a:off x="12527017" y="2266293"/>
          <a:ext cx="164224" cy="913086"/>
        </a:xfrm>
        <a:prstGeom prst="leftBrac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9525</xdr:colOff>
      <xdr:row>10</xdr:row>
      <xdr:rowOff>9525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DE0FBE-DAA4-4F41-8F51-7DCADF71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2105025"/>
          <a:ext cx="6191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0.7138</cdr:x>
      <cdr:y>0.56232</cdr:y>
    </cdr:from>
    <cdr:to>
      <cdr:x>0.78707</cdr:x>
      <cdr:y>0.62504</cdr:y>
    </cdr:to>
    <cdr:sp macro="" textlink="">
      <cdr:nvSpPr>
        <cdr:cNvPr id="2" name="TextBox 11">
          <a:extLst xmlns:a="http://schemas.openxmlformats.org/drawingml/2006/main">
            <a:ext uri="{FF2B5EF4-FFF2-40B4-BE49-F238E27FC236}">
              <a16:creationId xmlns:a16="http://schemas.microsoft.com/office/drawing/2014/main" id="{075A311E-BF3A-4DA0-AB86-C5BF142139B6}"/>
            </a:ext>
          </a:extLst>
        </cdr:cNvPr>
        <cdr:cNvSpPr txBox="1"/>
      </cdr:nvSpPr>
      <cdr:spPr>
        <a:xfrm xmlns:a="http://schemas.openxmlformats.org/drawingml/2006/main">
          <a:off x="3979042" y="2014920"/>
          <a:ext cx="408439" cy="2247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1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0.71498</cdr:x>
      <cdr:y>0.59532</cdr:y>
    </cdr:from>
    <cdr:to>
      <cdr:x>0.78893</cdr:x>
      <cdr:y>0.65811</cdr:y>
    </cdr:to>
    <cdr:sp macro="" textlink="">
      <cdr:nvSpPr>
        <cdr:cNvPr id="3" name="TextBox 11">
          <a:extLst xmlns:a="http://schemas.openxmlformats.org/drawingml/2006/main">
            <a:ext uri="{FF2B5EF4-FFF2-40B4-BE49-F238E27FC236}">
              <a16:creationId xmlns:a16="http://schemas.microsoft.com/office/drawing/2014/main" id="{B5243E3D-A8B3-493E-96B4-39AD78B4EF1F}"/>
            </a:ext>
          </a:extLst>
        </cdr:cNvPr>
        <cdr:cNvSpPr txBox="1"/>
      </cdr:nvSpPr>
      <cdr:spPr>
        <a:xfrm xmlns:a="http://schemas.openxmlformats.org/drawingml/2006/main">
          <a:off x="3985610" y="2133162"/>
          <a:ext cx="412229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2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0.71498</cdr:x>
      <cdr:y>0.63382</cdr:y>
    </cdr:from>
    <cdr:to>
      <cdr:x>0.78893</cdr:x>
      <cdr:y>0.69661</cdr:y>
    </cdr:to>
    <cdr:sp macro="" textlink="">
      <cdr:nvSpPr>
        <cdr:cNvPr id="4" name="TextBox 11">
          <a:extLst xmlns:a="http://schemas.openxmlformats.org/drawingml/2006/main">
            <a:ext uri="{FF2B5EF4-FFF2-40B4-BE49-F238E27FC236}">
              <a16:creationId xmlns:a16="http://schemas.microsoft.com/office/drawing/2014/main" id="{075A311E-BF3A-4DA0-AB86-C5BF142139B6}"/>
            </a:ext>
          </a:extLst>
        </cdr:cNvPr>
        <cdr:cNvSpPr txBox="1"/>
      </cdr:nvSpPr>
      <cdr:spPr>
        <a:xfrm xmlns:a="http://schemas.openxmlformats.org/drawingml/2006/main">
          <a:off x="3985611" y="2271110"/>
          <a:ext cx="412229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3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0.71498</cdr:x>
      <cdr:y>0.67415</cdr:y>
    </cdr:from>
    <cdr:to>
      <cdr:x>0.78893</cdr:x>
      <cdr:y>0.73694</cdr:y>
    </cdr:to>
    <cdr:sp macro="" textlink="">
      <cdr:nvSpPr>
        <cdr:cNvPr id="5" name="TextBox 11">
          <a:extLst xmlns:a="http://schemas.openxmlformats.org/drawingml/2006/main">
            <a:ext uri="{FF2B5EF4-FFF2-40B4-BE49-F238E27FC236}">
              <a16:creationId xmlns:a16="http://schemas.microsoft.com/office/drawing/2014/main" id="{B5243E3D-A8B3-493E-96B4-39AD78B4EF1F}"/>
            </a:ext>
          </a:extLst>
        </cdr:cNvPr>
        <cdr:cNvSpPr txBox="1"/>
      </cdr:nvSpPr>
      <cdr:spPr>
        <a:xfrm xmlns:a="http://schemas.openxmlformats.org/drawingml/2006/main">
          <a:off x="3985610" y="2415627"/>
          <a:ext cx="412229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4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0.40742</cdr:x>
      <cdr:y>0.34783</cdr:y>
    </cdr:from>
    <cdr:to>
      <cdr:x>0.43688</cdr:x>
      <cdr:y>0.48834</cdr:y>
    </cdr:to>
    <cdr:sp macro="" textlink="">
      <cdr:nvSpPr>
        <cdr:cNvPr id="6" name="Left Brace 5">
          <a:extLst xmlns:a="http://schemas.openxmlformats.org/drawingml/2006/main">
            <a:ext uri="{FF2B5EF4-FFF2-40B4-BE49-F238E27FC236}">
              <a16:creationId xmlns:a16="http://schemas.microsoft.com/office/drawing/2014/main" id="{C7041FCD-4F07-45F8-A1EB-96E8746284D1}"/>
            </a:ext>
          </a:extLst>
        </cdr:cNvPr>
        <cdr:cNvSpPr/>
      </cdr:nvSpPr>
      <cdr:spPr>
        <a:xfrm xmlns:a="http://schemas.openxmlformats.org/drawingml/2006/main">
          <a:off x="2271110" y="1246352"/>
          <a:ext cx="164224" cy="503458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0.40742</cdr:x>
      <cdr:y>0.19567</cdr:y>
    </cdr:from>
    <cdr:to>
      <cdr:x>0.43688</cdr:x>
      <cdr:y>0.33618</cdr:y>
    </cdr:to>
    <cdr:sp macro="" textlink="">
      <cdr:nvSpPr>
        <cdr:cNvPr id="7" name="Left Brace 6">
          <a:extLst xmlns:a="http://schemas.openxmlformats.org/drawingml/2006/main">
            <a:ext uri="{FF2B5EF4-FFF2-40B4-BE49-F238E27FC236}">
              <a16:creationId xmlns:a16="http://schemas.microsoft.com/office/drawing/2014/main" id="{B2B0D4B7-67BA-4F68-AFB4-BD1AEFCCEE11}"/>
            </a:ext>
          </a:extLst>
        </cdr:cNvPr>
        <cdr:cNvSpPr/>
      </cdr:nvSpPr>
      <cdr:spPr>
        <a:xfrm xmlns:a="http://schemas.openxmlformats.org/drawingml/2006/main">
          <a:off x="2271110" y="701128"/>
          <a:ext cx="164224" cy="503458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0.40742</cdr:x>
      <cdr:y>0.04351</cdr:y>
    </cdr:from>
    <cdr:to>
      <cdr:x>0.43688</cdr:x>
      <cdr:y>0.18401</cdr:y>
    </cdr:to>
    <cdr:sp macro="" textlink="">
      <cdr:nvSpPr>
        <cdr:cNvPr id="8" name="Left Brace 7">
          <a:extLst xmlns:a="http://schemas.openxmlformats.org/drawingml/2006/main">
            <a:ext uri="{FF2B5EF4-FFF2-40B4-BE49-F238E27FC236}">
              <a16:creationId xmlns:a16="http://schemas.microsoft.com/office/drawing/2014/main" id="{B2B0D4B7-67BA-4F68-AFB4-BD1AEFCCEE11}"/>
            </a:ext>
          </a:extLst>
        </cdr:cNvPr>
        <cdr:cNvSpPr/>
      </cdr:nvSpPr>
      <cdr:spPr>
        <a:xfrm xmlns:a="http://schemas.openxmlformats.org/drawingml/2006/main">
          <a:off x="2271111" y="155903"/>
          <a:ext cx="164224" cy="503458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0.03414</cdr:x>
      <cdr:y>0.61677</cdr:y>
    </cdr:from>
    <cdr:to>
      <cdr:x>0.21921</cdr:x>
      <cdr:y>0.68774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91A94028-43F4-4115-92F0-70843E8DEB59}"/>
            </a:ext>
          </a:extLst>
        </cdr:cNvPr>
        <cdr:cNvSpPr txBox="1"/>
      </cdr:nvSpPr>
      <cdr:spPr>
        <a:xfrm xmlns:a="http://schemas.openxmlformats.org/drawingml/2006/main">
          <a:off x="190290" y="2211838"/>
          <a:ext cx="1031659" cy="25451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0.0108</cdr:x>
      <cdr:y>0.36</cdr:y>
    </cdr:from>
    <cdr:to>
      <cdr:x>0.21865</cdr:x>
      <cdr:y>0.47618</cdr:y>
    </cdr:to>
    <cdr:sp macro="" textlink="">
      <cdr:nvSpPr>
        <cdr:cNvPr id="3" name="TextBox 15">
          <a:extLst xmlns:a="http://schemas.openxmlformats.org/drawingml/2006/main">
            <a:ext uri="{FF2B5EF4-FFF2-40B4-BE49-F238E27FC236}">
              <a16:creationId xmlns:a16="http://schemas.microsoft.com/office/drawing/2014/main" id="{BCBC11F6-EAE5-42E3-AC21-EB3AC2FB27E6}"/>
            </a:ext>
          </a:extLst>
        </cdr:cNvPr>
        <cdr:cNvSpPr txBox="1"/>
      </cdr:nvSpPr>
      <cdr:spPr>
        <a:xfrm xmlns:a="http://schemas.openxmlformats.org/drawingml/2006/main">
          <a:off x="60183" y="1291019"/>
          <a:ext cx="1158644" cy="4166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Overall survival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extrapolation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0.00686</cdr:x>
      <cdr:y>0.20583</cdr:y>
    </cdr:from>
    <cdr:to>
      <cdr:x>0.23642</cdr:x>
      <cdr:y>0.32201</cdr:y>
    </cdr:to>
    <cdr:sp macro="" textlink="">
      <cdr:nvSpPr>
        <cdr:cNvPr id="4" name="TextBox 16">
          <a:extLst xmlns:a="http://schemas.openxmlformats.org/drawingml/2006/main">
            <a:ext uri="{FF2B5EF4-FFF2-40B4-BE49-F238E27FC236}">
              <a16:creationId xmlns:a16="http://schemas.microsoft.com/office/drawing/2014/main" id="{0996C597-6E00-497B-8263-87D14557EAA7}"/>
            </a:ext>
          </a:extLst>
        </cdr:cNvPr>
        <cdr:cNvSpPr txBox="1"/>
      </cdr:nvSpPr>
      <cdr:spPr>
        <a:xfrm xmlns:a="http://schemas.openxmlformats.org/drawingml/2006/main" flipH="1">
          <a:off x="38220" y="738140"/>
          <a:ext cx="1279665" cy="4166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Duration of treatment (PLD+C)</a:t>
          </a:r>
        </a:p>
      </cdr:txBody>
    </cdr:sp>
  </cdr:relSizeAnchor>
  <cdr:relSizeAnchor xmlns:cdr="http://schemas.openxmlformats.org/drawingml/2006/chartDrawing">
    <cdr:from>
      <cdr:x>0.00834</cdr:x>
      <cdr:y>0.05543</cdr:y>
    </cdr:from>
    <cdr:to>
      <cdr:x>0.23642</cdr:x>
      <cdr:y>0.17161</cdr:y>
    </cdr:to>
    <cdr:sp macro="" textlink="">
      <cdr:nvSpPr>
        <cdr:cNvPr id="5" name="TextBox 17">
          <a:extLst xmlns:a="http://schemas.openxmlformats.org/drawingml/2006/main">
            <a:ext uri="{FF2B5EF4-FFF2-40B4-BE49-F238E27FC236}">
              <a16:creationId xmlns:a16="http://schemas.microsoft.com/office/drawing/2014/main" id="{466862E4-3BA9-46CB-A872-7A6CD5139734}"/>
            </a:ext>
          </a:extLst>
        </cdr:cNvPr>
        <cdr:cNvSpPr txBox="1"/>
      </cdr:nvSpPr>
      <cdr:spPr>
        <a:xfrm xmlns:a="http://schemas.openxmlformats.org/drawingml/2006/main" flipH="1">
          <a:off x="46470" y="198781"/>
          <a:ext cx="1271415" cy="4166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Neutrapenia - adverse event cost</a:t>
          </a:r>
        </a:p>
      </cdr:txBody>
    </cdr:sp>
  </cdr:relSizeAnchor>
  <cdr:relSizeAnchor xmlns:cdr="http://schemas.openxmlformats.org/drawingml/2006/chartDrawing">
    <cdr:from>
      <cdr:x>0.80101</cdr:x>
      <cdr:y>0.55636</cdr:y>
    </cdr:from>
    <cdr:to>
      <cdr:x>0.87428</cdr:x>
      <cdr:y>0.61903</cdr:y>
    </cdr:to>
    <cdr:sp macro="" textlink="">
      <cdr:nvSpPr>
        <cdr:cNvPr id="6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65145" y="1995214"/>
          <a:ext cx="408439" cy="2247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1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0.80218</cdr:x>
      <cdr:y>0.60033</cdr:y>
    </cdr:from>
    <cdr:to>
      <cdr:x>0.87613</cdr:x>
      <cdr:y>0.66307</cdr:y>
    </cdr:to>
    <cdr:sp macro="" textlink="">
      <cdr:nvSpPr>
        <cdr:cNvPr id="7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71713" y="2152869"/>
          <a:ext cx="412229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2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0.80101</cdr:x>
      <cdr:y>0.64246</cdr:y>
    </cdr:from>
    <cdr:to>
      <cdr:x>0.87496</cdr:x>
      <cdr:y>0.7052</cdr:y>
    </cdr:to>
    <cdr:sp macro="" textlink="">
      <cdr:nvSpPr>
        <cdr:cNvPr id="8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65145" y="2303955"/>
          <a:ext cx="412229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3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0.80101</cdr:x>
      <cdr:y>0.68092</cdr:y>
    </cdr:from>
    <cdr:to>
      <cdr:x>0.87496</cdr:x>
      <cdr:y>0.74366</cdr:y>
    </cdr:to>
    <cdr:sp macro="" textlink="">
      <cdr:nvSpPr>
        <cdr:cNvPr id="9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65145" y="2441903"/>
          <a:ext cx="412229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4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0.23655</cdr:x>
      <cdr:y>0.04714</cdr:y>
    </cdr:from>
    <cdr:to>
      <cdr:x>0.26601</cdr:x>
      <cdr:y>0.18752</cdr:y>
    </cdr:to>
    <cdr:sp macro="" textlink="">
      <cdr:nvSpPr>
        <cdr:cNvPr id="10" name="Left Brace 9">
          <a:extLst xmlns:a="http://schemas.openxmlformats.org/drawingml/2006/main">
            <a:ext uri="{FF2B5EF4-FFF2-40B4-BE49-F238E27FC236}">
              <a16:creationId xmlns:a16="http://schemas.microsoft.com/office/drawing/2014/main" id="{46135962-EF63-4497-9710-9C0A88C7BCD2}"/>
            </a:ext>
          </a:extLst>
        </cdr:cNvPr>
        <cdr:cNvSpPr/>
      </cdr:nvSpPr>
      <cdr:spPr>
        <a:xfrm xmlns:a="http://schemas.openxmlformats.org/drawingml/2006/main">
          <a:off x="1318611" y="169042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0.23773</cdr:x>
      <cdr:y>0.19551</cdr:y>
    </cdr:from>
    <cdr:to>
      <cdr:x>0.26718</cdr:x>
      <cdr:y>0.33589</cdr:y>
    </cdr:to>
    <cdr:sp macro="" textlink="">
      <cdr:nvSpPr>
        <cdr:cNvPr id="11" name="Left Brace 10">
          <a:extLst xmlns:a="http://schemas.openxmlformats.org/drawingml/2006/main">
            <a:ext uri="{FF2B5EF4-FFF2-40B4-BE49-F238E27FC236}">
              <a16:creationId xmlns:a16="http://schemas.microsoft.com/office/drawing/2014/main" id="{46135962-EF63-4497-9710-9C0A88C7BCD2}"/>
            </a:ext>
          </a:extLst>
        </cdr:cNvPr>
        <cdr:cNvSpPr/>
      </cdr:nvSpPr>
      <cdr:spPr>
        <a:xfrm xmlns:a="http://schemas.openxmlformats.org/drawingml/2006/main">
          <a:off x="1325180" y="701128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0.23655</cdr:x>
      <cdr:y>0.35121</cdr:y>
    </cdr:from>
    <cdr:to>
      <cdr:x>0.26601</cdr:x>
      <cdr:y>0.49159</cdr:y>
    </cdr:to>
    <cdr:sp macro="" textlink="">
      <cdr:nvSpPr>
        <cdr:cNvPr id="12" name="Left Brace 11">
          <a:extLst xmlns:a="http://schemas.openxmlformats.org/drawingml/2006/main">
            <a:ext uri="{FF2B5EF4-FFF2-40B4-BE49-F238E27FC236}">
              <a16:creationId xmlns:a16="http://schemas.microsoft.com/office/drawing/2014/main" id="{46135962-EF63-4497-9710-9C0A88C7BCD2}"/>
            </a:ext>
          </a:extLst>
        </cdr:cNvPr>
        <cdr:cNvSpPr/>
      </cdr:nvSpPr>
      <cdr:spPr>
        <a:xfrm xmlns:a="http://schemas.openxmlformats.org/drawingml/2006/main">
          <a:off x="1318611" y="1259490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0.2389</cdr:x>
      <cdr:y>0.52522</cdr:y>
    </cdr:from>
    <cdr:to>
      <cdr:x>0.26836</cdr:x>
      <cdr:y>0.77984</cdr:y>
    </cdr:to>
    <cdr:sp macro="" textlink="">
      <cdr:nvSpPr>
        <cdr:cNvPr id="13" name="Left Brace 12">
          <a:extLst xmlns:a="http://schemas.openxmlformats.org/drawingml/2006/main">
            <a:ext uri="{FF2B5EF4-FFF2-40B4-BE49-F238E27FC236}">
              <a16:creationId xmlns:a16="http://schemas.microsoft.com/office/drawing/2014/main" id="{C7041FCD-4F07-45F8-A1EB-96E8746284D1}"/>
            </a:ext>
          </a:extLst>
        </cdr:cNvPr>
        <cdr:cNvSpPr/>
      </cdr:nvSpPr>
      <cdr:spPr>
        <a:xfrm xmlns:a="http://schemas.openxmlformats.org/drawingml/2006/main">
          <a:off x="1331749" y="1883542"/>
          <a:ext cx="164224" cy="913086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0.58672</cdr:y>
    </cdr:from>
    <cdr:to>
      <cdr:x>0.12664</cdr:x>
      <cdr:y>0.70272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91A94028-43F4-4115-92F0-70843E8DEB59}"/>
            </a:ext>
          </a:extLst>
        </cdr:cNvPr>
        <cdr:cNvSpPr txBox="1"/>
      </cdr:nvSpPr>
      <cdr:spPr>
        <a:xfrm xmlns:a="http://schemas.openxmlformats.org/drawingml/2006/main">
          <a:off x="0" y="2107481"/>
          <a:ext cx="705921" cy="41665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0.01317</cdr:x>
      <cdr:y>0.35461</cdr:y>
    </cdr:from>
    <cdr:to>
      <cdr:x>0.22649</cdr:x>
      <cdr:y>0.47054</cdr:y>
    </cdr:to>
    <cdr:sp macro="" textlink="">
      <cdr:nvSpPr>
        <cdr:cNvPr id="3" name="TextBox 15">
          <a:extLst xmlns:a="http://schemas.openxmlformats.org/drawingml/2006/main">
            <a:ext uri="{FF2B5EF4-FFF2-40B4-BE49-F238E27FC236}">
              <a16:creationId xmlns:a16="http://schemas.microsoft.com/office/drawing/2014/main" id="{BCBC11F6-EAE5-42E3-AC21-EB3AC2FB27E6}"/>
            </a:ext>
          </a:extLst>
        </cdr:cNvPr>
        <cdr:cNvSpPr txBox="1"/>
      </cdr:nvSpPr>
      <cdr:spPr>
        <a:xfrm xmlns:a="http://schemas.openxmlformats.org/drawingml/2006/main">
          <a:off x="73415" y="1273757"/>
          <a:ext cx="1189136" cy="41641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Overall survival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extrapolation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</cdr:x>
      <cdr:y>0.04552</cdr:y>
    </cdr:from>
    <cdr:to>
      <cdr:x>0.23996</cdr:x>
      <cdr:y>0.16145</cdr:y>
    </cdr:to>
    <cdr:sp macro="" textlink="">
      <cdr:nvSpPr>
        <cdr:cNvPr id="4" name="TextBox 17">
          <a:extLst xmlns:a="http://schemas.openxmlformats.org/drawingml/2006/main">
            <a:ext uri="{FF2B5EF4-FFF2-40B4-BE49-F238E27FC236}">
              <a16:creationId xmlns:a16="http://schemas.microsoft.com/office/drawing/2014/main" id="{39266799-0AD2-4C02-AC2E-E725486542EA}"/>
            </a:ext>
          </a:extLst>
        </cdr:cNvPr>
        <cdr:cNvSpPr txBox="1"/>
      </cdr:nvSpPr>
      <cdr:spPr>
        <a:xfrm xmlns:a="http://schemas.openxmlformats.org/drawingml/2006/main">
          <a:off x="0" y="163519"/>
          <a:ext cx="1337639" cy="41641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Neutrapenia - adverse event cost</a:t>
          </a:r>
        </a:p>
      </cdr:txBody>
    </cdr:sp>
  </cdr:relSizeAnchor>
  <cdr:relSizeAnchor xmlns:cdr="http://schemas.openxmlformats.org/drawingml/2006/chartDrawing">
    <cdr:from>
      <cdr:x>0.0053</cdr:x>
      <cdr:y>0.19726</cdr:y>
    </cdr:from>
    <cdr:to>
      <cdr:x>0.23486</cdr:x>
      <cdr:y>0.31319</cdr:y>
    </cdr:to>
    <cdr:sp macro="" textlink="">
      <cdr:nvSpPr>
        <cdr:cNvPr id="5" name="TextBox 16">
          <a:extLst xmlns:a="http://schemas.openxmlformats.org/drawingml/2006/main">
            <a:ext uri="{FF2B5EF4-FFF2-40B4-BE49-F238E27FC236}">
              <a16:creationId xmlns:a16="http://schemas.microsoft.com/office/drawing/2014/main" id="{239C62F9-ED19-4A8B-95BF-D8922D611A0B}"/>
            </a:ext>
          </a:extLst>
        </cdr:cNvPr>
        <cdr:cNvSpPr txBox="1"/>
      </cdr:nvSpPr>
      <cdr:spPr>
        <a:xfrm xmlns:a="http://schemas.openxmlformats.org/drawingml/2006/main" flipH="1">
          <a:off x="29544" y="708563"/>
          <a:ext cx="1279665" cy="41641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Duration of treatment (PLD+C)</a:t>
          </a:r>
        </a:p>
      </cdr:txBody>
    </cdr:sp>
  </cdr:relSizeAnchor>
  <cdr:relSizeAnchor xmlns:cdr="http://schemas.openxmlformats.org/drawingml/2006/chartDrawing">
    <cdr:from>
      <cdr:x>0.87105</cdr:x>
      <cdr:y>0.66513</cdr:y>
    </cdr:from>
    <cdr:to>
      <cdr:x>0.94476</cdr:x>
      <cdr:y>0.72774</cdr:y>
    </cdr:to>
    <cdr:sp macro="" textlink="">
      <cdr:nvSpPr>
        <cdr:cNvPr id="6" name="TextBox 11">
          <a:extLst xmlns:a="http://schemas.openxmlformats.org/drawingml/2006/main">
            <a:ext uri="{FF2B5EF4-FFF2-40B4-BE49-F238E27FC236}">
              <a16:creationId xmlns:a16="http://schemas.microsoft.com/office/drawing/2014/main" id="{B9961386-2593-4368-A9F6-09C3197C3DC4}"/>
            </a:ext>
          </a:extLst>
        </cdr:cNvPr>
        <cdr:cNvSpPr txBox="1"/>
      </cdr:nvSpPr>
      <cdr:spPr>
        <a:xfrm xmlns:a="http://schemas.openxmlformats.org/drawingml/2006/main">
          <a:off x="4838022" y="2387643"/>
          <a:ext cx="409415" cy="22473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6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0.87078</cdr:x>
      <cdr:y>0.69886</cdr:y>
    </cdr:from>
    <cdr:to>
      <cdr:x>0.94449</cdr:x>
      <cdr:y>0.76147</cdr:y>
    </cdr:to>
    <cdr:sp macro="" textlink="">
      <cdr:nvSpPr>
        <cdr:cNvPr id="8" name="TextBox 11">
          <a:extLst xmlns:a="http://schemas.openxmlformats.org/drawingml/2006/main">
            <a:ext uri="{FF2B5EF4-FFF2-40B4-BE49-F238E27FC236}">
              <a16:creationId xmlns:a16="http://schemas.microsoft.com/office/drawing/2014/main" id="{69653EF4-94E9-4FB9-88F7-44DB25C58EA9}"/>
            </a:ext>
          </a:extLst>
        </cdr:cNvPr>
        <cdr:cNvSpPr txBox="1"/>
      </cdr:nvSpPr>
      <cdr:spPr>
        <a:xfrm xmlns:a="http://schemas.openxmlformats.org/drawingml/2006/main">
          <a:off x="4836531" y="2508714"/>
          <a:ext cx="409415" cy="22473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7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0.87024</cdr:x>
      <cdr:y>0.73381</cdr:y>
    </cdr:from>
    <cdr:to>
      <cdr:x>0.94395</cdr:x>
      <cdr:y>0.79641</cdr:y>
    </cdr:to>
    <cdr:sp macro="" textlink="">
      <cdr:nvSpPr>
        <cdr:cNvPr id="9" name="TextBox 11">
          <a:extLst xmlns:a="http://schemas.openxmlformats.org/drawingml/2006/main">
            <a:ext uri="{FF2B5EF4-FFF2-40B4-BE49-F238E27FC236}">
              <a16:creationId xmlns:a16="http://schemas.microsoft.com/office/drawing/2014/main" id="{69653EF4-94E9-4FB9-88F7-44DB25C58EA9}"/>
            </a:ext>
          </a:extLst>
        </cdr:cNvPr>
        <cdr:cNvSpPr txBox="1"/>
      </cdr:nvSpPr>
      <cdr:spPr>
        <a:xfrm xmlns:a="http://schemas.openxmlformats.org/drawingml/2006/main">
          <a:off x="4833517" y="2634166"/>
          <a:ext cx="409415" cy="22473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8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0.83047</cdr:x>
      <cdr:y>0.05803</cdr:y>
    </cdr:from>
    <cdr:to>
      <cdr:x>0.8866</cdr:x>
      <cdr:y>0.16584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9E916F8D-673A-438F-A623-48A63EBFE5E7}"/>
            </a:ext>
          </a:extLst>
        </cdr:cNvPr>
        <cdr:cNvSpPr txBox="1"/>
      </cdr:nvSpPr>
      <cdr:spPr>
        <a:xfrm xmlns:a="http://schemas.openxmlformats.org/drawingml/2006/main">
          <a:off x="4629369" y="208455"/>
          <a:ext cx="312906" cy="38722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>
              <a:latin typeface="Times New Roman" panose="02020603050405020304" pitchFamily="18" charset="0"/>
              <a:cs typeface="Times New Roman" panose="02020603050405020304" pitchFamily="18" charset="0"/>
            </a:rPr>
            <a:t>?</a:t>
          </a:r>
        </a:p>
      </cdr:txBody>
    </cdr:sp>
  </cdr:relSizeAnchor>
  <cdr:relSizeAnchor xmlns:cdr="http://schemas.openxmlformats.org/drawingml/2006/chartDrawing">
    <cdr:from>
      <cdr:x>0.83282</cdr:x>
      <cdr:y>0.20617</cdr:y>
    </cdr:from>
    <cdr:to>
      <cdr:x>0.88896</cdr:x>
      <cdr:y>0.31397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9E916F8D-673A-438F-A623-48A63EBFE5E7}"/>
            </a:ext>
          </a:extLst>
        </cdr:cNvPr>
        <cdr:cNvSpPr txBox="1"/>
      </cdr:nvSpPr>
      <cdr:spPr>
        <a:xfrm xmlns:a="http://schemas.openxmlformats.org/drawingml/2006/main">
          <a:off x="4642507" y="740541"/>
          <a:ext cx="312906" cy="38722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>
              <a:latin typeface="Times New Roman" panose="02020603050405020304" pitchFamily="18" charset="0"/>
              <a:cs typeface="Times New Roman" panose="02020603050405020304" pitchFamily="18" charset="0"/>
            </a:rPr>
            <a:t>?</a:t>
          </a:r>
        </a:p>
      </cdr:txBody>
    </cdr:sp>
  </cdr:relSizeAnchor>
  <cdr:relSizeAnchor xmlns:cdr="http://schemas.openxmlformats.org/drawingml/2006/chartDrawing">
    <cdr:from>
      <cdr:x>0.24362</cdr:x>
      <cdr:y>0.04157</cdr:y>
    </cdr:from>
    <cdr:to>
      <cdr:x>0.27308</cdr:x>
      <cdr:y>0.18173</cdr:y>
    </cdr:to>
    <cdr:sp macro="" textlink="">
      <cdr:nvSpPr>
        <cdr:cNvPr id="12" name="Left Brace 11">
          <a:extLst xmlns:a="http://schemas.openxmlformats.org/drawingml/2006/main">
            <a:ext uri="{FF2B5EF4-FFF2-40B4-BE49-F238E27FC236}">
              <a16:creationId xmlns:a16="http://schemas.microsoft.com/office/drawing/2014/main" id="{6213CC62-E31F-48E8-A81A-DFA319F843D6}"/>
            </a:ext>
          </a:extLst>
        </cdr:cNvPr>
        <cdr:cNvSpPr/>
      </cdr:nvSpPr>
      <cdr:spPr>
        <a:xfrm xmlns:a="http://schemas.openxmlformats.org/drawingml/2006/main">
          <a:off x="1358024" y="149334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0.2448</cdr:x>
      <cdr:y>0.19154</cdr:y>
    </cdr:from>
    <cdr:to>
      <cdr:x>0.27426</cdr:x>
      <cdr:y>0.33169</cdr:y>
    </cdr:to>
    <cdr:sp macro="" textlink="">
      <cdr:nvSpPr>
        <cdr:cNvPr id="13" name="Left Brace 12">
          <a:extLst xmlns:a="http://schemas.openxmlformats.org/drawingml/2006/main">
            <a:ext uri="{FF2B5EF4-FFF2-40B4-BE49-F238E27FC236}">
              <a16:creationId xmlns:a16="http://schemas.microsoft.com/office/drawing/2014/main" id="{6213CC62-E31F-48E8-A81A-DFA319F843D6}"/>
            </a:ext>
          </a:extLst>
        </cdr:cNvPr>
        <cdr:cNvSpPr/>
      </cdr:nvSpPr>
      <cdr:spPr>
        <a:xfrm xmlns:a="http://schemas.openxmlformats.org/drawingml/2006/main">
          <a:off x="1364593" y="687990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0.2448</cdr:x>
      <cdr:y>0.34333</cdr:y>
    </cdr:from>
    <cdr:to>
      <cdr:x>0.27426</cdr:x>
      <cdr:y>0.48348</cdr:y>
    </cdr:to>
    <cdr:sp macro="" textlink="">
      <cdr:nvSpPr>
        <cdr:cNvPr id="14" name="Left Brace 13">
          <a:extLst xmlns:a="http://schemas.openxmlformats.org/drawingml/2006/main">
            <a:ext uri="{FF2B5EF4-FFF2-40B4-BE49-F238E27FC236}">
              <a16:creationId xmlns:a16="http://schemas.microsoft.com/office/drawing/2014/main" id="{6213CC62-E31F-48E8-A81A-DFA319F843D6}"/>
            </a:ext>
          </a:extLst>
        </cdr:cNvPr>
        <cdr:cNvSpPr/>
      </cdr:nvSpPr>
      <cdr:spPr>
        <a:xfrm xmlns:a="http://schemas.openxmlformats.org/drawingml/2006/main">
          <a:off x="1364593" y="1233214"/>
          <a:ext cx="164222" cy="50344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0.13638</cdr:x>
      <cdr:y>0.51889</cdr:y>
    </cdr:from>
    <cdr:to>
      <cdr:x>0.16584</cdr:x>
      <cdr:y>0.77309</cdr:y>
    </cdr:to>
    <cdr:sp macro="" textlink="">
      <cdr:nvSpPr>
        <cdr:cNvPr id="15" name="Left Brace 14">
          <a:extLst xmlns:a="http://schemas.openxmlformats.org/drawingml/2006/main">
            <a:ext uri="{FF2B5EF4-FFF2-40B4-BE49-F238E27FC236}">
              <a16:creationId xmlns:a16="http://schemas.microsoft.com/office/drawing/2014/main" id="{FF734275-DD00-4722-864D-9DDC8232B278}"/>
            </a:ext>
          </a:extLst>
        </cdr:cNvPr>
        <cdr:cNvSpPr/>
      </cdr:nvSpPr>
      <cdr:spPr>
        <a:xfrm xmlns:a="http://schemas.openxmlformats.org/drawingml/2006/main">
          <a:off x="760249" y="1863834"/>
          <a:ext cx="164224" cy="913086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0.06128</cdr:x>
      <cdr:y>0.6123</cdr:y>
    </cdr:from>
    <cdr:to>
      <cdr:x>0.17238</cdr:x>
      <cdr:y>0.72848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91A94028-43F4-4115-92F0-70843E8DEB59}"/>
            </a:ext>
          </a:extLst>
        </cdr:cNvPr>
        <cdr:cNvSpPr txBox="1"/>
      </cdr:nvSpPr>
      <cdr:spPr>
        <a:xfrm xmlns:a="http://schemas.openxmlformats.org/drawingml/2006/main">
          <a:off x="341606" y="2195815"/>
          <a:ext cx="619340" cy="4166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0.01929</cdr:x>
      <cdr:y>0.37424</cdr:y>
    </cdr:from>
    <cdr:to>
      <cdr:x>0.24017</cdr:x>
      <cdr:y>0.49042</cdr:y>
    </cdr:to>
    <cdr:sp macro="" textlink="">
      <cdr:nvSpPr>
        <cdr:cNvPr id="3" name="TextBox 15">
          <a:extLst xmlns:a="http://schemas.openxmlformats.org/drawingml/2006/main">
            <a:ext uri="{FF2B5EF4-FFF2-40B4-BE49-F238E27FC236}">
              <a16:creationId xmlns:a16="http://schemas.microsoft.com/office/drawing/2014/main" id="{BCBC11F6-EAE5-42E3-AC21-EB3AC2FB27E6}"/>
            </a:ext>
          </a:extLst>
        </cdr:cNvPr>
        <cdr:cNvSpPr txBox="1"/>
      </cdr:nvSpPr>
      <cdr:spPr>
        <a:xfrm xmlns:a="http://schemas.openxmlformats.org/drawingml/2006/main">
          <a:off x="107556" y="1342098"/>
          <a:ext cx="1231279" cy="41664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Overall survival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extrapolation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0.45572</cdr:x>
      <cdr:y>0.05244</cdr:y>
    </cdr:from>
    <cdr:to>
      <cdr:x>0.69568</cdr:x>
      <cdr:y>0.16862</cdr:y>
    </cdr:to>
    <cdr:sp macro="" textlink="">
      <cdr:nvSpPr>
        <cdr:cNvPr id="5" name="TextBox 17">
          <a:extLst xmlns:a="http://schemas.openxmlformats.org/drawingml/2006/main">
            <a:ext uri="{FF2B5EF4-FFF2-40B4-BE49-F238E27FC236}">
              <a16:creationId xmlns:a16="http://schemas.microsoft.com/office/drawing/2014/main" id="{466862E4-3BA9-46CB-A872-7A6CD5139734}"/>
            </a:ext>
          </a:extLst>
        </cdr:cNvPr>
        <cdr:cNvSpPr txBox="1"/>
      </cdr:nvSpPr>
      <cdr:spPr>
        <a:xfrm xmlns:a="http://schemas.openxmlformats.org/drawingml/2006/main">
          <a:off x="2540390" y="188046"/>
          <a:ext cx="1337639" cy="4166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Neutrapenia - adverse event cost</a:t>
          </a:r>
        </a:p>
      </cdr:txBody>
    </cdr:sp>
  </cdr:relSizeAnchor>
  <cdr:relSizeAnchor xmlns:cdr="http://schemas.openxmlformats.org/drawingml/2006/chartDrawing">
    <cdr:from>
      <cdr:x>0.45631</cdr:x>
      <cdr:y>0.21</cdr:y>
    </cdr:from>
    <cdr:to>
      <cdr:x>0.68587</cdr:x>
      <cdr:y>0.32619</cdr:y>
    </cdr:to>
    <cdr:sp macro="" textlink="">
      <cdr:nvSpPr>
        <cdr:cNvPr id="6" name="TextBox 16">
          <a:extLst xmlns:a="http://schemas.openxmlformats.org/drawingml/2006/main">
            <a:ext uri="{FF2B5EF4-FFF2-40B4-BE49-F238E27FC236}">
              <a16:creationId xmlns:a16="http://schemas.microsoft.com/office/drawing/2014/main" id="{0023BB0E-9971-45EB-9F96-9BD65C7B82CF}"/>
            </a:ext>
          </a:extLst>
        </cdr:cNvPr>
        <cdr:cNvSpPr txBox="1"/>
      </cdr:nvSpPr>
      <cdr:spPr>
        <a:xfrm xmlns:a="http://schemas.openxmlformats.org/drawingml/2006/main" flipH="1">
          <a:off x="2543659" y="753101"/>
          <a:ext cx="1279665" cy="4166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Duration of treatment (PLD+C)</a:t>
          </a:r>
        </a:p>
      </cdr:txBody>
    </cdr:sp>
  </cdr:relSizeAnchor>
  <cdr:relSizeAnchor xmlns:cdr="http://schemas.openxmlformats.org/drawingml/2006/chartDrawing">
    <cdr:from>
      <cdr:x>0.79629</cdr:x>
      <cdr:y>0.52705</cdr:y>
    </cdr:from>
    <cdr:to>
      <cdr:x>0.86956</cdr:x>
      <cdr:y>0.58972</cdr:y>
    </cdr:to>
    <cdr:sp macro="" textlink="">
      <cdr:nvSpPr>
        <cdr:cNvPr id="7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38864" y="1890100"/>
          <a:ext cx="408438" cy="22474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1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0.79629</cdr:x>
      <cdr:y>0.56736</cdr:y>
    </cdr:from>
    <cdr:to>
      <cdr:x>0.87024</cdr:x>
      <cdr:y>0.6301</cdr:y>
    </cdr:to>
    <cdr:sp macro="" textlink="">
      <cdr:nvSpPr>
        <cdr:cNvPr id="8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38864" y="2034645"/>
          <a:ext cx="412229" cy="2249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2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0.79629</cdr:x>
      <cdr:y>0.60765</cdr:y>
    </cdr:from>
    <cdr:to>
      <cdr:x>0.87024</cdr:x>
      <cdr:y>0.67039</cdr:y>
    </cdr:to>
    <cdr:sp macro="" textlink="">
      <cdr:nvSpPr>
        <cdr:cNvPr id="9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38874" y="2179132"/>
          <a:ext cx="412229" cy="2249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3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0.79511</cdr:x>
      <cdr:y>0.64795</cdr:y>
    </cdr:from>
    <cdr:to>
      <cdr:x>0.86906</cdr:x>
      <cdr:y>0.71069</cdr:y>
    </cdr:to>
    <cdr:sp macro="" textlink="">
      <cdr:nvSpPr>
        <cdr:cNvPr id="10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32287" y="2323661"/>
          <a:ext cx="412229" cy="2249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4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0.79511</cdr:x>
      <cdr:y>0.68459</cdr:y>
    </cdr:from>
    <cdr:to>
      <cdr:x>0.86906</cdr:x>
      <cdr:y>0.74733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32295" y="2455045"/>
          <a:ext cx="412229" cy="2249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5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0.79629</cdr:x>
      <cdr:y>0.72488</cdr:y>
    </cdr:from>
    <cdr:to>
      <cdr:x>0.87024</cdr:x>
      <cdr:y>0.78762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CB9A0C1-DEFB-4DB6-8CA0-69E2BF5B4FFA}"/>
            </a:ext>
          </a:extLst>
        </cdr:cNvPr>
        <cdr:cNvSpPr txBox="1"/>
      </cdr:nvSpPr>
      <cdr:spPr>
        <a:xfrm xmlns:a="http://schemas.openxmlformats.org/drawingml/2006/main">
          <a:off x="4438865" y="2599550"/>
          <a:ext cx="412229" cy="2249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6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0.70673</cdr:x>
      <cdr:y>0.04531</cdr:y>
    </cdr:from>
    <cdr:to>
      <cdr:x>0.73619</cdr:x>
      <cdr:y>0.18569</cdr:y>
    </cdr:to>
    <cdr:sp macro="" textlink="">
      <cdr:nvSpPr>
        <cdr:cNvPr id="13" name="Left Brace 12">
          <a:extLst xmlns:a="http://schemas.openxmlformats.org/drawingml/2006/main">
            <a:ext uri="{FF2B5EF4-FFF2-40B4-BE49-F238E27FC236}">
              <a16:creationId xmlns:a16="http://schemas.microsoft.com/office/drawing/2014/main" id="{46135962-EF63-4497-9710-9C0A88C7BCD2}"/>
            </a:ext>
          </a:extLst>
        </cdr:cNvPr>
        <cdr:cNvSpPr/>
      </cdr:nvSpPr>
      <cdr:spPr>
        <a:xfrm xmlns:a="http://schemas.openxmlformats.org/drawingml/2006/main">
          <a:off x="3939627" y="162476"/>
          <a:ext cx="164222" cy="503426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0.01736</cdr:x>
      <cdr:y>0.53438</cdr:y>
    </cdr:from>
    <cdr:to>
      <cdr:x>0.04682</cdr:x>
      <cdr:y>0.789</cdr:y>
    </cdr:to>
    <cdr:sp macro="" textlink="">
      <cdr:nvSpPr>
        <cdr:cNvPr id="14" name="Left Brace 13">
          <a:extLst xmlns:a="http://schemas.openxmlformats.org/drawingml/2006/main">
            <a:ext uri="{FF2B5EF4-FFF2-40B4-BE49-F238E27FC236}">
              <a16:creationId xmlns:a16="http://schemas.microsoft.com/office/drawing/2014/main" id="{C7041FCD-4F07-45F8-A1EB-96E8746284D1}"/>
            </a:ext>
          </a:extLst>
        </cdr:cNvPr>
        <cdr:cNvSpPr/>
      </cdr:nvSpPr>
      <cdr:spPr>
        <a:xfrm xmlns:a="http://schemas.openxmlformats.org/drawingml/2006/main">
          <a:off x="96787" y="1916369"/>
          <a:ext cx="164222" cy="913108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0.70673</cdr:x>
      <cdr:y>0.20466</cdr:y>
    </cdr:from>
    <cdr:to>
      <cdr:x>0.73619</cdr:x>
      <cdr:y>0.34505</cdr:y>
    </cdr:to>
    <cdr:sp macro="" textlink="">
      <cdr:nvSpPr>
        <cdr:cNvPr id="15" name="Left Brace 14">
          <a:extLst xmlns:a="http://schemas.openxmlformats.org/drawingml/2006/main">
            <a:ext uri="{FF2B5EF4-FFF2-40B4-BE49-F238E27FC236}">
              <a16:creationId xmlns:a16="http://schemas.microsoft.com/office/drawing/2014/main" id="{6213CC62-E31F-48E8-A81A-DFA319F843D6}"/>
            </a:ext>
          </a:extLst>
        </cdr:cNvPr>
        <cdr:cNvSpPr/>
      </cdr:nvSpPr>
      <cdr:spPr>
        <a:xfrm xmlns:a="http://schemas.openxmlformats.org/drawingml/2006/main">
          <a:off x="3939627" y="733957"/>
          <a:ext cx="164222" cy="503461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0.26011</cdr:x>
      <cdr:y>0.35304</cdr:y>
    </cdr:from>
    <cdr:to>
      <cdr:x>0.28957</cdr:x>
      <cdr:y>0.49342</cdr:y>
    </cdr:to>
    <cdr:sp macro="" textlink="">
      <cdr:nvSpPr>
        <cdr:cNvPr id="16" name="Left Brace 15">
          <a:extLst xmlns:a="http://schemas.openxmlformats.org/drawingml/2006/main">
            <a:ext uri="{FF2B5EF4-FFF2-40B4-BE49-F238E27FC236}">
              <a16:creationId xmlns:a16="http://schemas.microsoft.com/office/drawing/2014/main" id="{6213CC62-E31F-48E8-A81A-DFA319F843D6}"/>
            </a:ext>
          </a:extLst>
        </cdr:cNvPr>
        <cdr:cNvSpPr/>
      </cdr:nvSpPr>
      <cdr:spPr>
        <a:xfrm xmlns:a="http://schemas.openxmlformats.org/drawingml/2006/main">
          <a:off x="1449989" y="1266072"/>
          <a:ext cx="164222" cy="503425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0.06224</cdr:x>
      <cdr:y>0.35822</cdr:y>
    </cdr:from>
    <cdr:to>
      <cdr:x>0.26489</cdr:x>
      <cdr:y>0.47417</cdr:y>
    </cdr:to>
    <cdr:sp macro="" textlink="">
      <cdr:nvSpPr>
        <cdr:cNvPr id="6" name="TextBox 15">
          <a:extLst xmlns:a="http://schemas.openxmlformats.org/drawingml/2006/main">
            <a:ext uri="{FF2B5EF4-FFF2-40B4-BE49-F238E27FC236}">
              <a16:creationId xmlns:a16="http://schemas.microsoft.com/office/drawing/2014/main" id="{036F3809-EE22-4AE1-9BD3-8AF1BA432CB9}"/>
            </a:ext>
          </a:extLst>
        </cdr:cNvPr>
        <cdr:cNvSpPr txBox="1"/>
      </cdr:nvSpPr>
      <cdr:spPr>
        <a:xfrm xmlns:a="http://schemas.openxmlformats.org/drawingml/2006/main">
          <a:off x="346951" y="1287220"/>
          <a:ext cx="1129659" cy="4166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Overall survival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extrapolation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0.48087</cdr:x>
      <cdr:y>0.05419</cdr:y>
    </cdr:from>
    <cdr:to>
      <cdr:x>0.72082</cdr:x>
      <cdr:y>0.17014</cdr:y>
    </cdr:to>
    <cdr:sp macro="" textlink="">
      <cdr:nvSpPr>
        <cdr:cNvPr id="7" name="TextBox 17">
          <a:extLst xmlns:a="http://schemas.openxmlformats.org/drawingml/2006/main">
            <a:ext uri="{FF2B5EF4-FFF2-40B4-BE49-F238E27FC236}">
              <a16:creationId xmlns:a16="http://schemas.microsoft.com/office/drawing/2014/main" id="{783B034F-0008-46F8-9185-E8A8E6DFB1D8}"/>
            </a:ext>
          </a:extLst>
        </cdr:cNvPr>
        <cdr:cNvSpPr txBox="1"/>
      </cdr:nvSpPr>
      <cdr:spPr>
        <a:xfrm xmlns:a="http://schemas.openxmlformats.org/drawingml/2006/main">
          <a:off x="2674890" y="194725"/>
          <a:ext cx="1334746" cy="4166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Neutrapenia - adverse event cost</a:t>
          </a:r>
        </a:p>
      </cdr:txBody>
    </cdr:sp>
  </cdr:relSizeAnchor>
  <cdr:relSizeAnchor xmlns:cdr="http://schemas.openxmlformats.org/drawingml/2006/chartDrawing">
    <cdr:from>
      <cdr:x>0.48103</cdr:x>
      <cdr:y>0.20331</cdr:y>
    </cdr:from>
    <cdr:to>
      <cdr:x>0.71059</cdr:x>
      <cdr:y>0.31926</cdr:y>
    </cdr:to>
    <cdr:sp macro="" textlink="">
      <cdr:nvSpPr>
        <cdr:cNvPr id="8" name="TextBox 16">
          <a:extLst xmlns:a="http://schemas.openxmlformats.org/drawingml/2006/main">
            <a:ext uri="{FF2B5EF4-FFF2-40B4-BE49-F238E27FC236}">
              <a16:creationId xmlns:a16="http://schemas.microsoft.com/office/drawing/2014/main" id="{98BB7F87-F043-4D17-A782-4EB2224EABCE}"/>
            </a:ext>
          </a:extLst>
        </cdr:cNvPr>
        <cdr:cNvSpPr txBox="1"/>
      </cdr:nvSpPr>
      <cdr:spPr>
        <a:xfrm xmlns:a="http://schemas.openxmlformats.org/drawingml/2006/main" flipH="1">
          <a:off x="2675797" y="730565"/>
          <a:ext cx="1276950" cy="4166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Duration of treatment (PLD+C)</a:t>
          </a:r>
        </a:p>
      </cdr:txBody>
    </cdr:sp>
  </cdr:relSizeAnchor>
  <cdr:relSizeAnchor xmlns:cdr="http://schemas.openxmlformats.org/drawingml/2006/chartDrawing">
    <cdr:from>
      <cdr:x>0.87034</cdr:x>
      <cdr:y>0.52249</cdr:y>
    </cdr:from>
    <cdr:to>
      <cdr:x>0.94405</cdr:x>
      <cdr:y>0.58503</cdr:y>
    </cdr:to>
    <cdr:sp macro="" textlink="">
      <cdr:nvSpPr>
        <cdr:cNvPr id="10" name="TextBox 11">
          <a:extLst xmlns:a="http://schemas.openxmlformats.org/drawingml/2006/main">
            <a:ext uri="{FF2B5EF4-FFF2-40B4-BE49-F238E27FC236}">
              <a16:creationId xmlns:a16="http://schemas.microsoft.com/office/drawing/2014/main" id="{F989A9BD-1BB4-488A-9F8A-B70DF9FD93A9}"/>
            </a:ext>
          </a:extLst>
        </cdr:cNvPr>
        <cdr:cNvSpPr txBox="1"/>
      </cdr:nvSpPr>
      <cdr:spPr>
        <a:xfrm xmlns:a="http://schemas.openxmlformats.org/drawingml/2006/main">
          <a:off x="4841366" y="1877506"/>
          <a:ext cx="410019" cy="2247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1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0.87102</cdr:x>
      <cdr:y>0.56061</cdr:y>
    </cdr:from>
    <cdr:to>
      <cdr:x>0.94474</cdr:x>
      <cdr:y>0.62315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4483C08B-428E-46A8-96C0-FA6FCFCE40AF}"/>
            </a:ext>
          </a:extLst>
        </cdr:cNvPr>
        <cdr:cNvSpPr txBox="1"/>
      </cdr:nvSpPr>
      <cdr:spPr>
        <a:xfrm xmlns:a="http://schemas.openxmlformats.org/drawingml/2006/main">
          <a:off x="4845162" y="2014483"/>
          <a:ext cx="410075" cy="2247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2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0.8714</cdr:x>
      <cdr:y>0.60112</cdr:y>
    </cdr:from>
    <cdr:to>
      <cdr:x>0.94511</cdr:x>
      <cdr:y>0.66366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F5767F3-D3D5-4241-A25C-E4FD934ADC9A}"/>
            </a:ext>
          </a:extLst>
        </cdr:cNvPr>
        <cdr:cNvSpPr txBox="1"/>
      </cdr:nvSpPr>
      <cdr:spPr>
        <a:xfrm xmlns:a="http://schemas.openxmlformats.org/drawingml/2006/main">
          <a:off x="4857536" y="2160060"/>
          <a:ext cx="410891" cy="2247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latin typeface="Times New Roman" panose="02020603050405020304" pitchFamily="18" charset="0"/>
              <a:cs typeface="Times New Roman" panose="02020603050405020304" pitchFamily="18" charset="0"/>
            </a:rPr>
            <a:t>Wt</a:t>
          </a:r>
          <a:r>
            <a:rPr lang="en-US" sz="900" baseline="0">
              <a:latin typeface="Times New Roman" panose="02020603050405020304" pitchFamily="18" charset="0"/>
              <a:cs typeface="Times New Roman" panose="02020603050405020304" pitchFamily="18" charset="0"/>
            </a:rPr>
            <a:t> 3</a:t>
          </a:r>
          <a:endParaRPr lang="en-US" sz="9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0.82884</cdr:x>
      <cdr:y>0.21404</cdr:y>
    </cdr:from>
    <cdr:to>
      <cdr:x>0.88498</cdr:x>
      <cdr:y>0.3218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9E916F8D-673A-438F-A623-48A63EBFE5E7}"/>
            </a:ext>
          </a:extLst>
        </cdr:cNvPr>
        <cdr:cNvSpPr txBox="1"/>
      </cdr:nvSpPr>
      <cdr:spPr>
        <a:xfrm xmlns:a="http://schemas.openxmlformats.org/drawingml/2006/main">
          <a:off x="4610492" y="769132"/>
          <a:ext cx="312285" cy="38722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>
              <a:latin typeface="Times New Roman" panose="02020603050405020304" pitchFamily="18" charset="0"/>
              <a:cs typeface="Times New Roman" panose="02020603050405020304" pitchFamily="18" charset="0"/>
            </a:rPr>
            <a:t>?</a:t>
          </a:r>
        </a:p>
      </cdr:txBody>
    </cdr:sp>
  </cdr:relSizeAnchor>
  <cdr:relSizeAnchor xmlns:cdr="http://schemas.openxmlformats.org/drawingml/2006/chartDrawing">
    <cdr:from>
      <cdr:x>0.01691</cdr:x>
      <cdr:y>0.53697</cdr:y>
    </cdr:from>
    <cdr:to>
      <cdr:x>0.04637</cdr:x>
      <cdr:y>0.79107</cdr:y>
    </cdr:to>
    <cdr:sp macro="" textlink="">
      <cdr:nvSpPr>
        <cdr:cNvPr id="13" name="Left Brace 12">
          <a:extLst xmlns:a="http://schemas.openxmlformats.org/drawingml/2006/main">
            <a:ext uri="{FF2B5EF4-FFF2-40B4-BE49-F238E27FC236}">
              <a16:creationId xmlns:a16="http://schemas.microsoft.com/office/drawing/2014/main" id="{FF734275-DD00-4722-864D-9DDC8232B278}"/>
            </a:ext>
          </a:extLst>
        </cdr:cNvPr>
        <cdr:cNvSpPr/>
      </cdr:nvSpPr>
      <cdr:spPr>
        <a:xfrm xmlns:a="http://schemas.openxmlformats.org/drawingml/2006/main">
          <a:off x="94037" y="1929530"/>
          <a:ext cx="163874" cy="913075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0.06969</cdr:x>
      <cdr:y>0.57554</cdr:y>
    </cdr:from>
    <cdr:to>
      <cdr:x>0.19633</cdr:x>
      <cdr:y>0.69149</cdr:y>
    </cdr:to>
    <cdr:sp macro="" textlink="">
      <cdr:nvSpPr>
        <cdr:cNvPr id="14" name="TextBox 14">
          <a:extLst xmlns:a="http://schemas.openxmlformats.org/drawingml/2006/main">
            <a:ext uri="{FF2B5EF4-FFF2-40B4-BE49-F238E27FC236}">
              <a16:creationId xmlns:a16="http://schemas.microsoft.com/office/drawing/2014/main" id="{91394BD5-AF92-4EE6-91AD-CA0B2D3527E3}"/>
            </a:ext>
          </a:extLst>
        </cdr:cNvPr>
        <cdr:cNvSpPr txBox="1"/>
      </cdr:nvSpPr>
      <cdr:spPr>
        <a:xfrm xmlns:a="http://schemas.openxmlformats.org/drawingml/2006/main">
          <a:off x="387658" y="2068121"/>
          <a:ext cx="704448" cy="4166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Utility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weights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0.72289</cdr:x>
      <cdr:y>0.04521</cdr:y>
    </cdr:from>
    <cdr:to>
      <cdr:x>0.75235</cdr:x>
      <cdr:y>0.18532</cdr:y>
    </cdr:to>
    <cdr:sp macro="" textlink="">
      <cdr:nvSpPr>
        <cdr:cNvPr id="15" name="Left Brace 14">
          <a:extLst xmlns:a="http://schemas.openxmlformats.org/drawingml/2006/main">
            <a:ext uri="{FF2B5EF4-FFF2-40B4-BE49-F238E27FC236}">
              <a16:creationId xmlns:a16="http://schemas.microsoft.com/office/drawing/2014/main" id="{E60C5FB9-809C-4ADD-9BE4-BDB203884613}"/>
            </a:ext>
          </a:extLst>
        </cdr:cNvPr>
        <cdr:cNvSpPr/>
      </cdr:nvSpPr>
      <cdr:spPr>
        <a:xfrm xmlns:a="http://schemas.openxmlformats.org/drawingml/2006/main">
          <a:off x="4021154" y="162456"/>
          <a:ext cx="163874" cy="503467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0.40493</cdr:x>
      <cdr:y>0.3505</cdr:y>
    </cdr:from>
    <cdr:to>
      <cdr:x>0.43439</cdr:x>
      <cdr:y>0.49061</cdr:y>
    </cdr:to>
    <cdr:sp macro="" textlink="">
      <cdr:nvSpPr>
        <cdr:cNvPr id="16" name="Left Brace 15">
          <a:extLst xmlns:a="http://schemas.openxmlformats.org/drawingml/2006/main">
            <a:ext uri="{FF2B5EF4-FFF2-40B4-BE49-F238E27FC236}">
              <a16:creationId xmlns:a16="http://schemas.microsoft.com/office/drawing/2014/main" id="{E60C5FB9-809C-4ADD-9BE4-BDB203884613}"/>
            </a:ext>
          </a:extLst>
        </cdr:cNvPr>
        <cdr:cNvSpPr/>
      </cdr:nvSpPr>
      <cdr:spPr>
        <a:xfrm xmlns:a="http://schemas.openxmlformats.org/drawingml/2006/main">
          <a:off x="2252465" y="1259475"/>
          <a:ext cx="163874" cy="503467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0.72342</cdr:x>
      <cdr:y>0.1996</cdr:y>
    </cdr:from>
    <cdr:to>
      <cdr:x>0.75288</cdr:x>
      <cdr:y>0.3397</cdr:y>
    </cdr:to>
    <cdr:sp macro="" textlink="">
      <cdr:nvSpPr>
        <cdr:cNvPr id="17" name="Left Brace 16">
          <a:extLst xmlns:a="http://schemas.openxmlformats.org/drawingml/2006/main">
            <a:ext uri="{FF2B5EF4-FFF2-40B4-BE49-F238E27FC236}">
              <a16:creationId xmlns:a16="http://schemas.microsoft.com/office/drawing/2014/main" id="{E60C5FB9-809C-4ADD-9BE4-BDB203884613}"/>
            </a:ext>
          </a:extLst>
        </cdr:cNvPr>
        <cdr:cNvSpPr/>
      </cdr:nvSpPr>
      <cdr:spPr>
        <a:xfrm xmlns:a="http://schemas.openxmlformats.org/drawingml/2006/main">
          <a:off x="4024115" y="717239"/>
          <a:ext cx="163874" cy="503430"/>
        </a:xfrm>
        <a:prstGeom xmlns:a="http://schemas.openxmlformats.org/drawingml/2006/main" prst="leftBrac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180975</xdr:colOff>
      <xdr:row>12</xdr:row>
      <xdr:rowOff>47626</xdr:rowOff>
    </xdr:from>
    <xdr:to>
      <xdr:col>17</xdr:col>
      <xdr:colOff>143733</xdr:colOff>
      <xdr:row>19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3295"/>
        <a:stretch/>
      </xdr:blipFill>
      <xdr:spPr>
        <a:xfrm>
          <a:off x="7581900" y="2762251"/>
          <a:ext cx="4839558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10</xdr:row>
      <xdr:rowOff>47625</xdr:rowOff>
    </xdr:from>
    <xdr:to>
      <xdr:col>16</xdr:col>
      <xdr:colOff>75680</xdr:colOff>
      <xdr:row>12</xdr:row>
      <xdr:rowOff>114244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2381250"/>
          <a:ext cx="4161905" cy="4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20</xdr:row>
      <xdr:rowOff>139384</xdr:rowOff>
    </xdr:from>
    <xdr:to>
      <xdr:col>17</xdr:col>
      <xdr:colOff>542924</xdr:colOff>
      <xdr:row>37</xdr:row>
      <xdr:rowOff>66174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0" y="4378009"/>
          <a:ext cx="5200649" cy="3174815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38</xdr:row>
      <xdr:rowOff>28575</xdr:rowOff>
    </xdr:from>
    <xdr:to>
      <xdr:col>16</xdr:col>
      <xdr:colOff>9025</xdr:colOff>
      <xdr:row>39</xdr:row>
      <xdr:rowOff>123789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7150" y="7696200"/>
          <a:ext cx="4000000" cy="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39</xdr:row>
      <xdr:rowOff>114300</xdr:rowOff>
    </xdr:from>
    <xdr:to>
      <xdr:col>16</xdr:col>
      <xdr:colOff>590550</xdr:colOff>
      <xdr:row>44</xdr:row>
      <xdr:rowOff>4209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77150" y="7972425"/>
          <a:ext cx="4581525" cy="842409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44</xdr:row>
      <xdr:rowOff>114300</xdr:rowOff>
    </xdr:from>
    <xdr:to>
      <xdr:col>16</xdr:col>
      <xdr:colOff>9018</xdr:colOff>
      <xdr:row>45</xdr:row>
      <xdr:rowOff>190467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8924925"/>
          <a:ext cx="4057143" cy="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45</xdr:row>
      <xdr:rowOff>171450</xdr:rowOff>
    </xdr:from>
    <xdr:to>
      <xdr:col>16</xdr:col>
      <xdr:colOff>538658</xdr:colOff>
      <xdr:row>54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4775" y="9172575"/>
          <a:ext cx="4482008" cy="16002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1</xdr:row>
      <xdr:rowOff>209549</xdr:rowOff>
    </xdr:from>
    <xdr:to>
      <xdr:col>17</xdr:col>
      <xdr:colOff>60908</xdr:colOff>
      <xdr:row>9</xdr:row>
      <xdr:rowOff>76199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9525" y="676274"/>
          <a:ext cx="4709108" cy="1666875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55</xdr:row>
      <xdr:rowOff>114300</xdr:rowOff>
    </xdr:from>
    <xdr:to>
      <xdr:col>16</xdr:col>
      <xdr:colOff>9030</xdr:colOff>
      <xdr:row>56</xdr:row>
      <xdr:rowOff>180943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11020425"/>
          <a:ext cx="3961905" cy="2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57</xdr:row>
      <xdr:rowOff>22002</xdr:rowOff>
    </xdr:from>
    <xdr:to>
      <xdr:col>18</xdr:col>
      <xdr:colOff>95712</xdr:colOff>
      <xdr:row>66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81925" y="11309127"/>
          <a:ext cx="5201112" cy="17115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0</xdr:row>
      <xdr:rowOff>152400</xdr:rowOff>
    </xdr:from>
    <xdr:to>
      <xdr:col>22</xdr:col>
      <xdr:colOff>27782</xdr:colOff>
      <xdr:row>19</xdr:row>
      <xdr:rowOff>113852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152400"/>
          <a:ext cx="6342857" cy="3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42</xdr:row>
      <xdr:rowOff>57150</xdr:rowOff>
    </xdr:from>
    <xdr:to>
      <xdr:col>21</xdr:col>
      <xdr:colOff>161167</xdr:colOff>
      <xdr:row>66</xdr:row>
      <xdr:rowOff>161340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1675" y="8058150"/>
          <a:ext cx="6066667" cy="4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19</xdr:row>
      <xdr:rowOff>123825</xdr:rowOff>
    </xdr:from>
    <xdr:to>
      <xdr:col>21</xdr:col>
      <xdr:colOff>589730</xdr:colOff>
      <xdr:row>41</xdr:row>
      <xdr:rowOff>66158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3743325"/>
          <a:ext cx="6561905" cy="41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428625</xdr:colOff>
      <xdr:row>3</xdr:row>
      <xdr:rowOff>9525</xdr:rowOff>
    </xdr:from>
    <xdr:to>
      <xdr:col>15</xdr:col>
      <xdr:colOff>218263</xdr:colOff>
      <xdr:row>48</xdr:row>
      <xdr:rowOff>132424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4550" y="495300"/>
          <a:ext cx="6495238" cy="74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18</xdr:col>
      <xdr:colOff>608762</xdr:colOff>
      <xdr:row>35</xdr:row>
      <xdr:rowOff>8937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971550"/>
          <a:ext cx="6704762" cy="4704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19</xdr:col>
      <xdr:colOff>170590</xdr:colOff>
      <xdr:row>33</xdr:row>
      <xdr:rowOff>27924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161925"/>
          <a:ext cx="6876190" cy="52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28575</xdr:rowOff>
    </xdr:from>
    <xdr:to>
      <xdr:col>20</xdr:col>
      <xdr:colOff>218057</xdr:colOff>
      <xdr:row>31</xdr:row>
      <xdr:rowOff>142274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190500"/>
          <a:ext cx="8142857" cy="48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2</xdr:row>
      <xdr:rowOff>114300</xdr:rowOff>
    </xdr:from>
    <xdr:to>
      <xdr:col>19</xdr:col>
      <xdr:colOff>408550</xdr:colOff>
      <xdr:row>32</xdr:row>
      <xdr:rowOff>27979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7050" y="276225"/>
          <a:ext cx="8200000" cy="47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47625</xdr:rowOff>
    </xdr:from>
    <xdr:to>
      <xdr:col>19</xdr:col>
      <xdr:colOff>541905</xdr:colOff>
      <xdr:row>31</xdr:row>
      <xdr:rowOff>56562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7575" y="371475"/>
          <a:ext cx="8161905" cy="4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0990F-3513-492A-B262-F866EB40941F}">
  <sheetPr>
    <tabColor rgb="FF92D050"/>
  </sheetPr>
  <dimension ref="A2:H203"/>
  <sheetViews>
    <sheetView tabSelected="1" zoomScale="145" zoomScaleNormal="145" workbookViewId="0">
      <selection activeCell="C12" sqref="C12"/>
    </sheetView>
  </sheetViews>
  <sheetFormatPr defaultRowHeight="15" x14ac:dyDescent="0.25"/>
  <cols>
    <col min="1" max="1" width="33.85546875" customWidth="1"/>
    <col min="2" max="2" width="37" customWidth="1"/>
    <col min="3" max="8" width="11.42578125" customWidth="1"/>
  </cols>
  <sheetData>
    <row r="2" spans="1:8" ht="30.75" customHeight="1" x14ac:dyDescent="0.25">
      <c r="C2" s="82" t="str">
        <f>+'CS 1 - Table 1-1 fmt'!A3</f>
        <v>Analysis (a) Olaparib for Recurrent BRCA-mutated population</v>
      </c>
      <c r="D2" s="82"/>
      <c r="E2" s="82"/>
      <c r="F2" s="82"/>
      <c r="G2" s="82"/>
      <c r="H2" s="82"/>
    </row>
    <row r="3" spans="1:8" ht="30" x14ac:dyDescent="0.25">
      <c r="C3" s="80" t="s">
        <v>201</v>
      </c>
      <c r="D3" s="80" t="s">
        <v>154</v>
      </c>
      <c r="E3" s="80" t="s">
        <v>155</v>
      </c>
      <c r="F3" s="80" t="s">
        <v>206</v>
      </c>
      <c r="G3" s="80" t="s">
        <v>207</v>
      </c>
      <c r="H3" s="80" t="s">
        <v>231</v>
      </c>
    </row>
    <row r="4" spans="1:8" x14ac:dyDescent="0.25">
      <c r="A4" s="19" t="s">
        <v>203</v>
      </c>
      <c r="B4" s="19" t="str">
        <f>+'CS 1 - Table 1-1 fmt'!A4</f>
        <v>Prog disease on Olaparib</v>
      </c>
      <c r="C4" s="59">
        <f>+Figures!C4</f>
        <v>146</v>
      </c>
      <c r="D4" s="59">
        <f>+Figures!D4</f>
        <v>121</v>
      </c>
      <c r="E4" s="59">
        <f>+Figures!E4</f>
        <v>146</v>
      </c>
      <c r="F4" s="57"/>
      <c r="G4" s="57"/>
      <c r="H4" s="81">
        <v>4.5</v>
      </c>
    </row>
    <row r="5" spans="1:8" x14ac:dyDescent="0.25">
      <c r="A5" s="19"/>
      <c r="B5" s="19" t="str">
        <f>+'CS 1 - Table 1-1 fmt'!A5</f>
        <v>Prog disease on PLD+C</v>
      </c>
      <c r="C5" s="59">
        <f>+Figures!C5</f>
        <v>146</v>
      </c>
      <c r="D5" s="59">
        <f>+Figures!D5</f>
        <v>139</v>
      </c>
      <c r="E5" s="59">
        <f>+Figures!E5</f>
        <v>146</v>
      </c>
      <c r="F5" s="57"/>
      <c r="G5" s="57"/>
      <c r="H5" s="81">
        <v>4.5</v>
      </c>
    </row>
    <row r="6" spans="1:8" x14ac:dyDescent="0.25">
      <c r="A6" s="19"/>
      <c r="B6" s="19" t="str">
        <f>+'CS 1 - Table 1-1 fmt'!A6</f>
        <v>Prog-free disease on Olaparib</v>
      </c>
      <c r="C6" s="59">
        <f>+Figures!C6</f>
        <v>146</v>
      </c>
      <c r="D6" s="59">
        <f>+Figures!D6</f>
        <v>139</v>
      </c>
      <c r="E6" s="59">
        <f>+Figures!E6</f>
        <v>128</v>
      </c>
      <c r="F6" s="57"/>
      <c r="G6" s="57"/>
      <c r="H6" s="81">
        <v>4.5</v>
      </c>
    </row>
    <row r="7" spans="1:8" x14ac:dyDescent="0.25">
      <c r="A7" s="19"/>
      <c r="B7" s="19" t="str">
        <f>+'CS 1 - Table 1-1 fmt'!A7</f>
        <v xml:space="preserve">Prog-free disease on PLD+C  </v>
      </c>
      <c r="C7" s="59">
        <f>+Figures!C7</f>
        <v>146</v>
      </c>
      <c r="D7" s="59">
        <f>+Figures!D7</f>
        <v>139</v>
      </c>
      <c r="E7" s="59">
        <f>+Figures!E7</f>
        <v>125</v>
      </c>
      <c r="F7" s="57"/>
      <c r="G7" s="57"/>
      <c r="H7" s="81">
        <v>4.5</v>
      </c>
    </row>
    <row r="8" spans="1:8" x14ac:dyDescent="0.25">
      <c r="A8" s="19"/>
      <c r="B8" s="19"/>
      <c r="C8" s="59">
        <f>+Figures!C9</f>
        <v>146</v>
      </c>
      <c r="D8" s="59">
        <f>+Figures!D9</f>
        <v>146</v>
      </c>
      <c r="E8" s="59">
        <f>+Figures!E9</f>
        <v>146</v>
      </c>
      <c r="F8" s="58"/>
      <c r="G8" s="58"/>
      <c r="H8" s="81">
        <v>4.5</v>
      </c>
    </row>
    <row r="9" spans="1:8" x14ac:dyDescent="0.25">
      <c r="A9" s="19" t="s">
        <v>204</v>
      </c>
      <c r="B9" s="19"/>
      <c r="C9" s="59">
        <f>+Figures!C11</f>
        <v>146</v>
      </c>
      <c r="D9" s="59">
        <f>+Figures!D11</f>
        <v>146</v>
      </c>
      <c r="E9" s="59">
        <f>+Figures!E11</f>
        <v>152</v>
      </c>
      <c r="F9" s="58"/>
      <c r="G9" s="58"/>
      <c r="H9" s="81">
        <v>4.5</v>
      </c>
    </row>
    <row r="10" spans="1:8" x14ac:dyDescent="0.25">
      <c r="A10" s="19"/>
      <c r="B10" s="19"/>
      <c r="C10" s="59">
        <f>+Figures!C13</f>
        <v>146</v>
      </c>
      <c r="D10" s="59">
        <f>+Figures!D13</f>
        <v>123</v>
      </c>
      <c r="E10" s="59">
        <f>+Figures!E13</f>
        <v>126</v>
      </c>
      <c r="F10" s="58"/>
      <c r="G10" s="58"/>
      <c r="H10" s="81">
        <v>4.5</v>
      </c>
    </row>
    <row r="11" spans="1:8" x14ac:dyDescent="0.25">
      <c r="A11" s="19" t="s">
        <v>205</v>
      </c>
      <c r="B11" s="19"/>
    </row>
    <row r="12" spans="1:8" x14ac:dyDescent="0.25">
      <c r="A12" s="19"/>
      <c r="B12" s="19"/>
      <c r="C12" s="59">
        <f>+Figures!C23</f>
        <v>295</v>
      </c>
      <c r="D12" s="59">
        <f>+Figures!D23</f>
        <v>233</v>
      </c>
      <c r="E12" s="59">
        <f>+Figures!E23</f>
        <v>244</v>
      </c>
      <c r="F12" s="19"/>
      <c r="G12" s="19"/>
      <c r="H12" s="81">
        <v>3.5</v>
      </c>
    </row>
    <row r="13" spans="1:8" x14ac:dyDescent="0.25">
      <c r="A13" s="19" t="str">
        <f>+'CS 1 - Table 1-4 fmt'!A4</f>
        <v>Neutropenia - Adverse event cost</v>
      </c>
      <c r="B13" s="19"/>
      <c r="C13" s="59">
        <f>+Figures!C24</f>
        <v>295</v>
      </c>
      <c r="D13" s="59">
        <f>+Figures!D24</f>
        <v>266</v>
      </c>
      <c r="E13" s="59">
        <f>+Figures!E24</f>
        <v>295</v>
      </c>
      <c r="F13" s="19"/>
      <c r="G13" s="19"/>
      <c r="H13" s="81">
        <v>3.5</v>
      </c>
    </row>
    <row r="14" spans="1:8" x14ac:dyDescent="0.25">
      <c r="A14" s="19"/>
      <c r="B14" s="19"/>
      <c r="C14" s="59">
        <f>+Figures!C25</f>
        <v>295</v>
      </c>
      <c r="D14" s="59">
        <f>+Figures!D25</f>
        <v>268</v>
      </c>
      <c r="E14" s="59">
        <f>+Figures!E25</f>
        <v>239</v>
      </c>
      <c r="F14" s="19"/>
      <c r="G14" s="19"/>
      <c r="H14" s="81">
        <v>3.5</v>
      </c>
    </row>
    <row r="15" spans="1:8" x14ac:dyDescent="0.25">
      <c r="A15" s="19"/>
      <c r="B15" s="19"/>
      <c r="C15" s="59">
        <f>+Figures!C26</f>
        <v>295</v>
      </c>
      <c r="D15" s="59">
        <f>+Figures!D26</f>
        <v>277</v>
      </c>
      <c r="E15" s="59">
        <f>+Figures!E26</f>
        <v>242</v>
      </c>
      <c r="F15" s="19"/>
      <c r="G15" s="19"/>
      <c r="H15" s="81">
        <v>3.5</v>
      </c>
    </row>
    <row r="16" spans="1:8" x14ac:dyDescent="0.25">
      <c r="A16" s="19"/>
      <c r="B16" s="19"/>
      <c r="C16" s="59">
        <f>+Figures!C28</f>
        <v>295</v>
      </c>
      <c r="D16" s="59">
        <f>+Figures!D28</f>
        <v>295</v>
      </c>
      <c r="E16" s="59">
        <f>+Figures!E28</f>
        <v>156</v>
      </c>
      <c r="F16" s="19"/>
      <c r="G16" s="19"/>
      <c r="H16" s="81">
        <v>3.5</v>
      </c>
    </row>
    <row r="17" spans="1:8" x14ac:dyDescent="0.25">
      <c r="A17" s="19"/>
      <c r="B17" s="19"/>
      <c r="C17" s="59">
        <f>+Figures!C30</f>
        <v>295</v>
      </c>
      <c r="D17" s="59">
        <f>+Figures!D30</f>
        <v>298</v>
      </c>
      <c r="E17" s="59"/>
      <c r="F17" s="19"/>
      <c r="G17" s="19"/>
      <c r="H17" s="81">
        <v>3.5</v>
      </c>
    </row>
    <row r="18" spans="1:8" x14ac:dyDescent="0.25">
      <c r="A18" s="19"/>
      <c r="B18" s="19"/>
      <c r="C18" s="59">
        <f>+Figures!C32</f>
        <v>295</v>
      </c>
      <c r="D18" s="59">
        <f>+Figures!D32</f>
        <v>268</v>
      </c>
      <c r="E18" s="59">
        <f>+Figures!E32</f>
        <v>271</v>
      </c>
      <c r="F18" s="19"/>
      <c r="G18" s="19"/>
      <c r="H18" s="81">
        <v>3.5</v>
      </c>
    </row>
    <row r="19" spans="1:8" x14ac:dyDescent="0.25">
      <c r="A19" s="19"/>
      <c r="B19" s="19"/>
    </row>
    <row r="20" spans="1:8" x14ac:dyDescent="0.25">
      <c r="A20" s="19"/>
      <c r="B20" s="19"/>
      <c r="C20" s="59">
        <f>+Figures!C44</f>
        <v>291</v>
      </c>
      <c r="D20" s="59">
        <f>+Figures!D44</f>
        <v>0</v>
      </c>
      <c r="E20" s="59">
        <f>+Figures!E44</f>
        <v>98</v>
      </c>
      <c r="F20" s="19"/>
      <c r="G20" s="19"/>
      <c r="H20" s="81">
        <v>2.5</v>
      </c>
    </row>
    <row r="21" spans="1:8" x14ac:dyDescent="0.25">
      <c r="A21" s="19"/>
      <c r="B21" s="19"/>
      <c r="C21" s="59">
        <f>+Figures!C45</f>
        <v>291</v>
      </c>
      <c r="D21" s="59">
        <f>+Figures!D45</f>
        <v>89</v>
      </c>
      <c r="E21" s="59">
        <f>+Figures!E45</f>
        <v>171</v>
      </c>
      <c r="H21" s="81">
        <v>2.5</v>
      </c>
    </row>
    <row r="22" spans="1:8" x14ac:dyDescent="0.25">
      <c r="A22" s="19"/>
      <c r="B22" s="19"/>
      <c r="C22" s="59">
        <f>+Figures!C46</f>
        <v>291</v>
      </c>
      <c r="D22" s="59">
        <f>+Figures!D46</f>
        <v>267</v>
      </c>
      <c r="E22" s="59">
        <f>+Figures!E46</f>
        <v>238</v>
      </c>
      <c r="F22" s="19"/>
      <c r="G22" s="19"/>
      <c r="H22" s="81">
        <v>2.5</v>
      </c>
    </row>
    <row r="23" spans="1:8" x14ac:dyDescent="0.25">
      <c r="A23" s="19"/>
      <c r="B23" s="19"/>
      <c r="C23" s="59">
        <f>+Figures!C47</f>
        <v>291</v>
      </c>
      <c r="D23" s="59">
        <f>+Figures!D47</f>
        <v>295</v>
      </c>
      <c r="E23" s="59">
        <f>+Figures!E47</f>
        <v>295</v>
      </c>
      <c r="F23" s="19"/>
      <c r="G23" s="19"/>
      <c r="H23" s="81">
        <v>2.5</v>
      </c>
    </row>
    <row r="24" spans="1:8" x14ac:dyDescent="0.25">
      <c r="A24" s="19"/>
      <c r="B24" s="19"/>
      <c r="C24" s="59">
        <f>+Figures!C48</f>
        <v>291</v>
      </c>
      <c r="D24" s="59">
        <f>+Figures!D48</f>
        <v>267</v>
      </c>
      <c r="E24" s="59">
        <f>+Figures!E48</f>
        <v>238</v>
      </c>
      <c r="F24" s="19"/>
      <c r="G24" s="19"/>
      <c r="H24" s="81">
        <v>2.5</v>
      </c>
    </row>
    <row r="25" spans="1:8" x14ac:dyDescent="0.25">
      <c r="A25" s="19"/>
      <c r="B25" s="19"/>
      <c r="C25" s="59">
        <f>+Figures!C49</f>
        <v>291</v>
      </c>
      <c r="D25" s="59">
        <f>+Figures!D49</f>
        <v>292</v>
      </c>
      <c r="E25" s="59">
        <f>+Figures!E49</f>
        <v>292</v>
      </c>
      <c r="F25" s="19"/>
      <c r="G25" s="19"/>
      <c r="H25" s="81">
        <v>2.5</v>
      </c>
    </row>
    <row r="26" spans="1:8" x14ac:dyDescent="0.25">
      <c r="A26" s="19"/>
      <c r="B26" s="19"/>
      <c r="C26" s="59">
        <f>+Figures!C51</f>
        <v>291</v>
      </c>
      <c r="D26" s="59">
        <f>+Figures!D51</f>
        <v>291</v>
      </c>
      <c r="E26" s="59">
        <f>+Figures!E51</f>
        <v>117</v>
      </c>
      <c r="F26" s="19"/>
      <c r="G26" s="19"/>
      <c r="H26" s="81">
        <v>2.5</v>
      </c>
    </row>
    <row r="27" spans="1:8" x14ac:dyDescent="0.25">
      <c r="A27" s="19"/>
      <c r="B27" s="19"/>
      <c r="C27" s="59">
        <f>+Figures!C55</f>
        <v>291</v>
      </c>
      <c r="D27" s="59">
        <f>+Figures!D55</f>
        <v>291</v>
      </c>
      <c r="E27" s="59">
        <f>+Figures!E55</f>
        <v>292</v>
      </c>
      <c r="F27" s="19"/>
      <c r="G27" s="19"/>
      <c r="H27" s="81">
        <v>2.5</v>
      </c>
    </row>
    <row r="28" spans="1:8" x14ac:dyDescent="0.25">
      <c r="A28" s="19"/>
      <c r="B28" s="19"/>
      <c r="C28" s="59"/>
      <c r="D28" s="59"/>
      <c r="E28" s="59"/>
      <c r="F28" s="19"/>
      <c r="G28" s="19"/>
      <c r="H28" s="19"/>
    </row>
    <row r="29" spans="1:8" x14ac:dyDescent="0.25">
      <c r="A29" s="19"/>
      <c r="B29" s="19"/>
      <c r="C29" s="59">
        <f>+Figures!C66</f>
        <v>324</v>
      </c>
      <c r="D29" s="59">
        <f>+Figures!D66</f>
        <v>56</v>
      </c>
      <c r="E29" s="59">
        <f>+Figures!E66</f>
        <v>181</v>
      </c>
      <c r="F29" s="19"/>
      <c r="G29" s="19"/>
      <c r="H29" s="81">
        <v>1.5</v>
      </c>
    </row>
    <row r="30" spans="1:8" x14ac:dyDescent="0.25">
      <c r="A30" s="19"/>
      <c r="B30" s="19"/>
      <c r="C30" s="59">
        <f>+Figures!C67</f>
        <v>324</v>
      </c>
      <c r="D30" s="59">
        <f>+Figures!D67</f>
        <v>162</v>
      </c>
      <c r="E30" s="59">
        <f>+Figures!E67</f>
        <v>235</v>
      </c>
      <c r="F30" s="19"/>
      <c r="G30" s="19"/>
      <c r="H30" s="81">
        <v>1.5</v>
      </c>
    </row>
    <row r="31" spans="1:8" x14ac:dyDescent="0.25">
      <c r="A31" s="19"/>
      <c r="B31" s="19"/>
      <c r="C31" s="59">
        <f>+Figures!C68</f>
        <v>324</v>
      </c>
      <c r="D31" s="59">
        <f>+Figures!D68</f>
        <v>295</v>
      </c>
      <c r="E31" s="59">
        <f>+Figures!E68</f>
        <v>263</v>
      </c>
      <c r="F31" s="19"/>
      <c r="G31" s="19"/>
      <c r="H31" s="81">
        <v>1.5</v>
      </c>
    </row>
    <row r="32" spans="1:8" x14ac:dyDescent="0.25">
      <c r="A32" s="19"/>
      <c r="B32" s="19"/>
      <c r="C32" s="59">
        <f>+Figures!C69</f>
        <v>324</v>
      </c>
      <c r="D32" s="59">
        <f>+Figures!D69</f>
        <v>263</v>
      </c>
      <c r="E32" s="59">
        <f>+Figures!E69</f>
        <v>277</v>
      </c>
      <c r="F32" s="19"/>
      <c r="G32" s="19"/>
      <c r="H32" s="81">
        <v>1.5</v>
      </c>
    </row>
    <row r="33" spans="1:8" x14ac:dyDescent="0.25">
      <c r="A33" s="19"/>
      <c r="B33" s="19"/>
      <c r="C33" s="59">
        <f>+Figures!C70</f>
        <v>324</v>
      </c>
      <c r="D33" s="59">
        <f>+Figures!D70</f>
        <v>248</v>
      </c>
      <c r="E33" s="59">
        <f>+Figures!E70</f>
        <v>274</v>
      </c>
      <c r="F33" s="19"/>
      <c r="G33" s="19"/>
      <c r="H33" s="81">
        <v>1.5</v>
      </c>
    </row>
    <row r="34" spans="1:8" x14ac:dyDescent="0.25">
      <c r="A34" s="19"/>
      <c r="B34" s="19"/>
      <c r="C34" s="59">
        <f>+Figures!C71</f>
        <v>324</v>
      </c>
      <c r="D34" s="59">
        <f>+Figures!D71</f>
        <v>328</v>
      </c>
      <c r="E34" s="59">
        <f>+Figures!E71</f>
        <v>328</v>
      </c>
      <c r="F34" s="19"/>
      <c r="G34" s="19"/>
      <c r="H34" s="81">
        <v>1.5</v>
      </c>
    </row>
    <row r="35" spans="1:8" x14ac:dyDescent="0.25">
      <c r="A35" s="19"/>
      <c r="B35" s="19"/>
      <c r="C35" s="59">
        <f>+Figures!C72</f>
        <v>324</v>
      </c>
      <c r="D35" s="59">
        <f>+Figures!D72</f>
        <v>307</v>
      </c>
      <c r="E35" s="59">
        <f>+Figures!E72</f>
        <v>274</v>
      </c>
      <c r="F35" s="19"/>
      <c r="G35" s="19"/>
      <c r="H35" s="81">
        <v>1.5</v>
      </c>
    </row>
    <row r="36" spans="1:8" x14ac:dyDescent="0.25">
      <c r="A36" s="19"/>
      <c r="B36" s="19"/>
      <c r="C36" s="59">
        <f>+Figures!C73</f>
        <v>324</v>
      </c>
      <c r="D36" s="59">
        <f>+Figures!D73</f>
        <v>325</v>
      </c>
      <c r="E36" s="59">
        <f>+Figures!E73</f>
        <v>325</v>
      </c>
      <c r="F36" s="19"/>
      <c r="G36" s="19"/>
      <c r="H36" s="81">
        <v>1.5</v>
      </c>
    </row>
    <row r="37" spans="1:8" x14ac:dyDescent="0.25">
      <c r="A37" s="19"/>
      <c r="B37" s="19"/>
      <c r="C37" s="59">
        <f>+Figures!C75</f>
        <v>324</v>
      </c>
      <c r="D37" s="59">
        <f>+Figures!D75</f>
        <v>324</v>
      </c>
      <c r="E37" s="59">
        <f>+Figures!E75</f>
        <v>324</v>
      </c>
      <c r="F37" s="19"/>
      <c r="G37" s="19"/>
      <c r="H37" s="81">
        <v>1.5</v>
      </c>
    </row>
    <row r="38" spans="1:8" x14ac:dyDescent="0.25">
      <c r="A38" s="19"/>
      <c r="B38" s="19"/>
      <c r="F38" s="19"/>
      <c r="G38" s="19"/>
      <c r="H38" s="19"/>
    </row>
    <row r="39" spans="1:8" x14ac:dyDescent="0.25">
      <c r="A39" s="19"/>
      <c r="B39" s="19"/>
      <c r="C39" s="59">
        <f>+Figures!C89</f>
        <v>369</v>
      </c>
      <c r="D39" s="59">
        <f>+Figures!D89</f>
        <v>0</v>
      </c>
      <c r="E39" s="59">
        <f>+Figures!E89</f>
        <v>0</v>
      </c>
      <c r="F39" s="19"/>
      <c r="G39" s="19"/>
      <c r="H39" s="81">
        <v>0.5</v>
      </c>
    </row>
    <row r="40" spans="1:8" x14ac:dyDescent="0.25">
      <c r="A40" s="19"/>
      <c r="B40" s="19"/>
      <c r="C40" s="59">
        <f>+Figures!C90</f>
        <v>369</v>
      </c>
      <c r="D40" s="59">
        <f>+Figures!D90</f>
        <v>0</v>
      </c>
      <c r="E40" s="59">
        <f>+Figures!E90</f>
        <v>112</v>
      </c>
      <c r="F40" s="19"/>
      <c r="G40" s="19"/>
      <c r="H40" s="81">
        <v>0.5</v>
      </c>
    </row>
    <row r="41" spans="1:8" x14ac:dyDescent="0.25">
      <c r="A41" s="19"/>
      <c r="B41" s="19"/>
      <c r="C41" s="59">
        <f>+Figures!C91</f>
        <v>369</v>
      </c>
      <c r="D41" s="59">
        <f>+Figures!D91</f>
        <v>333</v>
      </c>
      <c r="E41" s="59">
        <f>+Figures!E91</f>
        <v>298</v>
      </c>
      <c r="F41" s="19"/>
      <c r="G41" s="19"/>
      <c r="H41" s="81">
        <v>0.5</v>
      </c>
    </row>
    <row r="42" spans="1:8" x14ac:dyDescent="0.25">
      <c r="A42" s="19"/>
      <c r="B42" s="19"/>
      <c r="C42" s="59">
        <f>+Figures!C92</f>
        <v>369</v>
      </c>
      <c r="D42" s="59">
        <f>+Figures!D92</f>
        <v>374</v>
      </c>
      <c r="E42" s="59">
        <f>+Figures!E92</f>
        <v>374</v>
      </c>
      <c r="F42" s="19"/>
      <c r="G42" s="19"/>
      <c r="H42" s="81">
        <v>0.5</v>
      </c>
    </row>
    <row r="43" spans="1:8" x14ac:dyDescent="0.25">
      <c r="A43" s="19"/>
      <c r="B43" s="19"/>
      <c r="C43" s="59">
        <f>+Figures!C93</f>
        <v>369</v>
      </c>
      <c r="D43" s="59">
        <f>+Figures!D93</f>
        <v>367</v>
      </c>
      <c r="E43" s="59">
        <f>+Figures!E93</f>
        <v>340</v>
      </c>
      <c r="F43" s="19"/>
      <c r="G43" s="19"/>
      <c r="H43" s="81">
        <v>0.5</v>
      </c>
    </row>
    <row r="44" spans="1:8" x14ac:dyDescent="0.25">
      <c r="A44" s="19"/>
      <c r="B44" s="19"/>
      <c r="C44" s="59">
        <f>+Figures!C94</f>
        <v>369</v>
      </c>
      <c r="D44" s="59">
        <f>+Figures!D94</f>
        <v>370</v>
      </c>
      <c r="E44" s="59">
        <f>+Figures!E94</f>
        <v>370</v>
      </c>
      <c r="F44" s="19"/>
      <c r="G44" s="19"/>
      <c r="H44" s="81">
        <v>0.5</v>
      </c>
    </row>
    <row r="45" spans="1:8" x14ac:dyDescent="0.25">
      <c r="A45" s="19"/>
      <c r="B45" s="19"/>
      <c r="C45" s="59">
        <f>+Figures!C98</f>
        <v>369</v>
      </c>
      <c r="D45" s="59">
        <f>+Figures!D98</f>
        <v>369</v>
      </c>
      <c r="E45" s="59">
        <f>+Figures!E98</f>
        <v>187</v>
      </c>
      <c r="F45" s="19"/>
      <c r="G45" s="19"/>
      <c r="H45" s="81">
        <v>0.5</v>
      </c>
    </row>
    <row r="46" spans="1:8" x14ac:dyDescent="0.25">
      <c r="A46" s="19"/>
      <c r="B46" s="19"/>
      <c r="C46" s="59">
        <f>+Figures!C102</f>
        <v>369</v>
      </c>
      <c r="D46" s="59">
        <f>+Figures!D102</f>
        <v>369</v>
      </c>
      <c r="E46" s="59">
        <f>+Figures!E102</f>
        <v>370</v>
      </c>
      <c r="F46" s="19"/>
      <c r="G46" s="19"/>
      <c r="H46" s="81">
        <v>0.5</v>
      </c>
    </row>
    <row r="47" spans="1:8" x14ac:dyDescent="0.25">
      <c r="A47" s="19"/>
      <c r="B47" s="19"/>
      <c r="C47" s="59"/>
      <c r="D47" s="59"/>
      <c r="E47" s="59"/>
      <c r="F47" s="19"/>
      <c r="G47" s="19"/>
      <c r="H47" s="19"/>
    </row>
    <row r="48" spans="1:8" x14ac:dyDescent="0.25">
      <c r="A48" s="19"/>
      <c r="B48" s="19"/>
      <c r="F48" s="19">
        <v>100</v>
      </c>
      <c r="G48" s="19"/>
      <c r="H48" s="81">
        <v>0</v>
      </c>
    </row>
    <row r="49" spans="1:8" x14ac:dyDescent="0.25">
      <c r="A49" s="19"/>
      <c r="B49" s="19"/>
      <c r="C49" s="59"/>
      <c r="D49" s="59"/>
      <c r="E49" s="59"/>
      <c r="F49" s="19">
        <v>100</v>
      </c>
      <c r="G49" s="19"/>
      <c r="H49" s="81">
        <v>5</v>
      </c>
    </row>
    <row r="50" spans="1:8" x14ac:dyDescent="0.25">
      <c r="A50" s="19"/>
      <c r="B50" s="19"/>
      <c r="C50" s="59"/>
      <c r="D50" s="59"/>
      <c r="E50" s="59"/>
      <c r="F50" s="19"/>
      <c r="G50" s="19">
        <v>150</v>
      </c>
      <c r="H50" s="81">
        <v>0</v>
      </c>
    </row>
    <row r="51" spans="1:8" x14ac:dyDescent="0.25">
      <c r="A51" s="19"/>
      <c r="B51" s="19"/>
      <c r="C51" s="59"/>
      <c r="D51" s="59"/>
      <c r="E51" s="59"/>
      <c r="F51" s="19"/>
      <c r="G51" s="19">
        <v>150</v>
      </c>
      <c r="H51" s="81">
        <v>5</v>
      </c>
    </row>
    <row r="52" spans="1:8" x14ac:dyDescent="0.25">
      <c r="A52" s="19"/>
      <c r="B52" s="19"/>
      <c r="F52" s="19"/>
      <c r="G52" s="19"/>
      <c r="H52" s="19"/>
    </row>
    <row r="53" spans="1:8" x14ac:dyDescent="0.25">
      <c r="A53" s="19"/>
      <c r="B53" s="19"/>
      <c r="C53" s="59"/>
      <c r="D53" s="19"/>
      <c r="E53" s="19"/>
      <c r="F53" s="19"/>
      <c r="G53" s="19"/>
      <c r="H53" s="19"/>
    </row>
    <row r="54" spans="1:8" x14ac:dyDescent="0.25">
      <c r="A54" s="19"/>
      <c r="B54" s="19"/>
      <c r="C54" s="59"/>
      <c r="D54" s="19"/>
      <c r="E54" s="19"/>
      <c r="F54" s="19"/>
      <c r="G54" s="19"/>
      <c r="H54" s="19"/>
    </row>
    <row r="55" spans="1:8" x14ac:dyDescent="0.25">
      <c r="A55" s="19"/>
      <c r="B55" s="19"/>
      <c r="C55" s="59"/>
      <c r="D55" s="19"/>
      <c r="E55" s="19"/>
      <c r="F55" s="19"/>
      <c r="G55" s="19"/>
      <c r="H55" s="19"/>
    </row>
    <row r="56" spans="1:8" x14ac:dyDescent="0.25">
      <c r="A56" s="19"/>
      <c r="B56" s="19"/>
      <c r="C56" s="59"/>
      <c r="D56" s="19"/>
      <c r="E56" s="19"/>
      <c r="F56" s="19"/>
      <c r="G56" s="19"/>
      <c r="H56" s="19"/>
    </row>
    <row r="57" spans="1:8" x14ac:dyDescent="0.25">
      <c r="A57" s="19"/>
      <c r="B57" s="19"/>
      <c r="C57" s="59"/>
      <c r="D57" s="19"/>
      <c r="E57" s="19"/>
      <c r="F57" s="19"/>
      <c r="G57" s="19"/>
      <c r="H57" s="19"/>
    </row>
    <row r="58" spans="1:8" x14ac:dyDescent="0.25">
      <c r="A58" s="19"/>
      <c r="B58" s="19"/>
      <c r="C58" s="59"/>
      <c r="D58" s="19"/>
      <c r="E58" s="19"/>
      <c r="F58" s="19"/>
      <c r="G58" s="19"/>
      <c r="H58" s="19"/>
    </row>
    <row r="59" spans="1:8" x14ac:dyDescent="0.25">
      <c r="A59" s="19"/>
      <c r="B59" s="19"/>
      <c r="C59" s="59"/>
      <c r="D59" s="19"/>
      <c r="E59" s="19"/>
      <c r="F59" s="19"/>
      <c r="G59" s="19"/>
      <c r="H59" s="19"/>
    </row>
    <row r="60" spans="1:8" x14ac:dyDescent="0.25">
      <c r="A60" s="19"/>
      <c r="B60" s="19"/>
      <c r="C60" s="59"/>
      <c r="D60" s="19"/>
      <c r="E60" s="19"/>
      <c r="F60" s="19"/>
      <c r="G60" s="19"/>
      <c r="H60" s="19"/>
    </row>
    <row r="61" spans="1:8" x14ac:dyDescent="0.25">
      <c r="A61" s="19"/>
      <c r="B61" s="19"/>
      <c r="C61" s="59"/>
      <c r="D61" s="19"/>
      <c r="E61" s="19"/>
      <c r="F61" s="19"/>
      <c r="G61" s="19"/>
      <c r="H61" s="19"/>
    </row>
    <row r="62" spans="1:8" x14ac:dyDescent="0.25">
      <c r="A62" s="19"/>
      <c r="B62" s="19"/>
      <c r="C62" s="59"/>
      <c r="D62" s="19"/>
      <c r="E62" s="19"/>
      <c r="F62" s="19"/>
      <c r="G62" s="19"/>
      <c r="H62" s="19"/>
    </row>
    <row r="63" spans="1:8" x14ac:dyDescent="0.25">
      <c r="A63" s="19"/>
      <c r="B63" s="19"/>
      <c r="C63" s="59"/>
      <c r="D63" s="19"/>
      <c r="E63" s="19"/>
      <c r="F63" s="19"/>
      <c r="G63" s="19"/>
      <c r="H63" s="19"/>
    </row>
    <row r="64" spans="1:8" x14ac:dyDescent="0.25">
      <c r="A64" s="19"/>
      <c r="B64" s="19"/>
      <c r="C64" s="59"/>
      <c r="D64" s="19"/>
      <c r="E64" s="19"/>
      <c r="F64" s="19"/>
      <c r="G64" s="19"/>
      <c r="H64" s="19"/>
    </row>
    <row r="65" spans="1:8" x14ac:dyDescent="0.25">
      <c r="A65" s="19"/>
      <c r="B65" s="19"/>
      <c r="C65" s="59"/>
      <c r="D65" s="19"/>
      <c r="E65" s="19"/>
      <c r="F65" s="19"/>
      <c r="G65" s="19"/>
      <c r="H65" s="19"/>
    </row>
    <row r="66" spans="1:8" x14ac:dyDescent="0.25">
      <c r="A66" s="19"/>
      <c r="B66" s="19"/>
      <c r="C66" s="59"/>
      <c r="D66" s="19"/>
      <c r="E66" s="19"/>
      <c r="F66" s="19"/>
      <c r="G66" s="19"/>
      <c r="H66" s="19"/>
    </row>
    <row r="67" spans="1:8" x14ac:dyDescent="0.25">
      <c r="A67" s="19"/>
      <c r="B67" s="19"/>
      <c r="C67" s="59"/>
      <c r="D67" s="19"/>
      <c r="E67" s="19"/>
      <c r="F67" s="19"/>
      <c r="G67" s="19"/>
      <c r="H67" s="19"/>
    </row>
    <row r="68" spans="1:8" x14ac:dyDescent="0.25">
      <c r="A68" s="19"/>
      <c r="B68" s="19"/>
      <c r="C68" s="59"/>
      <c r="D68" s="19"/>
      <c r="E68" s="19"/>
      <c r="F68" s="19"/>
      <c r="G68" s="19"/>
      <c r="H68" s="19"/>
    </row>
    <row r="69" spans="1:8" x14ac:dyDescent="0.25">
      <c r="A69" s="19"/>
      <c r="B69" s="19"/>
      <c r="C69" s="59"/>
      <c r="D69" s="19"/>
      <c r="E69" s="19"/>
      <c r="F69" s="19"/>
      <c r="G69" s="19"/>
      <c r="H69" s="19"/>
    </row>
    <row r="70" spans="1:8" x14ac:dyDescent="0.25">
      <c r="A70" s="19"/>
      <c r="B70" s="19"/>
      <c r="C70" s="59"/>
      <c r="D70" s="19"/>
      <c r="E70" s="19"/>
      <c r="F70" s="19"/>
      <c r="G70" s="19"/>
      <c r="H70" s="19"/>
    </row>
    <row r="71" spans="1:8" x14ac:dyDescent="0.25">
      <c r="A71" s="19"/>
      <c r="B71" s="19"/>
      <c r="C71" s="59"/>
      <c r="D71" s="19"/>
      <c r="E71" s="19"/>
      <c r="F71" s="19"/>
      <c r="G71" s="19"/>
      <c r="H71" s="19"/>
    </row>
    <row r="72" spans="1:8" x14ac:dyDescent="0.25">
      <c r="A72" s="19"/>
      <c r="B72" s="19"/>
      <c r="C72" s="59"/>
      <c r="D72" s="19"/>
      <c r="E72" s="19"/>
      <c r="F72" s="19"/>
      <c r="G72" s="19"/>
      <c r="H72" s="19"/>
    </row>
    <row r="73" spans="1:8" x14ac:dyDescent="0.25">
      <c r="A73" s="19"/>
      <c r="B73" s="19"/>
      <c r="C73" s="59"/>
      <c r="D73" s="19"/>
      <c r="E73" s="19"/>
      <c r="F73" s="19"/>
      <c r="G73" s="19"/>
      <c r="H73" s="19"/>
    </row>
    <row r="74" spans="1:8" x14ac:dyDescent="0.25">
      <c r="A74" s="19"/>
      <c r="B74" s="19"/>
      <c r="C74" s="59"/>
      <c r="D74" s="19"/>
      <c r="E74" s="19"/>
      <c r="F74" s="19"/>
      <c r="G74" s="19"/>
      <c r="H74" s="19"/>
    </row>
    <row r="75" spans="1:8" x14ac:dyDescent="0.25">
      <c r="A75" s="19"/>
      <c r="B75" s="19"/>
      <c r="C75" s="59"/>
      <c r="D75" s="19"/>
      <c r="E75" s="19"/>
      <c r="F75" s="19"/>
      <c r="G75" s="19"/>
      <c r="H75" s="19"/>
    </row>
    <row r="76" spans="1:8" x14ac:dyDescent="0.25">
      <c r="A76" s="19"/>
      <c r="B76" s="19"/>
      <c r="C76" s="59"/>
      <c r="D76" s="19"/>
      <c r="E76" s="19"/>
      <c r="F76" s="19"/>
      <c r="G76" s="19"/>
      <c r="H76" s="19"/>
    </row>
    <row r="77" spans="1:8" x14ac:dyDescent="0.25">
      <c r="A77" s="19"/>
      <c r="B77" s="19"/>
      <c r="C77" s="59"/>
      <c r="D77" s="19"/>
      <c r="E77" s="19"/>
      <c r="F77" s="19"/>
      <c r="G77" s="19"/>
      <c r="H77" s="19"/>
    </row>
    <row r="78" spans="1:8" x14ac:dyDescent="0.25">
      <c r="A78" s="19"/>
      <c r="B78" s="19"/>
      <c r="C78" s="59"/>
      <c r="D78" s="19"/>
      <c r="E78" s="19"/>
      <c r="F78" s="19"/>
      <c r="G78" s="19"/>
      <c r="H78" s="19"/>
    </row>
    <row r="79" spans="1:8" x14ac:dyDescent="0.25">
      <c r="A79" s="19"/>
      <c r="B79" s="19"/>
      <c r="C79" s="19"/>
      <c r="D79" s="19"/>
      <c r="E79" s="19"/>
      <c r="F79" s="19"/>
      <c r="G79" s="19"/>
      <c r="H79" s="19"/>
    </row>
    <row r="80" spans="1:8" x14ac:dyDescent="0.25">
      <c r="A80" s="19"/>
      <c r="B80" s="19"/>
      <c r="C80" s="19"/>
      <c r="D80" s="19"/>
      <c r="E80" s="19"/>
      <c r="F80" s="19"/>
      <c r="G80" s="19"/>
      <c r="H80" s="19"/>
    </row>
    <row r="81" spans="1:8" x14ac:dyDescent="0.25">
      <c r="A81" s="19"/>
      <c r="B81" s="19"/>
      <c r="C81" s="19"/>
      <c r="D81" s="19"/>
      <c r="E81" s="19"/>
      <c r="F81" s="19"/>
      <c r="G81" s="19"/>
      <c r="H81" s="19"/>
    </row>
    <row r="82" spans="1:8" x14ac:dyDescent="0.25">
      <c r="A82" s="19"/>
      <c r="B82" s="19"/>
      <c r="C82" s="19"/>
      <c r="D82" s="19"/>
      <c r="E82" s="19"/>
      <c r="F82" s="19"/>
      <c r="G82" s="19"/>
      <c r="H82" s="19"/>
    </row>
    <row r="83" spans="1:8" x14ac:dyDescent="0.25">
      <c r="A83" s="19"/>
      <c r="B83" s="19"/>
      <c r="C83" s="19"/>
      <c r="D83" s="19"/>
      <c r="E83" s="19"/>
      <c r="F83" s="19"/>
      <c r="G83" s="19"/>
      <c r="H83" s="19"/>
    </row>
    <row r="84" spans="1:8" x14ac:dyDescent="0.25">
      <c r="A84" s="19"/>
      <c r="B84" s="19"/>
      <c r="C84" s="19"/>
      <c r="D84" s="19"/>
      <c r="E84" s="19"/>
      <c r="F84" s="19"/>
      <c r="G84" s="19"/>
      <c r="H84" s="19"/>
    </row>
    <row r="85" spans="1:8" x14ac:dyDescent="0.25">
      <c r="A85" s="19"/>
      <c r="B85" s="19"/>
      <c r="C85" s="19"/>
      <c r="D85" s="19"/>
      <c r="E85" s="19"/>
      <c r="F85" s="19"/>
      <c r="G85" s="19"/>
      <c r="H85" s="19"/>
    </row>
    <row r="86" spans="1:8" x14ac:dyDescent="0.25">
      <c r="A86" s="19"/>
      <c r="B86" s="19"/>
      <c r="C86" s="19"/>
      <c r="D86" s="19"/>
      <c r="E86" s="19"/>
      <c r="F86" s="19"/>
      <c r="G86" s="19"/>
      <c r="H86" s="19"/>
    </row>
    <row r="87" spans="1:8" x14ac:dyDescent="0.25">
      <c r="A87" s="19"/>
      <c r="B87" s="19"/>
      <c r="C87" s="19"/>
      <c r="D87" s="19"/>
      <c r="E87" s="19"/>
      <c r="F87" s="19"/>
      <c r="G87" s="19"/>
      <c r="H87" s="19"/>
    </row>
    <row r="88" spans="1:8" x14ac:dyDescent="0.25">
      <c r="A88" s="19"/>
      <c r="B88" s="19"/>
      <c r="C88" s="19"/>
      <c r="D88" s="19"/>
      <c r="E88" s="19"/>
      <c r="F88" s="19"/>
      <c r="G88" s="19"/>
      <c r="H88" s="19"/>
    </row>
    <row r="89" spans="1:8" x14ac:dyDescent="0.25">
      <c r="A89" s="19"/>
      <c r="B89" s="19"/>
      <c r="C89" s="19"/>
      <c r="D89" s="19"/>
      <c r="E89" s="19"/>
      <c r="F89" s="19"/>
      <c r="G89" s="19"/>
      <c r="H89" s="19"/>
    </row>
    <row r="90" spans="1:8" x14ac:dyDescent="0.25">
      <c r="A90" s="19"/>
      <c r="B90" s="19"/>
      <c r="C90" s="19"/>
      <c r="D90" s="19"/>
      <c r="E90" s="19"/>
      <c r="F90" s="19"/>
      <c r="G90" s="19"/>
      <c r="H90" s="19"/>
    </row>
    <row r="91" spans="1:8" x14ac:dyDescent="0.25">
      <c r="A91" s="19"/>
      <c r="B91" s="19"/>
      <c r="C91" s="19"/>
      <c r="D91" s="19"/>
      <c r="E91" s="19"/>
      <c r="F91" s="19"/>
      <c r="G91" s="19"/>
      <c r="H91" s="19"/>
    </row>
    <row r="92" spans="1:8" x14ac:dyDescent="0.25">
      <c r="A92" s="19"/>
      <c r="B92" s="19"/>
      <c r="C92" s="19"/>
      <c r="D92" s="19"/>
      <c r="E92" s="19"/>
      <c r="F92" s="19"/>
      <c r="G92" s="19"/>
      <c r="H92" s="19"/>
    </row>
    <row r="93" spans="1:8" x14ac:dyDescent="0.25">
      <c r="A93" s="19"/>
      <c r="B93" s="19"/>
      <c r="C93" s="19"/>
      <c r="D93" s="19"/>
      <c r="E93" s="19"/>
      <c r="F93" s="19"/>
      <c r="G93" s="19"/>
      <c r="H93" s="19"/>
    </row>
    <row r="94" spans="1:8" x14ac:dyDescent="0.25">
      <c r="A94" s="19"/>
      <c r="B94" s="19"/>
      <c r="C94" s="19"/>
      <c r="D94" s="19"/>
      <c r="E94" s="19"/>
      <c r="F94" s="19"/>
      <c r="G94" s="19"/>
      <c r="H94" s="19"/>
    </row>
    <row r="95" spans="1:8" x14ac:dyDescent="0.25">
      <c r="A95" s="19"/>
      <c r="B95" s="19"/>
      <c r="C95" s="19"/>
      <c r="D95" s="19"/>
      <c r="E95" s="19"/>
      <c r="F95" s="19"/>
      <c r="G95" s="19"/>
      <c r="H95" s="19"/>
    </row>
    <row r="96" spans="1:8" x14ac:dyDescent="0.25">
      <c r="A96" s="19"/>
      <c r="B96" s="19"/>
      <c r="C96" s="19"/>
      <c r="D96" s="19"/>
      <c r="E96" s="19"/>
      <c r="F96" s="19"/>
      <c r="G96" s="19"/>
      <c r="H96" s="19"/>
    </row>
    <row r="97" spans="1:8" x14ac:dyDescent="0.25">
      <c r="A97" s="19"/>
      <c r="B97" s="19"/>
      <c r="C97" s="19"/>
      <c r="D97" s="19"/>
      <c r="E97" s="19"/>
      <c r="F97" s="19"/>
      <c r="G97" s="19"/>
      <c r="H97" s="19"/>
    </row>
    <row r="98" spans="1:8" x14ac:dyDescent="0.25">
      <c r="A98" s="19"/>
      <c r="B98" s="19"/>
      <c r="C98" s="19"/>
      <c r="D98" s="19"/>
      <c r="E98" s="19"/>
      <c r="F98" s="19"/>
      <c r="G98" s="19"/>
      <c r="H98" s="19"/>
    </row>
    <row r="99" spans="1:8" x14ac:dyDescent="0.25">
      <c r="A99" s="19"/>
      <c r="B99" s="19"/>
      <c r="C99" s="19"/>
      <c r="D99" s="19"/>
      <c r="E99" s="19"/>
      <c r="F99" s="19"/>
      <c r="G99" s="19"/>
      <c r="H99" s="19"/>
    </row>
    <row r="100" spans="1:8" x14ac:dyDescent="0.25">
      <c r="A100" s="19"/>
      <c r="B100" s="19"/>
      <c r="C100" s="19"/>
      <c r="D100" s="19"/>
      <c r="E100" s="19"/>
      <c r="F100" s="19"/>
      <c r="G100" s="19"/>
      <c r="H100" s="19"/>
    </row>
    <row r="101" spans="1:8" x14ac:dyDescent="0.25">
      <c r="A101" s="19"/>
      <c r="B101" s="19"/>
      <c r="C101" s="19"/>
      <c r="D101" s="19"/>
      <c r="E101" s="19"/>
      <c r="F101" s="19"/>
      <c r="G101" s="19"/>
      <c r="H101" s="19"/>
    </row>
    <row r="102" spans="1:8" x14ac:dyDescent="0.25">
      <c r="A102" s="19"/>
      <c r="B102" s="19"/>
      <c r="C102" s="19"/>
      <c r="D102" s="19"/>
      <c r="E102" s="19"/>
      <c r="F102" s="19"/>
      <c r="G102" s="19"/>
      <c r="H102" s="19"/>
    </row>
    <row r="103" spans="1:8" x14ac:dyDescent="0.25">
      <c r="A103" s="19"/>
      <c r="B103" s="19"/>
      <c r="C103" s="19"/>
      <c r="D103" s="19"/>
      <c r="E103" s="19"/>
      <c r="F103" s="19"/>
      <c r="G103" s="19"/>
      <c r="H103" s="19"/>
    </row>
    <row r="104" spans="1:8" x14ac:dyDescent="0.25">
      <c r="A104" s="19"/>
      <c r="B104" s="19"/>
      <c r="C104" s="19"/>
      <c r="D104" s="19"/>
      <c r="E104" s="19"/>
      <c r="F104" s="19"/>
      <c r="G104" s="19"/>
      <c r="H104" s="19"/>
    </row>
    <row r="105" spans="1:8" x14ac:dyDescent="0.25">
      <c r="A105" s="19"/>
      <c r="B105" s="19"/>
      <c r="C105" s="19"/>
      <c r="D105" s="19"/>
      <c r="E105" s="19"/>
      <c r="F105" s="19"/>
      <c r="G105" s="19"/>
      <c r="H105" s="19"/>
    </row>
    <row r="106" spans="1:8" x14ac:dyDescent="0.25">
      <c r="A106" s="19"/>
      <c r="B106" s="19"/>
      <c r="C106" s="19"/>
      <c r="D106" s="19"/>
      <c r="E106" s="19"/>
      <c r="F106" s="19"/>
      <c r="G106" s="19"/>
      <c r="H106" s="19"/>
    </row>
    <row r="107" spans="1:8" x14ac:dyDescent="0.25">
      <c r="A107" s="19"/>
      <c r="B107" s="19"/>
      <c r="C107" s="19"/>
      <c r="D107" s="19"/>
      <c r="E107" s="19"/>
      <c r="F107" s="19"/>
      <c r="G107" s="19"/>
      <c r="H107" s="19"/>
    </row>
    <row r="108" spans="1:8" x14ac:dyDescent="0.25">
      <c r="A108" s="19"/>
      <c r="B108" s="19"/>
      <c r="C108" s="19"/>
      <c r="D108" s="19"/>
      <c r="E108" s="19"/>
      <c r="F108" s="19"/>
      <c r="G108" s="19"/>
      <c r="H108" s="19"/>
    </row>
    <row r="109" spans="1:8" x14ac:dyDescent="0.25">
      <c r="A109" s="19"/>
      <c r="B109" s="19"/>
      <c r="C109" s="19"/>
      <c r="D109" s="19"/>
      <c r="E109" s="19"/>
      <c r="F109" s="19"/>
      <c r="G109" s="19"/>
      <c r="H109" s="19"/>
    </row>
    <row r="110" spans="1:8" x14ac:dyDescent="0.25">
      <c r="A110" s="19"/>
      <c r="B110" s="19"/>
      <c r="C110" s="19"/>
      <c r="D110" s="19"/>
      <c r="E110" s="19"/>
      <c r="F110" s="19"/>
      <c r="G110" s="19"/>
      <c r="H110" s="81"/>
    </row>
    <row r="111" spans="1:8" x14ac:dyDescent="0.25">
      <c r="A111" s="19"/>
      <c r="B111" s="19"/>
      <c r="C111" s="19"/>
      <c r="D111" s="19"/>
      <c r="E111" s="19"/>
      <c r="F111" s="19"/>
      <c r="G111" s="19"/>
      <c r="H111" s="81"/>
    </row>
    <row r="112" spans="1:8" x14ac:dyDescent="0.25">
      <c r="A112" s="19"/>
      <c r="B112" s="19"/>
      <c r="C112" s="19"/>
      <c r="D112" s="19"/>
      <c r="E112" s="19"/>
      <c r="F112" s="19"/>
      <c r="G112" s="19"/>
      <c r="H112" s="19"/>
    </row>
    <row r="113" spans="1:8" x14ac:dyDescent="0.25">
      <c r="A113" s="19"/>
      <c r="B113" s="19"/>
      <c r="C113" s="19"/>
      <c r="D113" s="19"/>
      <c r="E113" s="19"/>
      <c r="F113" s="19"/>
      <c r="G113" s="19"/>
      <c r="H113" s="19"/>
    </row>
    <row r="114" spans="1:8" x14ac:dyDescent="0.25">
      <c r="A114" s="19"/>
      <c r="B114" s="19"/>
      <c r="C114" s="19"/>
      <c r="D114" s="19"/>
      <c r="E114" s="19"/>
      <c r="F114" s="19"/>
      <c r="G114" s="19"/>
      <c r="H114" s="19"/>
    </row>
    <row r="115" spans="1:8" x14ac:dyDescent="0.25">
      <c r="A115" s="19"/>
      <c r="B115" s="19"/>
      <c r="C115" s="19"/>
      <c r="D115" s="19"/>
      <c r="E115" s="19"/>
      <c r="F115" s="19"/>
      <c r="G115" s="19"/>
      <c r="H115" s="19"/>
    </row>
    <row r="116" spans="1:8" x14ac:dyDescent="0.25">
      <c r="C116" s="82"/>
      <c r="D116" s="82"/>
      <c r="E116" s="82"/>
      <c r="F116" s="82"/>
      <c r="G116" s="82"/>
      <c r="H116" s="82"/>
    </row>
    <row r="117" spans="1:8" x14ac:dyDescent="0.25">
      <c r="C117" s="80"/>
      <c r="D117" s="80"/>
      <c r="E117" s="80"/>
      <c r="F117" s="80"/>
      <c r="G117" s="80"/>
      <c r="H117" s="80"/>
    </row>
    <row r="118" spans="1:8" x14ac:dyDescent="0.25">
      <c r="A118" s="19"/>
      <c r="B118" s="19"/>
      <c r="C118" s="59"/>
      <c r="D118" s="59"/>
      <c r="E118" s="59"/>
      <c r="F118" s="57"/>
      <c r="G118" s="57"/>
      <c r="H118" s="81"/>
    </row>
    <row r="119" spans="1:8" x14ac:dyDescent="0.25">
      <c r="A119" s="19"/>
      <c r="B119" s="19"/>
      <c r="C119" s="59"/>
      <c r="D119" s="59"/>
      <c r="E119" s="59"/>
      <c r="F119" s="57"/>
      <c r="G119" s="57"/>
      <c r="H119" s="81"/>
    </row>
    <row r="120" spans="1:8" x14ac:dyDescent="0.25">
      <c r="A120" s="19"/>
      <c r="B120" s="19"/>
      <c r="C120" s="59"/>
      <c r="D120" s="59"/>
      <c r="E120" s="59"/>
      <c r="F120" s="57"/>
      <c r="G120" s="57"/>
      <c r="H120" s="81"/>
    </row>
    <row r="121" spans="1:8" x14ac:dyDescent="0.25">
      <c r="A121" s="19"/>
      <c r="B121" s="19"/>
      <c r="C121" s="59"/>
      <c r="D121" s="59"/>
      <c r="E121" s="59"/>
      <c r="F121" s="57"/>
      <c r="G121" s="57"/>
      <c r="H121" s="81"/>
    </row>
    <row r="122" spans="1:8" x14ac:dyDescent="0.25">
      <c r="A122" s="19"/>
      <c r="B122" s="19"/>
      <c r="C122" s="60"/>
      <c r="D122" s="60"/>
      <c r="E122" s="60"/>
      <c r="F122" s="19"/>
      <c r="G122" s="19"/>
      <c r="H122" s="19"/>
    </row>
    <row r="123" spans="1:8" x14ac:dyDescent="0.25">
      <c r="A123" s="19"/>
      <c r="B123" s="19"/>
      <c r="C123" s="60"/>
      <c r="D123" s="60"/>
      <c r="E123" s="60"/>
      <c r="F123" s="58"/>
      <c r="G123" s="58"/>
      <c r="H123" s="81"/>
    </row>
    <row r="124" spans="1:8" x14ac:dyDescent="0.25">
      <c r="A124" s="19"/>
      <c r="B124" s="19"/>
      <c r="C124" s="60"/>
      <c r="D124" s="60"/>
      <c r="E124" s="60"/>
      <c r="F124" s="19"/>
      <c r="G124" s="19"/>
      <c r="H124" s="19"/>
    </row>
    <row r="125" spans="1:8" x14ac:dyDescent="0.25">
      <c r="A125" s="19"/>
      <c r="B125" s="19"/>
      <c r="C125" s="60"/>
      <c r="D125" s="60"/>
      <c r="E125" s="60"/>
      <c r="F125" s="58"/>
      <c r="G125" s="58"/>
      <c r="H125" s="81"/>
    </row>
    <row r="126" spans="1:8" x14ac:dyDescent="0.25">
      <c r="A126" s="19"/>
      <c r="B126" s="19"/>
      <c r="C126" s="60"/>
      <c r="D126" s="60"/>
      <c r="E126" s="60"/>
      <c r="F126" s="19"/>
      <c r="G126" s="19"/>
      <c r="H126" s="19"/>
    </row>
    <row r="127" spans="1:8" x14ac:dyDescent="0.25">
      <c r="A127" s="19"/>
      <c r="B127" s="19"/>
      <c r="C127" s="60"/>
      <c r="D127" s="60"/>
      <c r="E127" s="60"/>
      <c r="F127" s="58"/>
      <c r="G127" s="58"/>
      <c r="H127" s="81"/>
    </row>
    <row r="128" spans="1:8" x14ac:dyDescent="0.25">
      <c r="A128" s="19"/>
      <c r="B128" s="19"/>
      <c r="C128" s="19"/>
      <c r="D128" s="19"/>
      <c r="E128" s="19"/>
      <c r="F128" s="19"/>
      <c r="G128" s="19"/>
      <c r="H128" s="19"/>
    </row>
    <row r="129" spans="1:8" x14ac:dyDescent="0.25">
      <c r="A129" s="19"/>
      <c r="B129" s="19"/>
      <c r="C129" s="19"/>
      <c r="D129" s="19"/>
      <c r="E129" s="19"/>
      <c r="F129" s="19"/>
      <c r="G129" s="19"/>
      <c r="H129" s="81"/>
    </row>
    <row r="130" spans="1:8" x14ac:dyDescent="0.25">
      <c r="A130" s="19"/>
      <c r="B130" s="19"/>
      <c r="C130" s="19"/>
      <c r="D130" s="19"/>
      <c r="E130" s="19"/>
      <c r="F130" s="19"/>
      <c r="G130" s="19"/>
      <c r="H130" s="81"/>
    </row>
    <row r="131" spans="1:8" x14ac:dyDescent="0.25">
      <c r="A131" s="19"/>
      <c r="B131" s="19"/>
      <c r="C131" s="19"/>
      <c r="D131" s="19"/>
      <c r="E131" s="19"/>
      <c r="F131" s="19"/>
      <c r="G131" s="19"/>
      <c r="H131" s="81"/>
    </row>
    <row r="132" spans="1:8" x14ac:dyDescent="0.25">
      <c r="A132" s="19"/>
      <c r="B132" s="19"/>
      <c r="C132" s="19"/>
      <c r="D132" s="19"/>
      <c r="E132" s="19"/>
      <c r="F132" s="19"/>
      <c r="G132" s="19"/>
      <c r="H132" s="81"/>
    </row>
    <row r="133" spans="1:8" x14ac:dyDescent="0.25">
      <c r="A133" s="19"/>
      <c r="B133" s="19"/>
      <c r="C133" s="19"/>
      <c r="D133" s="19"/>
      <c r="E133" s="19"/>
      <c r="F133" s="19"/>
      <c r="G133" s="19"/>
      <c r="H133" s="81"/>
    </row>
    <row r="137" spans="1:8" x14ac:dyDescent="0.25">
      <c r="C137" s="82"/>
      <c r="D137" s="82"/>
      <c r="E137" s="82"/>
      <c r="F137" s="82"/>
      <c r="G137" s="82"/>
      <c r="H137" s="82"/>
    </row>
    <row r="138" spans="1:8" x14ac:dyDescent="0.25">
      <c r="C138" s="80"/>
      <c r="D138" s="80"/>
      <c r="E138" s="80"/>
      <c r="F138" s="80"/>
      <c r="G138" s="80"/>
      <c r="H138" s="80"/>
    </row>
    <row r="139" spans="1:8" x14ac:dyDescent="0.25">
      <c r="A139" s="19"/>
      <c r="B139" s="19"/>
      <c r="C139" s="59"/>
      <c r="D139" s="59"/>
      <c r="E139" s="59"/>
      <c r="F139" s="57"/>
      <c r="G139" s="57"/>
      <c r="H139" s="81"/>
    </row>
    <row r="140" spans="1:8" x14ac:dyDescent="0.25">
      <c r="A140" s="19"/>
      <c r="B140" s="19"/>
      <c r="C140" s="59"/>
      <c r="D140" s="59"/>
      <c r="E140" s="59"/>
      <c r="F140" s="57"/>
      <c r="G140" s="57"/>
      <c r="H140" s="81"/>
    </row>
    <row r="141" spans="1:8" x14ac:dyDescent="0.25">
      <c r="A141" s="19"/>
      <c r="B141" s="19"/>
      <c r="C141" s="59"/>
      <c r="D141" s="59"/>
      <c r="E141" s="59"/>
      <c r="F141" s="57"/>
      <c r="G141" s="57"/>
      <c r="H141" s="81"/>
    </row>
    <row r="142" spans="1:8" x14ac:dyDescent="0.25">
      <c r="A142" s="19"/>
      <c r="B142" s="19"/>
      <c r="C142" s="59"/>
      <c r="D142" s="59"/>
      <c r="E142" s="59"/>
      <c r="F142" s="57"/>
      <c r="G142" s="57"/>
      <c r="H142" s="81"/>
    </row>
    <row r="143" spans="1:8" x14ac:dyDescent="0.25">
      <c r="A143" s="19"/>
      <c r="B143" s="19"/>
      <c r="C143" s="59"/>
      <c r="D143" s="59"/>
      <c r="E143" s="59"/>
      <c r="F143" s="19"/>
      <c r="G143" s="19"/>
      <c r="H143" s="81"/>
    </row>
    <row r="144" spans="1:8" x14ac:dyDescent="0.25">
      <c r="A144" s="19"/>
      <c r="B144" s="19"/>
      <c r="C144" s="59"/>
      <c r="D144" s="59"/>
      <c r="E144" s="59"/>
      <c r="F144" s="19"/>
      <c r="G144" s="19"/>
      <c r="H144" s="81"/>
    </row>
    <row r="145" spans="1:8" x14ac:dyDescent="0.25">
      <c r="A145" s="19"/>
      <c r="B145" s="19"/>
      <c r="C145" s="60"/>
      <c r="D145" s="60"/>
      <c r="E145" s="60"/>
      <c r="F145" s="19"/>
      <c r="G145" s="19"/>
      <c r="H145" s="19"/>
    </row>
    <row r="146" spans="1:8" x14ac:dyDescent="0.25">
      <c r="A146" s="19"/>
      <c r="B146" s="19"/>
      <c r="C146" s="60"/>
      <c r="D146" s="60"/>
      <c r="E146" s="60"/>
      <c r="F146" s="58"/>
      <c r="G146" s="58"/>
      <c r="H146" s="81"/>
    </row>
    <row r="147" spans="1:8" x14ac:dyDescent="0.25">
      <c r="A147" s="19"/>
      <c r="B147" s="19"/>
      <c r="C147" s="60"/>
      <c r="D147" s="60"/>
      <c r="E147" s="60"/>
      <c r="F147" s="19"/>
      <c r="G147" s="19"/>
      <c r="H147" s="19"/>
    </row>
    <row r="148" spans="1:8" x14ac:dyDescent="0.25">
      <c r="A148" s="19"/>
      <c r="B148" s="19"/>
      <c r="C148" s="60"/>
      <c r="D148" s="60"/>
      <c r="E148" s="60"/>
      <c r="F148" s="58"/>
      <c r="G148" s="58"/>
      <c r="H148" s="81"/>
    </row>
    <row r="149" spans="1:8" x14ac:dyDescent="0.25">
      <c r="A149" s="19"/>
      <c r="B149" s="19"/>
      <c r="C149" s="60"/>
      <c r="D149" s="60"/>
      <c r="E149" s="60"/>
      <c r="F149" s="19"/>
      <c r="G149" s="19"/>
      <c r="H149" s="19"/>
    </row>
    <row r="150" spans="1:8" x14ac:dyDescent="0.25">
      <c r="A150" s="19"/>
      <c r="B150" s="19"/>
      <c r="C150" s="60"/>
      <c r="D150" s="60"/>
      <c r="E150" s="60"/>
      <c r="F150" s="58"/>
      <c r="G150" s="58"/>
      <c r="H150" s="81"/>
    </row>
    <row r="151" spans="1:8" x14ac:dyDescent="0.25">
      <c r="A151" s="19"/>
      <c r="B151" s="19"/>
      <c r="C151" s="19"/>
      <c r="D151" s="19"/>
      <c r="E151" s="19"/>
      <c r="F151" s="19"/>
      <c r="G151" s="19"/>
      <c r="H151" s="19"/>
    </row>
    <row r="152" spans="1:8" x14ac:dyDescent="0.25">
      <c r="A152" s="19"/>
      <c r="B152" s="19"/>
      <c r="C152" s="19"/>
      <c r="D152" s="19"/>
      <c r="E152" s="19"/>
      <c r="F152" s="19"/>
      <c r="G152" s="19"/>
      <c r="H152" s="81"/>
    </row>
    <row r="153" spans="1:8" x14ac:dyDescent="0.25">
      <c r="A153" s="19"/>
      <c r="B153" s="19"/>
      <c r="C153" s="19"/>
      <c r="D153" s="19"/>
      <c r="E153" s="19"/>
      <c r="F153" s="19"/>
      <c r="G153" s="19"/>
      <c r="H153" s="81"/>
    </row>
    <row r="154" spans="1:8" x14ac:dyDescent="0.25">
      <c r="A154" s="19"/>
      <c r="B154" s="19"/>
      <c r="C154" s="19"/>
      <c r="D154" s="19"/>
      <c r="E154" s="19"/>
      <c r="F154" s="19"/>
      <c r="G154" s="19"/>
      <c r="H154" s="81"/>
    </row>
    <row r="155" spans="1:8" x14ac:dyDescent="0.25">
      <c r="A155" s="19"/>
      <c r="B155" s="19"/>
      <c r="C155" s="19"/>
      <c r="D155" s="19"/>
      <c r="E155" s="19"/>
      <c r="F155" s="19"/>
      <c r="G155" s="19"/>
      <c r="H155" s="81"/>
    </row>
    <row r="156" spans="1:8" x14ac:dyDescent="0.25">
      <c r="A156" s="19"/>
      <c r="B156" s="19"/>
      <c r="C156" s="19"/>
      <c r="D156" s="19"/>
      <c r="E156" s="19"/>
      <c r="F156" s="19"/>
      <c r="G156" s="19"/>
      <c r="H156" s="81"/>
    </row>
    <row r="159" spans="1:8" ht="33" customHeight="1" x14ac:dyDescent="0.25">
      <c r="C159" s="82"/>
      <c r="D159" s="82"/>
      <c r="E159" s="82"/>
      <c r="F159" s="82"/>
      <c r="G159" s="82"/>
      <c r="H159" s="82"/>
    </row>
    <row r="160" spans="1:8" x14ac:dyDescent="0.25">
      <c r="C160" s="80"/>
      <c r="D160" s="80"/>
      <c r="E160" s="80"/>
      <c r="F160" s="80"/>
      <c r="G160" s="80"/>
      <c r="H160" s="80"/>
    </row>
    <row r="161" spans="1:8" x14ac:dyDescent="0.25">
      <c r="A161" s="19"/>
      <c r="B161" s="19"/>
      <c r="C161" s="59"/>
      <c r="D161" s="59"/>
      <c r="E161" s="59"/>
      <c r="F161" s="57"/>
      <c r="G161" s="57"/>
      <c r="H161" s="81"/>
    </row>
    <row r="162" spans="1:8" x14ac:dyDescent="0.25">
      <c r="A162" s="19"/>
      <c r="B162" s="19"/>
      <c r="C162" s="59"/>
      <c r="D162" s="59"/>
      <c r="E162" s="59"/>
      <c r="F162" s="57"/>
      <c r="G162" s="57"/>
      <c r="H162" s="81"/>
    </row>
    <row r="163" spans="1:8" x14ac:dyDescent="0.25">
      <c r="A163" s="19"/>
      <c r="B163" s="19"/>
      <c r="C163" s="59"/>
      <c r="D163" s="59"/>
      <c r="E163" s="59"/>
      <c r="F163" s="57"/>
      <c r="G163" s="57"/>
      <c r="H163" s="81"/>
    </row>
    <row r="164" spans="1:8" x14ac:dyDescent="0.25">
      <c r="A164" s="19"/>
      <c r="B164" s="19"/>
      <c r="C164" s="59"/>
      <c r="D164" s="59"/>
      <c r="E164" s="59"/>
      <c r="F164" s="57"/>
      <c r="G164" s="57"/>
      <c r="H164" s="81"/>
    </row>
    <row r="165" spans="1:8" x14ac:dyDescent="0.25">
      <c r="A165" s="19"/>
      <c r="B165" s="19"/>
      <c r="C165" s="59"/>
      <c r="D165" s="59"/>
      <c r="E165" s="59"/>
      <c r="F165" s="19"/>
      <c r="G165" s="19"/>
      <c r="H165" s="81"/>
    </row>
    <row r="166" spans="1:8" x14ac:dyDescent="0.25">
      <c r="A166" s="19"/>
      <c r="B166" s="19"/>
      <c r="C166" s="59"/>
      <c r="D166" s="59"/>
      <c r="E166" s="59"/>
      <c r="F166" s="19"/>
      <c r="G166" s="19"/>
      <c r="H166" s="81"/>
    </row>
    <row r="167" spans="1:8" x14ac:dyDescent="0.25">
      <c r="A167" s="19"/>
      <c r="B167" s="19"/>
      <c r="C167" s="59"/>
      <c r="D167" s="59"/>
      <c r="E167" s="59"/>
      <c r="F167" s="19"/>
      <c r="G167" s="19"/>
      <c r="H167" s="81"/>
    </row>
    <row r="168" spans="1:8" x14ac:dyDescent="0.25">
      <c r="B168" s="19"/>
      <c r="C168" s="59"/>
      <c r="D168" s="59"/>
      <c r="E168" s="59"/>
      <c r="H168" s="81"/>
    </row>
    <row r="170" spans="1:8" x14ac:dyDescent="0.25">
      <c r="A170" s="19"/>
      <c r="B170" s="19"/>
      <c r="C170" s="60"/>
      <c r="D170" s="60"/>
      <c r="E170" s="60"/>
      <c r="F170" s="58"/>
      <c r="G170" s="58"/>
      <c r="H170" s="81"/>
    </row>
    <row r="171" spans="1:8" x14ac:dyDescent="0.25">
      <c r="A171" s="19"/>
      <c r="B171" s="19"/>
      <c r="C171" s="60"/>
      <c r="D171" s="60"/>
      <c r="E171" s="60"/>
      <c r="F171" s="19"/>
      <c r="G171" s="19"/>
      <c r="H171" s="19"/>
    </row>
    <row r="172" spans="1:8" x14ac:dyDescent="0.25">
      <c r="A172" s="19"/>
      <c r="B172" s="19"/>
      <c r="C172" s="60"/>
      <c r="D172" s="60"/>
      <c r="E172" s="60"/>
      <c r="F172" s="58"/>
      <c r="G172" s="58"/>
      <c r="H172" s="81"/>
    </row>
    <row r="173" spans="1:8" x14ac:dyDescent="0.25">
      <c r="A173" s="19"/>
      <c r="B173" s="19"/>
      <c r="C173" s="60"/>
      <c r="D173" s="60"/>
      <c r="E173" s="60"/>
      <c r="F173" s="19"/>
      <c r="G173" s="19"/>
      <c r="H173" s="19"/>
    </row>
    <row r="174" spans="1:8" x14ac:dyDescent="0.25">
      <c r="A174" s="19"/>
      <c r="B174" s="19"/>
      <c r="C174" s="60"/>
      <c r="D174" s="60"/>
      <c r="E174" s="60"/>
      <c r="F174" s="58"/>
      <c r="G174" s="58"/>
      <c r="H174" s="81"/>
    </row>
    <row r="175" spans="1:8" x14ac:dyDescent="0.25">
      <c r="A175" s="19"/>
      <c r="B175" s="19"/>
      <c r="C175" s="19"/>
      <c r="D175" s="19"/>
      <c r="E175" s="19"/>
      <c r="F175" s="19"/>
      <c r="G175" s="19"/>
      <c r="H175" s="19"/>
    </row>
    <row r="176" spans="1:8" x14ac:dyDescent="0.25">
      <c r="A176" s="19"/>
      <c r="B176" s="19"/>
      <c r="C176" s="19"/>
      <c r="D176" s="19"/>
      <c r="E176" s="19"/>
      <c r="F176" s="19"/>
      <c r="G176" s="19"/>
      <c r="H176" s="81"/>
    </row>
    <row r="177" spans="1:8" x14ac:dyDescent="0.25">
      <c r="A177" s="19"/>
      <c r="B177" s="19"/>
      <c r="C177" s="19"/>
      <c r="D177" s="19"/>
      <c r="E177" s="19"/>
      <c r="F177" s="19"/>
      <c r="G177" s="19"/>
      <c r="H177" s="81"/>
    </row>
    <row r="178" spans="1:8" x14ac:dyDescent="0.25">
      <c r="A178" s="19"/>
      <c r="B178" s="19"/>
      <c r="C178" s="19"/>
      <c r="D178" s="19"/>
      <c r="E178" s="19"/>
      <c r="F178" s="19"/>
      <c r="G178" s="19"/>
      <c r="H178" s="81"/>
    </row>
    <row r="179" spans="1:8" x14ac:dyDescent="0.25">
      <c r="A179" s="19"/>
      <c r="B179" s="19"/>
      <c r="C179" s="19"/>
      <c r="D179" s="19"/>
      <c r="E179" s="19"/>
      <c r="F179" s="19"/>
      <c r="G179" s="19"/>
      <c r="H179" s="81"/>
    </row>
    <row r="180" spans="1:8" x14ac:dyDescent="0.25">
      <c r="A180" s="19"/>
      <c r="B180" s="19"/>
      <c r="C180" s="19"/>
      <c r="D180" s="19"/>
      <c r="E180" s="19"/>
      <c r="F180" s="19"/>
      <c r="G180" s="19"/>
      <c r="H180" s="81"/>
    </row>
    <row r="182" spans="1:8" ht="32.25" customHeight="1" x14ac:dyDescent="0.25">
      <c r="C182" s="82"/>
      <c r="D182" s="82"/>
      <c r="E182" s="82"/>
      <c r="F182" s="82"/>
      <c r="G182" s="82"/>
      <c r="H182" s="82"/>
    </row>
    <row r="183" spans="1:8" x14ac:dyDescent="0.25">
      <c r="C183" s="80"/>
      <c r="D183" s="80"/>
      <c r="E183" s="80"/>
      <c r="F183" s="80"/>
      <c r="G183" s="80"/>
      <c r="H183" s="80"/>
    </row>
    <row r="184" spans="1:8" x14ac:dyDescent="0.25">
      <c r="A184" s="19"/>
      <c r="B184" s="19"/>
      <c r="C184" s="59"/>
      <c r="D184" s="59"/>
      <c r="E184" s="59"/>
      <c r="F184" s="57"/>
      <c r="G184" s="57"/>
      <c r="H184" s="81"/>
    </row>
    <row r="185" spans="1:8" x14ac:dyDescent="0.25">
      <c r="A185" s="19"/>
      <c r="B185" s="19"/>
      <c r="C185" s="59"/>
      <c r="D185" s="59"/>
      <c r="E185" s="59"/>
      <c r="F185" s="57"/>
      <c r="G185" s="57"/>
      <c r="H185" s="81"/>
    </row>
    <row r="186" spans="1:8" x14ac:dyDescent="0.25">
      <c r="A186" s="19"/>
      <c r="B186" s="19"/>
      <c r="C186" s="59"/>
      <c r="D186" s="59"/>
      <c r="E186" s="59"/>
      <c r="F186" s="57"/>
      <c r="G186" s="57"/>
      <c r="H186" s="81"/>
    </row>
    <row r="187" spans="1:8" x14ac:dyDescent="0.25">
      <c r="A187" s="19"/>
      <c r="B187" s="19"/>
      <c r="C187" s="59"/>
      <c r="D187" s="59"/>
      <c r="E187" s="59"/>
      <c r="F187" s="57"/>
      <c r="G187" s="57"/>
      <c r="H187" s="81"/>
    </row>
    <row r="188" spans="1:8" x14ac:dyDescent="0.25">
      <c r="A188" s="19"/>
      <c r="B188" s="19"/>
      <c r="C188" s="59"/>
      <c r="D188" s="59"/>
      <c r="E188" s="59"/>
      <c r="F188" s="19"/>
      <c r="G188" s="19"/>
      <c r="H188" s="81"/>
    </row>
    <row r="189" spans="1:8" x14ac:dyDescent="0.25">
      <c r="A189" s="19"/>
      <c r="B189" s="19"/>
      <c r="C189" s="59"/>
      <c r="D189" s="59"/>
      <c r="E189" s="59"/>
      <c r="F189" s="19"/>
      <c r="G189" s="19"/>
      <c r="H189" s="81"/>
    </row>
    <row r="190" spans="1:8" x14ac:dyDescent="0.25">
      <c r="A190" s="19"/>
      <c r="B190" s="19"/>
      <c r="C190" s="59"/>
      <c r="D190" s="59"/>
      <c r="E190" s="59"/>
      <c r="F190" s="19"/>
      <c r="G190" s="19"/>
      <c r="H190" s="19"/>
    </row>
    <row r="191" spans="1:8" x14ac:dyDescent="0.25">
      <c r="C191" s="59"/>
      <c r="D191" s="59"/>
      <c r="E191" s="59"/>
    </row>
    <row r="193" spans="1:8" x14ac:dyDescent="0.25">
      <c r="A193" s="19"/>
      <c r="B193" s="19"/>
      <c r="C193" s="60"/>
      <c r="D193" s="60"/>
      <c r="E193" s="60"/>
      <c r="F193" s="58"/>
      <c r="G193" s="58"/>
      <c r="H193" s="81"/>
    </row>
    <row r="194" spans="1:8" x14ac:dyDescent="0.25">
      <c r="A194" s="19"/>
      <c r="B194" s="19"/>
      <c r="C194" s="60"/>
      <c r="D194" s="60"/>
      <c r="E194" s="60"/>
      <c r="F194" s="19"/>
      <c r="G194" s="19"/>
      <c r="H194" s="19"/>
    </row>
    <row r="195" spans="1:8" x14ac:dyDescent="0.25">
      <c r="A195" s="19"/>
      <c r="B195" s="19"/>
      <c r="C195" s="60"/>
      <c r="D195" s="60"/>
      <c r="E195" s="60"/>
      <c r="F195" s="58"/>
      <c r="G195" s="58"/>
      <c r="H195" s="81"/>
    </row>
    <row r="196" spans="1:8" x14ac:dyDescent="0.25">
      <c r="A196" s="19"/>
      <c r="B196" s="19"/>
      <c r="C196" s="60"/>
      <c r="D196" s="60"/>
      <c r="E196" s="60"/>
      <c r="F196" s="19"/>
      <c r="G196" s="19"/>
      <c r="H196" s="19"/>
    </row>
    <row r="197" spans="1:8" x14ac:dyDescent="0.25">
      <c r="A197" s="19"/>
      <c r="B197" s="19"/>
      <c r="C197" s="60"/>
      <c r="D197" s="60"/>
      <c r="E197" s="60"/>
      <c r="F197" s="58"/>
      <c r="G197" s="58"/>
      <c r="H197" s="81"/>
    </row>
    <row r="198" spans="1:8" x14ac:dyDescent="0.25">
      <c r="A198" s="19"/>
      <c r="B198" s="19"/>
      <c r="C198" s="19"/>
      <c r="D198" s="19"/>
      <c r="E198" s="19"/>
      <c r="F198" s="19"/>
      <c r="G198" s="19"/>
      <c r="H198" s="19"/>
    </row>
    <row r="199" spans="1:8" x14ac:dyDescent="0.25">
      <c r="A199" s="19"/>
      <c r="B199" s="19"/>
      <c r="C199" s="19"/>
      <c r="D199" s="19"/>
      <c r="E199" s="19"/>
      <c r="F199" s="19"/>
      <c r="G199" s="19"/>
      <c r="H199" s="81"/>
    </row>
    <row r="200" spans="1:8" x14ac:dyDescent="0.25">
      <c r="A200" s="19"/>
      <c r="B200" s="19"/>
      <c r="C200" s="19"/>
      <c r="D200" s="19"/>
      <c r="E200" s="19"/>
      <c r="F200" s="19"/>
      <c r="G200" s="19"/>
      <c r="H200" s="81"/>
    </row>
    <row r="201" spans="1:8" x14ac:dyDescent="0.25">
      <c r="A201" s="19"/>
      <c r="B201" s="19"/>
      <c r="C201" s="19"/>
      <c r="D201" s="19"/>
      <c r="E201" s="19"/>
      <c r="F201" s="19"/>
      <c r="G201" s="19"/>
      <c r="H201" s="81"/>
    </row>
    <row r="202" spans="1:8" x14ac:dyDescent="0.25">
      <c r="A202" s="19"/>
      <c r="B202" s="19"/>
      <c r="C202" s="19"/>
      <c r="D202" s="19"/>
      <c r="E202" s="19"/>
      <c r="F202" s="19"/>
      <c r="G202" s="19"/>
      <c r="H202" s="81"/>
    </row>
    <row r="203" spans="1:8" x14ac:dyDescent="0.25">
      <c r="A203" s="19"/>
      <c r="B203" s="19"/>
      <c r="C203" s="19"/>
      <c r="D203" s="19"/>
      <c r="E203" s="19"/>
      <c r="F203" s="19"/>
      <c r="G203" s="19"/>
      <c r="H203" s="81"/>
    </row>
  </sheetData>
  <mergeCells count="5">
    <mergeCell ref="C2:H2"/>
    <mergeCell ref="C116:H116"/>
    <mergeCell ref="C137:H137"/>
    <mergeCell ref="C159:H159"/>
    <mergeCell ref="C182:H18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6A630-5905-49B8-ACB1-C7C7CDB9D516}">
  <sheetPr>
    <tabColor rgb="FF92D050"/>
  </sheetPr>
  <dimension ref="A2:H108"/>
  <sheetViews>
    <sheetView topLeftCell="F85" zoomScale="145" zoomScaleNormal="145" workbookViewId="0">
      <selection activeCell="T43" sqref="T43"/>
    </sheetView>
  </sheetViews>
  <sheetFormatPr defaultRowHeight="15" x14ac:dyDescent="0.25"/>
  <cols>
    <col min="1" max="1" width="33.85546875" customWidth="1"/>
    <col min="2" max="2" width="37" customWidth="1"/>
    <col min="3" max="8" width="11.42578125" customWidth="1"/>
  </cols>
  <sheetData>
    <row r="2" spans="1:8" ht="30.75" customHeight="1" x14ac:dyDescent="0.25">
      <c r="C2" s="82" t="str">
        <f>+'CS 1 - Table 1-1 fmt'!A3</f>
        <v>Analysis (a) Olaparib for Recurrent BRCA-mutated population</v>
      </c>
      <c r="D2" s="82"/>
      <c r="E2" s="82"/>
      <c r="F2" s="82"/>
      <c r="G2" s="82"/>
      <c r="H2" s="82"/>
    </row>
    <row r="3" spans="1:8" ht="30" x14ac:dyDescent="0.25">
      <c r="C3" s="56" t="s">
        <v>201</v>
      </c>
      <c r="D3" s="56" t="s">
        <v>154</v>
      </c>
      <c r="E3" s="56" t="s">
        <v>155</v>
      </c>
      <c r="F3" s="56" t="s">
        <v>206</v>
      </c>
      <c r="G3" s="56" t="s">
        <v>207</v>
      </c>
      <c r="H3" s="56" t="s">
        <v>202</v>
      </c>
    </row>
    <row r="4" spans="1:8" x14ac:dyDescent="0.25">
      <c r="A4" s="19" t="s">
        <v>203</v>
      </c>
      <c r="B4" s="19" t="str">
        <f>+'CS 1 - Table 1-1 fmt'!A4</f>
        <v>Prog disease on Olaparib</v>
      </c>
      <c r="C4" s="59">
        <f>+'CS 1 - Table 1-1 fmt'!E4</f>
        <v>146</v>
      </c>
      <c r="D4" s="59">
        <f>+'CS 1 - Table 1-1 fmt'!J4</f>
        <v>121</v>
      </c>
      <c r="E4" s="59">
        <f>+'CS 1 - Table 1-1 fmt'!K4</f>
        <v>146</v>
      </c>
      <c r="F4" s="57"/>
      <c r="G4" s="57"/>
      <c r="H4" s="79">
        <f>+H5+0.25</f>
        <v>1.375</v>
      </c>
    </row>
    <row r="5" spans="1:8" x14ac:dyDescent="0.25">
      <c r="A5" s="19"/>
      <c r="B5" s="19" t="str">
        <f>+'CS 1 - Table 1-1 fmt'!A5</f>
        <v>Prog disease on PLD+C</v>
      </c>
      <c r="C5" s="59">
        <f>+'CS 1 - Table 1-1 fmt'!E5</f>
        <v>146</v>
      </c>
      <c r="D5" s="59">
        <f>+'CS 1 - Table 1-1 fmt'!J5</f>
        <v>139</v>
      </c>
      <c r="E5" s="59">
        <f>+'CS 1 - Table 1-1 fmt'!K5</f>
        <v>146</v>
      </c>
      <c r="F5" s="57"/>
      <c r="G5" s="57"/>
      <c r="H5" s="79">
        <f>+H6+0.25</f>
        <v>1.125</v>
      </c>
    </row>
    <row r="6" spans="1:8" x14ac:dyDescent="0.25">
      <c r="A6" s="19"/>
      <c r="B6" s="19" t="str">
        <f>+'CS 1 - Table 1-1 fmt'!A6</f>
        <v>Prog-free disease on Olaparib</v>
      </c>
      <c r="C6" s="59">
        <f>+'CS 1 - Table 1-1 fmt'!E6</f>
        <v>146</v>
      </c>
      <c r="D6" s="59">
        <f>+'CS 1 - Table 1-1 fmt'!J6</f>
        <v>139</v>
      </c>
      <c r="E6" s="59">
        <f>+'CS 1 - Table 1-1 fmt'!K6</f>
        <v>128</v>
      </c>
      <c r="F6" s="57"/>
      <c r="G6" s="57"/>
      <c r="H6" s="50">
        <f>+H7+0.25</f>
        <v>0.875</v>
      </c>
    </row>
    <row r="7" spans="1:8" x14ac:dyDescent="0.25">
      <c r="A7" s="19"/>
      <c r="B7" s="19" t="str">
        <f>+'CS 1 - Table 1-1 fmt'!A7</f>
        <v xml:space="preserve">Prog-free disease on PLD+C  </v>
      </c>
      <c r="C7" s="59">
        <f>+'CS 1 - Table 1-1 fmt'!E7</f>
        <v>146</v>
      </c>
      <c r="D7" s="59">
        <f>+'CS 1 - Table 1-1 fmt'!J7</f>
        <v>139</v>
      </c>
      <c r="E7" s="59">
        <f>+'CS 1 - Table 1-1 fmt'!K7</f>
        <v>125</v>
      </c>
      <c r="F7" s="57"/>
      <c r="G7" s="57"/>
      <c r="H7" s="50">
        <v>0.625</v>
      </c>
    </row>
    <row r="8" spans="1:8" x14ac:dyDescent="0.25">
      <c r="A8" s="19"/>
      <c r="B8" s="19"/>
      <c r="C8" s="60"/>
      <c r="D8" s="60"/>
      <c r="E8" s="60"/>
      <c r="F8" s="19"/>
      <c r="G8" s="19"/>
      <c r="H8" s="19"/>
    </row>
    <row r="9" spans="1:8" x14ac:dyDescent="0.25">
      <c r="A9" s="19" t="s">
        <v>204</v>
      </c>
      <c r="B9" s="19"/>
      <c r="C9" s="60">
        <f>+'CS 1 - Table 1-2'!F4</f>
        <v>146</v>
      </c>
      <c r="D9" s="60">
        <f>+'CS 1 - Table 1-2'!F4</f>
        <v>146</v>
      </c>
      <c r="E9" s="60">
        <f>+'CS 1 - Table 1-2'!F4</f>
        <v>146</v>
      </c>
      <c r="F9" s="58"/>
      <c r="G9" s="58"/>
      <c r="H9" s="49">
        <v>2.5</v>
      </c>
    </row>
    <row r="10" spans="1:8" x14ac:dyDescent="0.25">
      <c r="A10" s="19"/>
      <c r="B10" s="19"/>
      <c r="C10" s="60"/>
      <c r="D10" s="60"/>
      <c r="E10" s="60"/>
      <c r="F10" s="19"/>
      <c r="G10" s="19"/>
      <c r="H10" s="19"/>
    </row>
    <row r="11" spans="1:8" x14ac:dyDescent="0.25">
      <c r="A11" s="19" t="s">
        <v>205</v>
      </c>
      <c r="B11" s="19"/>
      <c r="C11" s="60">
        <f>+'CS 1 - Table 1-3 fmt'!E4</f>
        <v>146</v>
      </c>
      <c r="D11" s="60">
        <f>+'CS 1 - Table 1-3 fmt'!J4</f>
        <v>146</v>
      </c>
      <c r="E11" s="60">
        <f>+'CS 1 - Table 1-3 fmt'!K4</f>
        <v>152</v>
      </c>
      <c r="F11" s="58"/>
      <c r="G11" s="58"/>
      <c r="H11" s="49">
        <f>+H9+1</f>
        <v>3.5</v>
      </c>
    </row>
    <row r="12" spans="1:8" x14ac:dyDescent="0.25">
      <c r="A12" s="19"/>
      <c r="B12" s="19"/>
      <c r="C12" s="60"/>
      <c r="D12" s="60"/>
      <c r="E12" s="60"/>
      <c r="F12" s="19"/>
      <c r="G12" s="19"/>
      <c r="H12" s="19"/>
    </row>
    <row r="13" spans="1:8" x14ac:dyDescent="0.25">
      <c r="A13" s="19" t="str">
        <f>+'CS 1 - Table 1-4 fmt'!A4</f>
        <v>Neutropenia - Adverse event cost</v>
      </c>
      <c r="B13" s="19"/>
      <c r="C13" s="60">
        <f>+'CS 1 - Table 1-4 fmt'!E4</f>
        <v>146</v>
      </c>
      <c r="D13" s="60">
        <f>+'CS 1 - Table 1-4 fmt'!J4</f>
        <v>123</v>
      </c>
      <c r="E13" s="60">
        <f>+'CS 1 - Table 1-4 fmt'!K4</f>
        <v>126</v>
      </c>
      <c r="F13" s="58"/>
      <c r="G13" s="58"/>
      <c r="H13" s="49">
        <f>+H11+1</f>
        <v>4.5</v>
      </c>
    </row>
    <row r="14" spans="1:8" x14ac:dyDescent="0.25">
      <c r="A14" s="19"/>
      <c r="B14" s="19"/>
      <c r="C14" s="19"/>
      <c r="D14" s="19"/>
      <c r="E14" s="19"/>
      <c r="F14" s="19"/>
      <c r="G14" s="19"/>
      <c r="H14" s="19"/>
    </row>
    <row r="15" spans="1:8" x14ac:dyDescent="0.25">
      <c r="A15" s="19"/>
      <c r="B15" s="19"/>
      <c r="C15" s="19"/>
      <c r="D15" s="19"/>
      <c r="E15" s="19"/>
      <c r="F15" s="19">
        <v>100</v>
      </c>
      <c r="G15" s="19"/>
      <c r="H15" s="19">
        <v>0</v>
      </c>
    </row>
    <row r="16" spans="1:8" x14ac:dyDescent="0.25">
      <c r="A16" s="19"/>
      <c r="B16" s="19"/>
      <c r="C16" s="19"/>
      <c r="D16" s="19"/>
      <c r="E16" s="19"/>
      <c r="F16" s="19">
        <v>100</v>
      </c>
      <c r="G16" s="19"/>
      <c r="H16" s="19">
        <v>5</v>
      </c>
    </row>
    <row r="17" spans="1:8" x14ac:dyDescent="0.25">
      <c r="A17" s="19"/>
      <c r="B17" s="19"/>
      <c r="C17" s="19"/>
      <c r="D17" s="19"/>
      <c r="E17" s="19"/>
      <c r="F17" s="19"/>
      <c r="G17" s="19"/>
      <c r="H17" s="19"/>
    </row>
    <row r="18" spans="1:8" x14ac:dyDescent="0.25">
      <c r="A18" s="19"/>
      <c r="B18" s="19"/>
      <c r="C18" s="19"/>
      <c r="D18" s="19"/>
      <c r="E18" s="19"/>
      <c r="F18" s="19"/>
      <c r="G18" s="19">
        <v>150</v>
      </c>
      <c r="H18" s="19">
        <v>0</v>
      </c>
    </row>
    <row r="19" spans="1:8" x14ac:dyDescent="0.25">
      <c r="A19" s="19"/>
      <c r="B19" s="19"/>
      <c r="C19" s="19"/>
      <c r="D19" s="19"/>
      <c r="E19" s="19"/>
      <c r="F19" s="19"/>
      <c r="G19" s="19">
        <v>150</v>
      </c>
      <c r="H19" s="19">
        <v>5</v>
      </c>
    </row>
    <row r="20" spans="1:8" x14ac:dyDescent="0.25">
      <c r="A20" s="19"/>
      <c r="B20" s="19"/>
      <c r="C20" s="19"/>
      <c r="D20" s="19"/>
      <c r="E20" s="19"/>
      <c r="F20" s="19"/>
      <c r="G20" s="19"/>
      <c r="H20" s="19"/>
    </row>
    <row r="21" spans="1:8" x14ac:dyDescent="0.25">
      <c r="C21" s="82" t="str">
        <f>+'CS 1 - Table 1-1 fmt'!A8</f>
        <v>Analysis (b) Rucaparib  in Recurrent BRCA-Mutated Population</v>
      </c>
      <c r="D21" s="82"/>
      <c r="E21" s="82"/>
      <c r="F21" s="82"/>
      <c r="G21" s="82"/>
      <c r="H21" s="82"/>
    </row>
    <row r="22" spans="1:8" ht="30" x14ac:dyDescent="0.25">
      <c r="C22" s="56" t="s">
        <v>201</v>
      </c>
      <c r="D22" s="56" t="s">
        <v>154</v>
      </c>
      <c r="E22" s="56" t="s">
        <v>155</v>
      </c>
      <c r="F22" s="56" t="s">
        <v>206</v>
      </c>
      <c r="G22" s="56" t="s">
        <v>207</v>
      </c>
      <c r="H22" s="56" t="s">
        <v>202</v>
      </c>
    </row>
    <row r="23" spans="1:8" x14ac:dyDescent="0.25">
      <c r="A23" s="19" t="s">
        <v>203</v>
      </c>
      <c r="B23" s="19" t="str">
        <f>+'CS 1 - Table 1-1 fmt'!A9</f>
        <v>Prog disease on Rucaparib</v>
      </c>
      <c r="C23" s="59">
        <f>+'CS 1 - Table 1-1 fmt'!E9</f>
        <v>295</v>
      </c>
      <c r="D23" s="59">
        <f>+'CS 1 - Table 1-1 fmt'!J9</f>
        <v>233</v>
      </c>
      <c r="E23" s="59">
        <f>+'CS 1 - Table 1-1 fmt'!K9</f>
        <v>244</v>
      </c>
      <c r="F23" s="57"/>
      <c r="G23" s="57"/>
      <c r="H23" s="79">
        <f>+H24+0.25</f>
        <v>1.375</v>
      </c>
    </row>
    <row r="24" spans="1:8" x14ac:dyDescent="0.25">
      <c r="A24" s="19"/>
      <c r="B24" s="19" t="str">
        <f>+'CS 1 - Table 1-1 fmt'!A10</f>
        <v>Prog disease on PLD+C</v>
      </c>
      <c r="C24" s="59">
        <f>+'CS 1 - Table 1-1 fmt'!E10</f>
        <v>295</v>
      </c>
      <c r="D24" s="59">
        <f>+'CS 1 - Table 1-1 fmt'!J10</f>
        <v>266</v>
      </c>
      <c r="E24" s="59">
        <f>+'CS 1 - Table 1-1 fmt'!K10</f>
        <v>295</v>
      </c>
      <c r="F24" s="57"/>
      <c r="G24" s="57"/>
      <c r="H24" s="79">
        <f>+H25+0.25</f>
        <v>1.125</v>
      </c>
    </row>
    <row r="25" spans="1:8" x14ac:dyDescent="0.25">
      <c r="A25" s="19"/>
      <c r="B25" s="19" t="str">
        <f>+'CS 1 - Table 1-1 fmt'!A11</f>
        <v>Prog-free disease on Rucaparib</v>
      </c>
      <c r="C25" s="59">
        <f>+'CS 1 - Table 1-1 fmt'!E11</f>
        <v>295</v>
      </c>
      <c r="D25" s="59">
        <f>+'CS 1 - Table 1-1 fmt'!J11</f>
        <v>268</v>
      </c>
      <c r="E25" s="59">
        <f>+'CS 1 - Table 1-1 fmt'!K11</f>
        <v>239</v>
      </c>
      <c r="F25" s="57"/>
      <c r="G25" s="57"/>
      <c r="H25" s="50">
        <f>+H26+0.25</f>
        <v>0.875</v>
      </c>
    </row>
    <row r="26" spans="1:8" x14ac:dyDescent="0.25">
      <c r="A26" s="19"/>
      <c r="B26" s="19" t="str">
        <f>+'CS 1 - Table 1-1 fmt'!A12</f>
        <v xml:space="preserve">Prog-free disease on PLD+C  </v>
      </c>
      <c r="C26" s="59">
        <f>+'CS 1 - Table 1-1 fmt'!E12</f>
        <v>295</v>
      </c>
      <c r="D26" s="59">
        <f>+'CS 1 - Table 1-1 fmt'!J12</f>
        <v>277</v>
      </c>
      <c r="E26" s="59">
        <f>+'CS 1 - Table 1-1 fmt'!K12</f>
        <v>242</v>
      </c>
      <c r="F26" s="57"/>
      <c r="G26" s="57"/>
      <c r="H26" s="50">
        <v>0.625</v>
      </c>
    </row>
    <row r="27" spans="1:8" x14ac:dyDescent="0.25">
      <c r="A27" s="19"/>
      <c r="B27" s="19"/>
      <c r="C27" s="60"/>
      <c r="D27" s="60"/>
      <c r="E27" s="60"/>
      <c r="F27" s="19"/>
      <c r="G27" s="19"/>
      <c r="H27" s="19"/>
    </row>
    <row r="28" spans="1:8" x14ac:dyDescent="0.25">
      <c r="A28" s="19" t="s">
        <v>204</v>
      </c>
      <c r="B28" s="19"/>
      <c r="C28" s="60">
        <f>+'CS 1 - Table 1-2'!F5</f>
        <v>295</v>
      </c>
      <c r="D28" s="60">
        <f>+'CS 1 - Table 1-2'!F5</f>
        <v>295</v>
      </c>
      <c r="E28" s="60">
        <f>+'CS 1 - Table 1-2'!H5</f>
        <v>156</v>
      </c>
      <c r="F28" s="58"/>
      <c r="G28" s="58"/>
      <c r="H28" s="49">
        <v>2.5</v>
      </c>
    </row>
    <row r="29" spans="1:8" x14ac:dyDescent="0.25">
      <c r="A29" s="19"/>
      <c r="B29" s="19"/>
      <c r="C29" s="60"/>
      <c r="D29" s="60"/>
      <c r="E29" s="60"/>
      <c r="F29" s="19"/>
      <c r="G29" s="19"/>
      <c r="H29" s="19"/>
    </row>
    <row r="30" spans="1:8" x14ac:dyDescent="0.25">
      <c r="A30" s="19" t="s">
        <v>205</v>
      </c>
      <c r="B30" s="19"/>
      <c r="C30" s="60">
        <f>+'CS 1 - Table 1-3 fmt'!E6</f>
        <v>295</v>
      </c>
      <c r="D30" s="60">
        <f>+'CS 1 - Table 1-3 fmt'!J6</f>
        <v>298</v>
      </c>
      <c r="E30" s="60"/>
      <c r="F30" s="58"/>
      <c r="G30" s="58"/>
      <c r="H30" s="49">
        <v>3.5</v>
      </c>
    </row>
    <row r="31" spans="1:8" x14ac:dyDescent="0.25">
      <c r="A31" s="19"/>
      <c r="B31" s="19"/>
      <c r="C31" s="60"/>
      <c r="D31" s="60"/>
      <c r="E31" s="60"/>
      <c r="F31" s="19"/>
      <c r="G31" s="19"/>
      <c r="H31" s="19"/>
    </row>
    <row r="32" spans="1:8" x14ac:dyDescent="0.25">
      <c r="A32" s="19" t="str">
        <f>+'CS 1 - Table 1-4 fmt'!A4</f>
        <v>Neutropenia - Adverse event cost</v>
      </c>
      <c r="B32" s="19"/>
      <c r="C32" s="60">
        <f>+'CS 1 - Table 1-4 fmt'!E6</f>
        <v>295</v>
      </c>
      <c r="D32" s="60">
        <f>+'CS 1 - Table 1-4 fmt'!J6</f>
        <v>268</v>
      </c>
      <c r="E32" s="60">
        <f>+'CS 1 - Table 1-4 fmt'!K6</f>
        <v>271</v>
      </c>
      <c r="F32" s="58"/>
      <c r="G32" s="58"/>
      <c r="H32" s="49">
        <v>4.5</v>
      </c>
    </row>
    <row r="33" spans="1:8" x14ac:dyDescent="0.25">
      <c r="A33" s="19"/>
      <c r="B33" s="19"/>
      <c r="C33" s="19"/>
      <c r="D33" s="19"/>
      <c r="E33" s="19"/>
      <c r="F33" s="19"/>
      <c r="G33" s="19"/>
      <c r="H33" s="19"/>
    </row>
    <row r="34" spans="1:8" x14ac:dyDescent="0.25">
      <c r="A34" s="19"/>
      <c r="B34" s="19"/>
      <c r="C34" s="19"/>
      <c r="D34" s="19"/>
      <c r="E34" s="19"/>
      <c r="F34" s="19">
        <v>100</v>
      </c>
      <c r="G34" s="19"/>
      <c r="H34" s="49">
        <v>0</v>
      </c>
    </row>
    <row r="35" spans="1:8" x14ac:dyDescent="0.25">
      <c r="A35" s="19"/>
      <c r="B35" s="19"/>
      <c r="C35" s="19"/>
      <c r="D35" s="19"/>
      <c r="E35" s="19"/>
      <c r="F35" s="19">
        <v>100</v>
      </c>
      <c r="G35" s="19"/>
      <c r="H35" s="49">
        <v>5</v>
      </c>
    </row>
    <row r="36" spans="1:8" x14ac:dyDescent="0.25">
      <c r="A36" s="19"/>
      <c r="B36" s="19"/>
      <c r="C36" s="19"/>
      <c r="D36" s="19"/>
      <c r="E36" s="19"/>
      <c r="F36" s="19"/>
      <c r="G36" s="19"/>
      <c r="H36" s="49"/>
    </row>
    <row r="37" spans="1:8" x14ac:dyDescent="0.25">
      <c r="A37" s="19"/>
      <c r="B37" s="19"/>
      <c r="C37" s="19"/>
      <c r="D37" s="19"/>
      <c r="E37" s="19"/>
      <c r="F37" s="19"/>
      <c r="G37" s="19">
        <v>150</v>
      </c>
      <c r="H37" s="49">
        <v>0</v>
      </c>
    </row>
    <row r="38" spans="1:8" x14ac:dyDescent="0.25">
      <c r="A38" s="19"/>
      <c r="B38" s="19"/>
      <c r="C38" s="19"/>
      <c r="D38" s="19"/>
      <c r="E38" s="19"/>
      <c r="F38" s="19"/>
      <c r="G38" s="19">
        <v>150</v>
      </c>
      <c r="H38" s="49">
        <v>5</v>
      </c>
    </row>
    <row r="42" spans="1:8" x14ac:dyDescent="0.25">
      <c r="C42" s="82" t="str">
        <f>+'CS 1 - Table 1-1 fmt'!A13</f>
        <v>Analysis (c) Niraparib for Maintenance therapy for platinum-sensitive disease</v>
      </c>
      <c r="D42" s="82"/>
      <c r="E42" s="82"/>
      <c r="F42" s="82"/>
      <c r="G42" s="82"/>
      <c r="H42" s="82"/>
    </row>
    <row r="43" spans="1:8" ht="30" x14ac:dyDescent="0.25">
      <c r="C43" s="56" t="s">
        <v>201</v>
      </c>
      <c r="D43" s="56" t="s">
        <v>154</v>
      </c>
      <c r="E43" s="56" t="s">
        <v>155</v>
      </c>
      <c r="F43" s="56" t="s">
        <v>206</v>
      </c>
      <c r="G43" s="56" t="s">
        <v>207</v>
      </c>
      <c r="H43" s="56" t="s">
        <v>202</v>
      </c>
    </row>
    <row r="44" spans="1:8" x14ac:dyDescent="0.25">
      <c r="A44" s="19" t="s">
        <v>203</v>
      </c>
      <c r="B44" s="19" t="str">
        <f>+'CS 1 - Table 1-1 fmt'!A14</f>
        <v>Prog disease on Niraporib/placebo</v>
      </c>
      <c r="C44" s="59">
        <f>+'CS 1 - Table 1-1 fmt'!E14</f>
        <v>291</v>
      </c>
      <c r="D44" s="59">
        <f>+'CS 1 - Table 1-1 fmt'!J14</f>
        <v>0</v>
      </c>
      <c r="E44" s="59">
        <f>+'CS 1 - Table 1-1 fmt'!K14</f>
        <v>98</v>
      </c>
      <c r="F44" s="57"/>
      <c r="G44" s="57"/>
      <c r="H44" s="79">
        <f>+H45+0.25</f>
        <v>1.583</v>
      </c>
    </row>
    <row r="45" spans="1:8" x14ac:dyDescent="0.25">
      <c r="A45" s="19"/>
      <c r="B45" s="19" t="str">
        <f>+'CS 1 - Table 1-1 fmt'!A15</f>
        <v>Prog disease on Niraparib</v>
      </c>
      <c r="C45" s="59">
        <f>+'CS 1 - Table 1-1 fmt'!E15</f>
        <v>291</v>
      </c>
      <c r="D45" s="59">
        <f>+'CS 1 - Table 1-1 fmt'!J15</f>
        <v>89</v>
      </c>
      <c r="E45" s="59">
        <f>+'CS 1 - Table 1-1 fmt'!K15</f>
        <v>171</v>
      </c>
      <c r="F45" s="57"/>
      <c r="G45" s="57"/>
      <c r="H45" s="79">
        <f>+H46+0.25</f>
        <v>1.333</v>
      </c>
    </row>
    <row r="46" spans="1:8" x14ac:dyDescent="0.25">
      <c r="A46" s="19"/>
      <c r="B46" s="19" t="str">
        <f>+'CS 1 - Table 1-1 fmt'!A16</f>
        <v>Prog-free disease on Niraparib</v>
      </c>
      <c r="C46" s="59">
        <f>+'CS 1 - Table 1-1 fmt'!E16</f>
        <v>291</v>
      </c>
      <c r="D46" s="59">
        <f>+'CS 1 - Table 1-1 fmt'!J16</f>
        <v>267</v>
      </c>
      <c r="E46" s="59">
        <f>+'CS 1 - Table 1-1 fmt'!K16</f>
        <v>238</v>
      </c>
      <c r="F46" s="57"/>
      <c r="G46" s="57"/>
      <c r="H46" s="79">
        <f>+H47+0.25</f>
        <v>1.083</v>
      </c>
    </row>
    <row r="47" spans="1:8" x14ac:dyDescent="0.25">
      <c r="A47" s="19"/>
      <c r="B47" s="19" t="str">
        <f>+'CS 1 - Table 1-1 fmt'!A17</f>
        <v>Prog-free disease off Niraparib</v>
      </c>
      <c r="C47" s="59">
        <f>+'CS 1 - Table 1-1 fmt'!E17</f>
        <v>291</v>
      </c>
      <c r="D47" s="59">
        <f>+'CS 1 - Table 1-1 fmt'!J17</f>
        <v>295</v>
      </c>
      <c r="E47" s="59">
        <f>+'CS 1 - Table 1-1 fmt'!K17</f>
        <v>295</v>
      </c>
      <c r="F47" s="57"/>
      <c r="G47" s="57"/>
      <c r="H47" s="79">
        <f>+H48+0.25</f>
        <v>0.83299999999999996</v>
      </c>
    </row>
    <row r="48" spans="1:8" x14ac:dyDescent="0.25">
      <c r="A48" s="19"/>
      <c r="B48" s="19" t="str">
        <f>+'CS 1 - Table 1-1 fmt'!A18</f>
        <v>Prog-free disease on Niraparib/placebo</v>
      </c>
      <c r="C48" s="59">
        <f>+'CS 1 - Table 1-1 fmt'!E18</f>
        <v>291</v>
      </c>
      <c r="D48" s="59">
        <f>+'CS 1 - Table 1-1 fmt'!J18</f>
        <v>267</v>
      </c>
      <c r="E48" s="59">
        <f>+'CS 1 - Table 1-1 fmt'!K18</f>
        <v>238</v>
      </c>
      <c r="F48" s="19"/>
      <c r="G48" s="19"/>
      <c r="H48" s="50">
        <f>+H49+0.25</f>
        <v>0.58299999999999996</v>
      </c>
    </row>
    <row r="49" spans="1:8" x14ac:dyDescent="0.25">
      <c r="A49" s="19"/>
      <c r="B49" s="19" t="str">
        <f>+'CS 1 - Table 1-1 fmt'!A19</f>
        <v>Prog-free disease off Niraparib/placebo</v>
      </c>
      <c r="C49" s="59">
        <f>+'CS 1 - Table 1-1 fmt'!E19</f>
        <v>291</v>
      </c>
      <c r="D49" s="59">
        <f>+'CS 1 - Table 1-1 fmt'!J19</f>
        <v>292</v>
      </c>
      <c r="E49" s="59">
        <f>+'CS 1 - Table 1-1 fmt'!K19</f>
        <v>292</v>
      </c>
      <c r="F49" s="19"/>
      <c r="G49" s="19"/>
      <c r="H49" s="50">
        <v>0.33300000000000002</v>
      </c>
    </row>
    <row r="50" spans="1:8" x14ac:dyDescent="0.25">
      <c r="A50" s="19"/>
      <c r="B50" s="19"/>
      <c r="C50" s="60"/>
      <c r="D50" s="60"/>
      <c r="E50" s="60"/>
      <c r="F50" s="19"/>
      <c r="G50" s="19"/>
      <c r="H50" s="19"/>
    </row>
    <row r="51" spans="1:8" x14ac:dyDescent="0.25">
      <c r="A51" s="19" t="s">
        <v>204</v>
      </c>
      <c r="B51" s="19"/>
      <c r="C51" s="60">
        <f>+'CS 1 - Table 1-2'!F7</f>
        <v>291</v>
      </c>
      <c r="D51" s="60">
        <f>+'CS 1 - Table 1-2'!F7</f>
        <v>291</v>
      </c>
      <c r="E51" s="60">
        <f>+'CS 1 - Table 1-2'!H7</f>
        <v>117</v>
      </c>
      <c r="F51" s="58"/>
      <c r="G51" s="58"/>
      <c r="H51" s="49">
        <v>2.5</v>
      </c>
    </row>
    <row r="52" spans="1:8" x14ac:dyDescent="0.25">
      <c r="A52" s="19"/>
      <c r="B52" s="19"/>
      <c r="C52" s="60"/>
      <c r="D52" s="60"/>
      <c r="E52" s="60"/>
      <c r="F52" s="19"/>
      <c r="G52" s="19"/>
      <c r="H52" s="19"/>
    </row>
    <row r="53" spans="1:8" x14ac:dyDescent="0.25">
      <c r="A53" s="19" t="s">
        <v>205</v>
      </c>
      <c r="B53" s="19"/>
      <c r="C53" s="60"/>
      <c r="D53" s="60"/>
      <c r="E53" s="60"/>
      <c r="F53" s="58"/>
      <c r="G53" s="58"/>
      <c r="H53" s="49">
        <f>+H51+1</f>
        <v>3.5</v>
      </c>
    </row>
    <row r="54" spans="1:8" x14ac:dyDescent="0.25">
      <c r="A54" s="19"/>
      <c r="B54" s="19"/>
      <c r="C54" s="60"/>
      <c r="D54" s="60"/>
      <c r="E54" s="60"/>
      <c r="F54" s="19"/>
      <c r="G54" s="19"/>
      <c r="H54" s="19"/>
    </row>
    <row r="55" spans="1:8" x14ac:dyDescent="0.25">
      <c r="A55" s="19" t="s">
        <v>72</v>
      </c>
      <c r="B55" s="19"/>
      <c r="C55" s="60">
        <f>+'CS 1 - Table 1-4 fmt'!E8</f>
        <v>291</v>
      </c>
      <c r="D55" s="60">
        <f>+'CS 1 - Table 1-4 fmt'!J8</f>
        <v>291</v>
      </c>
      <c r="E55" s="60">
        <f>+'CS 1 - Table 1-4 fmt'!K8</f>
        <v>292</v>
      </c>
      <c r="F55" s="58"/>
      <c r="G55" s="58"/>
      <c r="H55" s="49">
        <f>+H53+1</f>
        <v>4.5</v>
      </c>
    </row>
    <row r="56" spans="1:8" x14ac:dyDescent="0.25">
      <c r="A56" s="19"/>
      <c r="B56" s="19"/>
      <c r="C56" s="19"/>
      <c r="D56" s="19"/>
      <c r="E56" s="19"/>
      <c r="F56" s="19"/>
      <c r="G56" s="19"/>
      <c r="H56" s="19"/>
    </row>
    <row r="57" spans="1:8" x14ac:dyDescent="0.25">
      <c r="A57" s="19"/>
      <c r="B57" s="19"/>
      <c r="C57" s="19"/>
      <c r="D57" s="19"/>
      <c r="E57" s="19"/>
      <c r="F57" s="19">
        <v>100</v>
      </c>
      <c r="G57" s="19"/>
      <c r="H57" s="49">
        <v>0</v>
      </c>
    </row>
    <row r="58" spans="1:8" x14ac:dyDescent="0.25">
      <c r="A58" s="19"/>
      <c r="B58" s="19"/>
      <c r="C58" s="19"/>
      <c r="D58" s="19"/>
      <c r="E58" s="19"/>
      <c r="F58" s="19">
        <v>100</v>
      </c>
      <c r="G58" s="19"/>
      <c r="H58" s="49">
        <v>6</v>
      </c>
    </row>
    <row r="59" spans="1:8" x14ac:dyDescent="0.25">
      <c r="A59" s="19"/>
      <c r="B59" s="19"/>
      <c r="C59" s="19"/>
      <c r="D59" s="19"/>
      <c r="E59" s="19"/>
      <c r="F59" s="19"/>
      <c r="G59" s="19"/>
      <c r="H59" s="49"/>
    </row>
    <row r="60" spans="1:8" x14ac:dyDescent="0.25">
      <c r="A60" s="19"/>
      <c r="B60" s="19"/>
      <c r="C60" s="19"/>
      <c r="D60" s="19"/>
      <c r="E60" s="19"/>
      <c r="F60" s="19"/>
      <c r="G60" s="19">
        <v>150</v>
      </c>
      <c r="H60" s="49">
        <v>0</v>
      </c>
    </row>
    <row r="61" spans="1:8" x14ac:dyDescent="0.25">
      <c r="A61" s="19"/>
      <c r="B61" s="19"/>
      <c r="C61" s="19"/>
      <c r="D61" s="19"/>
      <c r="E61" s="19"/>
      <c r="F61" s="19"/>
      <c r="G61" s="19">
        <v>150</v>
      </c>
      <c r="H61" s="49">
        <v>6</v>
      </c>
    </row>
    <row r="64" spans="1:8" ht="33" customHeight="1" x14ac:dyDescent="0.25">
      <c r="C64" s="82" t="str">
        <f>+'CS 1 - Table 1-1 fmt'!A20</f>
        <v>Analysis (d) Olaparib – gBRCAm Versus Placebo in Maintenance Therapy for Platinum-Sensitive Disease</v>
      </c>
      <c r="D64" s="82"/>
      <c r="E64" s="82"/>
      <c r="F64" s="82"/>
      <c r="G64" s="82"/>
      <c r="H64" s="82"/>
    </row>
    <row r="65" spans="1:8" ht="30" x14ac:dyDescent="0.25">
      <c r="C65" s="56" t="s">
        <v>201</v>
      </c>
      <c r="D65" s="56" t="s">
        <v>154</v>
      </c>
      <c r="E65" s="56" t="s">
        <v>155</v>
      </c>
      <c r="F65" s="56" t="s">
        <v>206</v>
      </c>
      <c r="G65" s="56" t="s">
        <v>207</v>
      </c>
      <c r="H65" s="56" t="s">
        <v>202</v>
      </c>
    </row>
    <row r="66" spans="1:8" x14ac:dyDescent="0.25">
      <c r="A66" s="19" t="s">
        <v>203</v>
      </c>
      <c r="B66" s="19" t="str">
        <f>+'CS 1 - Table 1-1 fmt'!A21</f>
        <v>Prog disease on 2nd therapy Olaparib/placebo</v>
      </c>
      <c r="C66" s="59">
        <f>+'CS 1 - Table 1-1 fmt'!E21</f>
        <v>324</v>
      </c>
      <c r="D66" s="59">
        <f>+'CS 1 - Table 1-1 fmt'!J21</f>
        <v>56</v>
      </c>
      <c r="E66" s="59">
        <f>+'CS 1 - Table 1-1 fmt'!K21</f>
        <v>181</v>
      </c>
      <c r="F66" s="57"/>
      <c r="G66" s="57"/>
      <c r="H66" s="79">
        <f t="shared" ref="H66:H72" si="0">+H67+0.225</f>
        <v>1.7750000000000004</v>
      </c>
    </row>
    <row r="67" spans="1:8" x14ac:dyDescent="0.25">
      <c r="A67" s="19"/>
      <c r="B67" s="19" t="str">
        <f>+'CS 1 - Table 1-1 fmt'!A22</f>
        <v>Prog disease on 2nd therapy Olaparib</v>
      </c>
      <c r="C67" s="59">
        <f>+'CS 1 - Table 1-1 fmt'!E22</f>
        <v>324</v>
      </c>
      <c r="D67" s="59">
        <f>+'CS 1 - Table 1-1 fmt'!J22</f>
        <v>162</v>
      </c>
      <c r="E67" s="59">
        <f>+'CS 1 - Table 1-1 fmt'!K22</f>
        <v>235</v>
      </c>
      <c r="F67" s="57"/>
      <c r="G67" s="57"/>
      <c r="H67" s="79">
        <f t="shared" si="0"/>
        <v>1.5500000000000003</v>
      </c>
    </row>
    <row r="68" spans="1:8" x14ac:dyDescent="0.25">
      <c r="A68" s="19"/>
      <c r="B68" s="19" t="str">
        <f>+'CS 1 - Table 1-1 fmt'!A23</f>
        <v>Prog-free disease on Olaparib</v>
      </c>
      <c r="C68" s="59">
        <f>+'CS 1 - Table 1-1 fmt'!E23</f>
        <v>324</v>
      </c>
      <c r="D68" s="59">
        <f>+'CS 1 - Table 1-1 fmt'!J23</f>
        <v>295</v>
      </c>
      <c r="E68" s="59">
        <f>+'CS 1 - Table 1-1 fmt'!K23</f>
        <v>263</v>
      </c>
      <c r="F68" s="57"/>
      <c r="G68" s="57"/>
      <c r="H68" s="79">
        <f t="shared" si="0"/>
        <v>1.3250000000000002</v>
      </c>
    </row>
    <row r="69" spans="1:8" x14ac:dyDescent="0.25">
      <c r="A69" s="19"/>
      <c r="B69" s="19" t="str">
        <f>+'CS 1 - Table 1-1 fmt'!A24</f>
        <v>Prog disease on 1st therapy Olaparib/placebo</v>
      </c>
      <c r="C69" s="59">
        <f>+'CS 1 - Table 1-1 fmt'!E24</f>
        <v>324</v>
      </c>
      <c r="D69" s="59">
        <f>+'CS 1 - Table 1-1 fmt'!J24</f>
        <v>263</v>
      </c>
      <c r="E69" s="59">
        <f>+'CS 1 - Table 1-1 fmt'!K24</f>
        <v>277</v>
      </c>
      <c r="F69" s="57"/>
      <c r="G69" s="57"/>
      <c r="H69" s="79">
        <f t="shared" si="0"/>
        <v>1.1000000000000001</v>
      </c>
    </row>
    <row r="70" spans="1:8" x14ac:dyDescent="0.25">
      <c r="A70" s="19"/>
      <c r="B70" s="19" t="str">
        <f>+'CS 1 - Table 1-1 fmt'!A25</f>
        <v>Prog disease on 1st therapy Olaparib</v>
      </c>
      <c r="C70" s="59">
        <f>+'CS 1 - Table 1-1 fmt'!E25</f>
        <v>324</v>
      </c>
      <c r="D70" s="59">
        <f>+'CS 1 - Table 1-1 fmt'!J25</f>
        <v>248</v>
      </c>
      <c r="E70" s="59">
        <f>+'CS 1 - Table 1-1 fmt'!K25</f>
        <v>274</v>
      </c>
      <c r="F70" s="19"/>
      <c r="G70" s="19"/>
      <c r="H70" s="79">
        <f t="shared" si="0"/>
        <v>0.875</v>
      </c>
    </row>
    <row r="71" spans="1:8" x14ac:dyDescent="0.25">
      <c r="A71" s="19"/>
      <c r="B71" s="19" t="str">
        <f>+'CS 1 - Table 1-1 fmt'!A26</f>
        <v>Prog-free disease off Olaparib</v>
      </c>
      <c r="C71" s="59">
        <f>+'CS 1 - Table 1-1 fmt'!E26</f>
        <v>324</v>
      </c>
      <c r="D71" s="59">
        <f>+'CS 1 - Table 1-1 fmt'!J26</f>
        <v>328</v>
      </c>
      <c r="E71" s="59">
        <f>+'CS 1 - Table 1-1 fmt'!K26</f>
        <v>328</v>
      </c>
      <c r="F71" s="19"/>
      <c r="G71" s="19"/>
      <c r="H71" s="79">
        <f t="shared" si="0"/>
        <v>0.65</v>
      </c>
    </row>
    <row r="72" spans="1:8" x14ac:dyDescent="0.25">
      <c r="A72" s="19"/>
      <c r="B72" s="19" t="str">
        <f>+'CS 1 - Table 1-1 fmt'!A27</f>
        <v>Prog-free disease on Olaparib/placebo</v>
      </c>
      <c r="C72" s="59">
        <f>+'CS 1 - Table 1-1 fmt'!E27</f>
        <v>324</v>
      </c>
      <c r="D72" s="59">
        <f>+'CS 1 - Table 1-1 fmt'!J27</f>
        <v>307</v>
      </c>
      <c r="E72" s="59">
        <f>+'CS 1 - Table 1-1 fmt'!K27</f>
        <v>274</v>
      </c>
      <c r="F72" s="19"/>
      <c r="G72" s="19"/>
      <c r="H72" s="50">
        <f t="shared" si="0"/>
        <v>0.42500000000000004</v>
      </c>
    </row>
    <row r="73" spans="1:8" x14ac:dyDescent="0.25">
      <c r="B73" s="19" t="str">
        <f>+'CS 1 - Table 1-1 fmt'!A28</f>
        <v>Prog-free disease off Olaparib/placebo</v>
      </c>
      <c r="C73" s="59">
        <f>+'CS 1 - Table 1-1 fmt'!E28</f>
        <v>324</v>
      </c>
      <c r="D73" s="59">
        <f>+'CS 1 - Table 1-1 fmt'!J28</f>
        <v>325</v>
      </c>
      <c r="E73" s="59">
        <f>+'CS 1 - Table 1-1 fmt'!K28</f>
        <v>325</v>
      </c>
      <c r="H73" s="50">
        <v>0.2</v>
      </c>
    </row>
    <row r="75" spans="1:8" x14ac:dyDescent="0.25">
      <c r="A75" s="19" t="s">
        <v>204</v>
      </c>
      <c r="B75" s="19"/>
      <c r="C75" s="60">
        <f>+'CS 1 - Table 1-2'!F8</f>
        <v>324</v>
      </c>
      <c r="D75" s="60">
        <f>+'CS 1 - Table 1-2'!F8</f>
        <v>324</v>
      </c>
      <c r="E75" s="60">
        <f>+'CS 1 - Table 1-2'!F8</f>
        <v>324</v>
      </c>
      <c r="F75" s="58"/>
      <c r="G75" s="58"/>
      <c r="H75" s="49">
        <v>2.5</v>
      </c>
    </row>
    <row r="76" spans="1:8" x14ac:dyDescent="0.25">
      <c r="A76" s="19"/>
      <c r="B76" s="19"/>
      <c r="C76" s="60"/>
      <c r="D76" s="60"/>
      <c r="E76" s="60"/>
      <c r="F76" s="19"/>
      <c r="G76" s="19"/>
      <c r="H76" s="19"/>
    </row>
    <row r="77" spans="1:8" x14ac:dyDescent="0.25">
      <c r="A77" s="19" t="s">
        <v>205</v>
      </c>
      <c r="B77" s="19"/>
      <c r="C77" s="60"/>
      <c r="D77" s="60"/>
      <c r="E77" s="60"/>
      <c r="F77" s="58"/>
      <c r="G77" s="58"/>
      <c r="H77" s="49">
        <v>3.5</v>
      </c>
    </row>
    <row r="78" spans="1:8" x14ac:dyDescent="0.25">
      <c r="A78" s="19"/>
      <c r="B78" s="19"/>
      <c r="C78" s="60"/>
      <c r="D78" s="60"/>
      <c r="E78" s="60"/>
      <c r="F78" s="19"/>
      <c r="G78" s="19"/>
      <c r="H78" s="19"/>
    </row>
    <row r="79" spans="1:8" x14ac:dyDescent="0.25">
      <c r="A79" s="19" t="s">
        <v>72</v>
      </c>
      <c r="B79" s="19"/>
      <c r="C79" s="60"/>
      <c r="D79" s="60"/>
      <c r="E79" s="60"/>
      <c r="F79" s="58"/>
      <c r="G79" s="58"/>
      <c r="H79" s="49">
        <v>4.5</v>
      </c>
    </row>
    <row r="80" spans="1:8" x14ac:dyDescent="0.25">
      <c r="A80" s="19"/>
      <c r="B80" s="19"/>
      <c r="C80" s="19"/>
      <c r="D80" s="19"/>
      <c r="E80" s="19"/>
      <c r="F80" s="19"/>
      <c r="G80" s="19"/>
      <c r="H80" s="19"/>
    </row>
    <row r="81" spans="1:8" x14ac:dyDescent="0.25">
      <c r="A81" s="19"/>
      <c r="B81" s="19"/>
      <c r="C81" s="19"/>
      <c r="D81" s="19"/>
      <c r="E81" s="19"/>
      <c r="F81" s="19">
        <v>100</v>
      </c>
      <c r="G81" s="19"/>
      <c r="H81" s="49">
        <v>0</v>
      </c>
    </row>
    <row r="82" spans="1:8" x14ac:dyDescent="0.25">
      <c r="A82" s="19"/>
      <c r="B82" s="19"/>
      <c r="C82" s="19"/>
      <c r="D82" s="19"/>
      <c r="E82" s="19"/>
      <c r="F82" s="19">
        <v>100</v>
      </c>
      <c r="G82" s="19"/>
      <c r="H82" s="49">
        <v>5</v>
      </c>
    </row>
    <row r="83" spans="1:8" x14ac:dyDescent="0.25">
      <c r="A83" s="19"/>
      <c r="B83" s="19"/>
      <c r="C83" s="19"/>
      <c r="D83" s="19"/>
      <c r="E83" s="19"/>
      <c r="F83" s="19"/>
      <c r="G83" s="19"/>
      <c r="H83" s="49"/>
    </row>
    <row r="84" spans="1:8" x14ac:dyDescent="0.25">
      <c r="A84" s="19"/>
      <c r="B84" s="19"/>
      <c r="C84" s="19"/>
      <c r="D84" s="19"/>
      <c r="E84" s="19"/>
      <c r="F84" s="19"/>
      <c r="G84" s="19">
        <v>150</v>
      </c>
      <c r="H84" s="49">
        <v>0</v>
      </c>
    </row>
    <row r="85" spans="1:8" x14ac:dyDescent="0.25">
      <c r="A85" s="19"/>
      <c r="B85" s="19"/>
      <c r="C85" s="19"/>
      <c r="D85" s="19"/>
      <c r="E85" s="19"/>
      <c r="F85" s="19"/>
      <c r="G85" s="19">
        <v>150</v>
      </c>
      <c r="H85" s="49">
        <v>5</v>
      </c>
    </row>
    <row r="87" spans="1:8" ht="32.25" customHeight="1" x14ac:dyDescent="0.25">
      <c r="C87" s="82" t="str">
        <f>+'CS 1 - Table 1-1 fmt'!A29</f>
        <v>Analysis (e) Rucaparib – gBRCAm Versus Placebo in Maintenance Therapy for Platinum-Sensitive Disease</v>
      </c>
      <c r="D87" s="82"/>
      <c r="E87" s="82"/>
      <c r="F87" s="82"/>
      <c r="G87" s="82"/>
      <c r="H87" s="82"/>
    </row>
    <row r="88" spans="1:8" ht="30" x14ac:dyDescent="0.25">
      <c r="C88" s="56" t="s">
        <v>201</v>
      </c>
      <c r="D88" s="56" t="s">
        <v>154</v>
      </c>
      <c r="E88" s="56" t="s">
        <v>155</v>
      </c>
      <c r="F88" s="56" t="s">
        <v>206</v>
      </c>
      <c r="G88" s="56" t="s">
        <v>207</v>
      </c>
      <c r="H88" s="56" t="s">
        <v>202</v>
      </c>
    </row>
    <row r="89" spans="1:8" x14ac:dyDescent="0.25">
      <c r="A89" s="19" t="s">
        <v>203</v>
      </c>
      <c r="B89" s="19" t="str">
        <f>+'CS 1 - Table 1-1 fmt'!A30</f>
        <v>Prog disease on Rucaparib/placebo</v>
      </c>
      <c r="C89" s="59">
        <f>+'CS 1 - Table 1-1 fmt'!E30</f>
        <v>369</v>
      </c>
      <c r="D89" s="59">
        <f>+'CS 1 - Table 1-1 fmt'!J30</f>
        <v>0</v>
      </c>
      <c r="E89" s="59">
        <f>+'CS 1 - Table 1-1 fmt'!K30</f>
        <v>0</v>
      </c>
      <c r="F89" s="57"/>
      <c r="G89" s="57"/>
      <c r="H89" s="79">
        <f>+H90+0.25</f>
        <v>1.65</v>
      </c>
    </row>
    <row r="90" spans="1:8" x14ac:dyDescent="0.25">
      <c r="A90" s="19"/>
      <c r="B90" s="19" t="str">
        <f>+'CS 1 - Table 1-1 fmt'!A31</f>
        <v>Prog disease on Rucaparib</v>
      </c>
      <c r="C90" s="59">
        <f>+'CS 1 - Table 1-1 fmt'!E31</f>
        <v>369</v>
      </c>
      <c r="D90" s="59">
        <f>+'CS 1 - Table 1-1 fmt'!J31</f>
        <v>0</v>
      </c>
      <c r="E90" s="59">
        <f>+'CS 1 - Table 1-1 fmt'!K31</f>
        <v>112</v>
      </c>
      <c r="F90" s="57"/>
      <c r="G90" s="57"/>
      <c r="H90" s="79">
        <f>+H91+0.25</f>
        <v>1.4</v>
      </c>
    </row>
    <row r="91" spans="1:8" x14ac:dyDescent="0.25">
      <c r="A91" s="19"/>
      <c r="B91" s="19" t="str">
        <f>+'CS 1 - Table 1-1 fmt'!A32</f>
        <v>Prog-free disease on Rucaparib</v>
      </c>
      <c r="C91" s="59">
        <f>+'CS 1 - Table 1-1 fmt'!E32</f>
        <v>369</v>
      </c>
      <c r="D91" s="59">
        <f>+'CS 1 - Table 1-1 fmt'!J32</f>
        <v>333</v>
      </c>
      <c r="E91" s="59">
        <f>+'CS 1 - Table 1-1 fmt'!K32</f>
        <v>298</v>
      </c>
      <c r="F91" s="57"/>
      <c r="G91" s="57"/>
      <c r="H91" s="79">
        <f>+H92+0.25</f>
        <v>1.1499999999999999</v>
      </c>
    </row>
    <row r="92" spans="1:8" x14ac:dyDescent="0.25">
      <c r="A92" s="19"/>
      <c r="B92" s="19" t="str">
        <f>+'CS 1 - Table 1-1 fmt'!A33</f>
        <v>Prog-free disease off Rucaparib</v>
      </c>
      <c r="C92" s="59">
        <f>+'CS 1 - Table 1-1 fmt'!E33</f>
        <v>369</v>
      </c>
      <c r="D92" s="59">
        <f>+'CS 1 - Table 1-1 fmt'!J33</f>
        <v>374</v>
      </c>
      <c r="E92" s="59">
        <f>+'CS 1 - Table 1-1 fmt'!K33</f>
        <v>374</v>
      </c>
      <c r="F92" s="57"/>
      <c r="G92" s="57"/>
      <c r="H92" s="79">
        <f>+H93+0.25</f>
        <v>0.9</v>
      </c>
    </row>
    <row r="93" spans="1:8" x14ac:dyDescent="0.25">
      <c r="A93" s="19"/>
      <c r="B93" s="19" t="str">
        <f>+'CS 1 - Table 1-1 fmt'!A34</f>
        <v>Prog-free disease on Rucaparib/placebo</v>
      </c>
      <c r="C93" s="59">
        <f>+'CS 1 - Table 1-1 fmt'!E34</f>
        <v>369</v>
      </c>
      <c r="D93" s="59">
        <f>+'CS 1 - Table 1-1 fmt'!J34</f>
        <v>367</v>
      </c>
      <c r="E93" s="59">
        <f>+'CS 1 - Table 1-1 fmt'!K34</f>
        <v>340</v>
      </c>
      <c r="F93" s="19"/>
      <c r="G93" s="19"/>
      <c r="H93" s="50">
        <f>+H94+0.25</f>
        <v>0.65</v>
      </c>
    </row>
    <row r="94" spans="1:8" x14ac:dyDescent="0.25">
      <c r="A94" s="19"/>
      <c r="B94" s="19" t="str">
        <f>+'CS 1 - Table 1-1 fmt'!A35</f>
        <v>Prog-free disease off Rucaparib/placebo</v>
      </c>
      <c r="C94" s="59">
        <f>+'CS 1 - Table 1-1 fmt'!E35</f>
        <v>369</v>
      </c>
      <c r="D94" s="59">
        <f>+'CS 1 - Table 1-1 fmt'!J35</f>
        <v>370</v>
      </c>
      <c r="E94" s="59">
        <f>+'CS 1 - Table 1-1 fmt'!K35</f>
        <v>370</v>
      </c>
      <c r="F94" s="19"/>
      <c r="G94" s="19"/>
      <c r="H94" s="50">
        <v>0.4</v>
      </c>
    </row>
    <row r="95" spans="1:8" x14ac:dyDescent="0.25">
      <c r="A95" s="19"/>
      <c r="B95" s="19"/>
      <c r="C95" s="59"/>
      <c r="D95" s="59"/>
      <c r="E95" s="59"/>
      <c r="F95" s="19"/>
      <c r="G95" s="19"/>
      <c r="H95" s="19"/>
    </row>
    <row r="96" spans="1:8" x14ac:dyDescent="0.25">
      <c r="C96" s="59"/>
      <c r="D96" s="59"/>
      <c r="E96" s="59"/>
    </row>
    <row r="98" spans="1:8" x14ac:dyDescent="0.25">
      <c r="A98" s="19" t="s">
        <v>204</v>
      </c>
      <c r="B98" s="19"/>
      <c r="C98" s="60">
        <f>+'CS 1 - Table 1-2'!F9</f>
        <v>369</v>
      </c>
      <c r="D98" s="60">
        <f>+'CS 1 - Table 1-2'!F9</f>
        <v>369</v>
      </c>
      <c r="E98" s="60">
        <f>+'CS 1 - Table 1-2'!H9</f>
        <v>187</v>
      </c>
      <c r="F98" s="58"/>
      <c r="G98" s="58"/>
      <c r="H98" s="49">
        <v>2.5</v>
      </c>
    </row>
    <row r="99" spans="1:8" x14ac:dyDescent="0.25">
      <c r="A99" s="19"/>
      <c r="B99" s="19"/>
      <c r="C99" s="60"/>
      <c r="D99" s="60"/>
      <c r="E99" s="60"/>
      <c r="F99" s="19"/>
      <c r="G99" s="19"/>
      <c r="H99" s="19"/>
    </row>
    <row r="100" spans="1:8" x14ac:dyDescent="0.25">
      <c r="A100" s="19" t="s">
        <v>205</v>
      </c>
      <c r="B100" s="19"/>
      <c r="C100" s="60"/>
      <c r="D100" s="60"/>
      <c r="E100" s="60"/>
      <c r="F100" s="58"/>
      <c r="G100" s="58"/>
      <c r="H100" s="49">
        <v>3.5</v>
      </c>
    </row>
    <row r="101" spans="1:8" x14ac:dyDescent="0.25">
      <c r="A101" s="19"/>
      <c r="B101" s="19"/>
      <c r="C101" s="60"/>
      <c r="D101" s="60"/>
      <c r="E101" s="60"/>
      <c r="F101" s="19"/>
      <c r="G101" s="19"/>
      <c r="H101" s="19"/>
    </row>
    <row r="102" spans="1:8" x14ac:dyDescent="0.25">
      <c r="A102" s="19" t="s">
        <v>72</v>
      </c>
      <c r="B102" s="19"/>
      <c r="C102" s="60">
        <f>+'CS 1 - Table 1-4 fmt'!E10</f>
        <v>369</v>
      </c>
      <c r="D102" s="60">
        <f>+'CS 1 - Table 1-4 fmt'!J10</f>
        <v>369</v>
      </c>
      <c r="E102" s="60">
        <f>+'CS 1 - Table 1-4 fmt'!K10</f>
        <v>370</v>
      </c>
      <c r="F102" s="58"/>
      <c r="G102" s="58"/>
      <c r="H102" s="49">
        <v>4.5</v>
      </c>
    </row>
    <row r="103" spans="1:8" x14ac:dyDescent="0.25">
      <c r="A103" s="19"/>
      <c r="B103" s="19"/>
      <c r="C103" s="19"/>
      <c r="D103" s="19"/>
      <c r="E103" s="19"/>
      <c r="F103" s="19"/>
      <c r="G103" s="19"/>
      <c r="H103" s="19"/>
    </row>
    <row r="104" spans="1:8" x14ac:dyDescent="0.25">
      <c r="A104" s="19"/>
      <c r="B104" s="19"/>
      <c r="C104" s="19"/>
      <c r="D104" s="19"/>
      <c r="E104" s="19"/>
      <c r="F104" s="19">
        <v>100</v>
      </c>
      <c r="G104" s="19"/>
      <c r="H104" s="49">
        <v>0</v>
      </c>
    </row>
    <row r="105" spans="1:8" x14ac:dyDescent="0.25">
      <c r="A105" s="19"/>
      <c r="B105" s="19"/>
      <c r="C105" s="19"/>
      <c r="D105" s="19"/>
      <c r="E105" s="19"/>
      <c r="F105" s="19">
        <v>100</v>
      </c>
      <c r="G105" s="19"/>
      <c r="H105" s="49">
        <v>5</v>
      </c>
    </row>
    <row r="106" spans="1:8" x14ac:dyDescent="0.25">
      <c r="A106" s="19"/>
      <c r="B106" s="19"/>
      <c r="C106" s="19"/>
      <c r="D106" s="19"/>
      <c r="E106" s="19"/>
      <c r="F106" s="19"/>
      <c r="G106" s="19"/>
      <c r="H106" s="49"/>
    </row>
    <row r="107" spans="1:8" x14ac:dyDescent="0.25">
      <c r="A107" s="19"/>
      <c r="B107" s="19"/>
      <c r="C107" s="19"/>
      <c r="D107" s="19"/>
      <c r="E107" s="19"/>
      <c r="F107" s="19"/>
      <c r="G107" s="19">
        <v>150</v>
      </c>
      <c r="H107" s="49">
        <v>0</v>
      </c>
    </row>
    <row r="108" spans="1:8" x14ac:dyDescent="0.25">
      <c r="A108" s="19"/>
      <c r="B108" s="19"/>
      <c r="C108" s="19"/>
      <c r="D108" s="19"/>
      <c r="E108" s="19"/>
      <c r="F108" s="19"/>
      <c r="G108" s="19">
        <v>150</v>
      </c>
      <c r="H108" s="49">
        <v>5</v>
      </c>
    </row>
  </sheetData>
  <mergeCells count="5">
    <mergeCell ref="C2:H2"/>
    <mergeCell ref="C21:H21"/>
    <mergeCell ref="C64:H64"/>
    <mergeCell ref="C42:H42"/>
    <mergeCell ref="C87:H87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650B2-7292-485A-897C-9331646BDD1F}">
  <sheetPr>
    <tabColor rgb="FF92D050"/>
  </sheetPr>
  <dimension ref="A1:U36"/>
  <sheetViews>
    <sheetView workbookViewId="0">
      <selection activeCell="P9" sqref="P9"/>
    </sheetView>
  </sheetViews>
  <sheetFormatPr defaultRowHeight="15" x14ac:dyDescent="0.25"/>
  <cols>
    <col min="1" max="1" width="31.140625" customWidth="1"/>
    <col min="2" max="2" width="6.28515625" customWidth="1"/>
    <col min="3" max="3" width="7" customWidth="1"/>
    <col min="4" max="4" width="6.5703125" customWidth="1"/>
    <col min="5" max="5" width="6.140625" customWidth="1"/>
    <col min="6" max="6" width="8.5703125" customWidth="1"/>
    <col min="7" max="7" width="8.42578125" customWidth="1"/>
    <col min="8" max="8" width="6.85546875" customWidth="1"/>
    <col min="9" max="9" width="7" customWidth="1"/>
  </cols>
  <sheetData>
    <row r="1" spans="1:21" ht="39.75" customHeight="1" x14ac:dyDescent="0.25">
      <c r="A1" s="61"/>
      <c r="B1" s="83" t="str">
        <f>+'CS 1 - Table 1-1'!B1</f>
        <v>Utility weight assumptions from ICER (i)</v>
      </c>
      <c r="C1" s="83"/>
      <c r="D1" s="83"/>
      <c r="E1" s="83" t="str">
        <f>+'CS 1 - Table 1-1'!E1</f>
        <v>CE ratios from ICER ($000/QALY) (ii)</v>
      </c>
      <c r="F1" s="83"/>
      <c r="G1" s="83"/>
      <c r="H1" s="83" t="str">
        <f>+'CS 1 - Table 1-1'!H1</f>
        <v>Expert group utility weight assumptions (iii)</v>
      </c>
      <c r="I1" s="83"/>
      <c r="J1" s="83" t="str">
        <f>+'CS 1 - Table 1-1'!J1</f>
        <v>Expert group imputed CE ratios (iv)</v>
      </c>
      <c r="K1" s="83"/>
      <c r="L1" s="83" t="str">
        <f>+'CS 1 - Table 1-1'!L1</f>
        <v>Influence measures (v)</v>
      </c>
      <c r="M1" s="83"/>
      <c r="N1" s="83"/>
      <c r="O1" s="3"/>
    </row>
    <row r="2" spans="1:21" ht="36" customHeight="1" x14ac:dyDescent="0.25">
      <c r="A2" s="62"/>
      <c r="B2" s="63" t="str">
        <f>+'CS 1 - Table 1-1'!B2</f>
        <v>Base case</v>
      </c>
      <c r="C2" s="63" t="str">
        <f>+'CS 1 - Table 1-1'!C2</f>
        <v>Lower bound</v>
      </c>
      <c r="D2" s="63" t="str">
        <f>+'CS 1 - Table 1-1'!D2</f>
        <v>Upper bound</v>
      </c>
      <c r="E2" s="63" t="str">
        <f>+'CS 1 - Table 1-1'!E2</f>
        <v>Base case</v>
      </c>
      <c r="F2" s="63" t="str">
        <f>+'CS 1 - Table 1-1'!F2</f>
        <v>Lower bound assumption</v>
      </c>
      <c r="G2" s="63" t="str">
        <f>+'CS 1 - Table 1-1'!G2</f>
        <v>Upper bound assumption</v>
      </c>
      <c r="H2" s="63" t="str">
        <f>+'CS 1 - Table 1-1'!H2</f>
        <v>Expert Group 1</v>
      </c>
      <c r="I2" s="63" t="str">
        <f>+'CS 1 - Table 1-1'!I2</f>
        <v>Expert Group 2</v>
      </c>
      <c r="J2" s="63" t="str">
        <f>+'CS 1 - Table 1-1'!J2</f>
        <v>Expert Group 1</v>
      </c>
      <c r="K2" s="63" t="str">
        <f>+'CS 1 - Table 1-1'!K2</f>
        <v>Expert Group 2</v>
      </c>
      <c r="L2" s="63" t="str">
        <f>+'CS 1 - Table 1-1'!L2</f>
        <v>Avg pct deviation</v>
      </c>
      <c r="M2" s="63" t="str">
        <f>+'CS 1 - Table 1-1'!M2</f>
        <v>Cross $100K benchmark</v>
      </c>
      <c r="N2" s="63" t="str">
        <f>+'CS 1 - Table 1-1'!N2</f>
        <v>Cross $150K benchmark</v>
      </c>
    </row>
    <row r="3" spans="1:21" x14ac:dyDescent="0.25">
      <c r="A3" s="84" t="str">
        <f>+'CS 1 - Table 1-1'!A3</f>
        <v>Analysis (a) Olaparib for Recurrent BRCA-mutated population</v>
      </c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6"/>
      <c r="U3" s="2"/>
    </row>
    <row r="4" spans="1:21" x14ac:dyDescent="0.25">
      <c r="A4" s="62" t="str">
        <f>+'CS 1 - Table 1-1'!A4</f>
        <v>Prog disease on Olaparib</v>
      </c>
      <c r="B4" s="64">
        <f>+'CS 1 - Table 1-1'!B4</f>
        <v>0.5</v>
      </c>
      <c r="C4" s="64">
        <f>+'CS 1 - Table 1-1'!C4</f>
        <v>0.37</v>
      </c>
      <c r="D4" s="64">
        <f>+'CS 1 - Table 1-1'!D4</f>
        <v>0.63</v>
      </c>
      <c r="E4" s="65">
        <f>+ROUND('CS 1 - Table 1-1'!E4/CE_Scale,RoundPlace)</f>
        <v>146</v>
      </c>
      <c r="F4" s="65">
        <f>+ROUND('CS 1 - Table 1-1'!F4/CE_Scale,RoundPlace)</f>
        <v>116</v>
      </c>
      <c r="G4" s="65">
        <f>+ROUND('CS 1 - Table 1-1'!G4/CE_Scale,RoundPlace)</f>
        <v>198</v>
      </c>
      <c r="H4" s="64">
        <f>+'CS 1 - Table 1-1'!H4</f>
        <v>0.4</v>
      </c>
      <c r="I4" s="64">
        <f>+'CS 1 - Table 1-1'!I4</f>
        <v>0.5</v>
      </c>
      <c r="J4" s="65">
        <f>+ROUND('CS 1 - Table 1-1'!J4/CE_Scale,RoundPlace)</f>
        <v>121</v>
      </c>
      <c r="K4" s="65">
        <f>+ROUND('CS 1 - Table 1-1'!K4/CE_Scale,RoundPlace)</f>
        <v>146</v>
      </c>
      <c r="L4" s="66">
        <f>+'CS 1 - Table 1-1'!L4</f>
        <v>8.5809035313962292E-2</v>
      </c>
      <c r="M4" s="67" t="str">
        <f>+'CS 1 - Table 1-1'!M4</f>
        <v>NO</v>
      </c>
      <c r="N4" s="67" t="str">
        <f>+'CS 1 - Table 1-1'!N4</f>
        <v>NO</v>
      </c>
      <c r="U4" s="2"/>
    </row>
    <row r="5" spans="1:21" x14ac:dyDescent="0.25">
      <c r="A5" s="62" t="str">
        <f>+'CS 1 - Table 1-1'!A5</f>
        <v>Prog disease on PLD+C</v>
      </c>
      <c r="B5" s="64">
        <f>+'CS 1 - Table 1-1'!B5</f>
        <v>0.5</v>
      </c>
      <c r="C5" s="64">
        <f>+'CS 1 - Table 1-1'!C5</f>
        <v>0.37</v>
      </c>
      <c r="D5" s="64">
        <f>+'CS 1 - Table 1-1'!D5</f>
        <v>0.63</v>
      </c>
      <c r="E5" s="65">
        <f>+ROUND('CS 1 - Table 1-1'!E5/CE_Scale,RoundPlace)</f>
        <v>146</v>
      </c>
      <c r="F5" s="65">
        <f>+ROUND('CS 1 - Table 1-1'!F5/CE_Scale,RoundPlace)</f>
        <v>137</v>
      </c>
      <c r="G5" s="65">
        <f>+ROUND('CS 1 - Table 1-1'!G5/CE_Scale,RoundPlace)</f>
        <v>157</v>
      </c>
      <c r="H5" s="64">
        <f>+'CS 1 - Table 1-1'!H5</f>
        <v>0.4</v>
      </c>
      <c r="I5" s="64">
        <f>+'CS 1 - Table 1-1'!I5</f>
        <v>0.5</v>
      </c>
      <c r="J5" s="65">
        <f>+ROUND('CS 1 - Table 1-1'!J5/CE_Scale,RoundPlace)</f>
        <v>139</v>
      </c>
      <c r="K5" s="65">
        <f>+ROUND('CS 1 - Table 1-1'!K5/CE_Scale,RoundPlace)</f>
        <v>146</v>
      </c>
      <c r="L5" s="66">
        <f>+'CS 1 - Table 1-1'!L5</f>
        <v>2.4614530692458638E-2</v>
      </c>
      <c r="M5" s="67" t="str">
        <f>+'CS 1 - Table 1-1'!M5</f>
        <v>NO</v>
      </c>
      <c r="N5" s="67" t="str">
        <f>+'CS 1 - Table 1-1'!N5</f>
        <v>NO</v>
      </c>
      <c r="U5" s="2"/>
    </row>
    <row r="6" spans="1:21" x14ac:dyDescent="0.25">
      <c r="A6" s="62" t="str">
        <f>+'CS 1 - Table 1-1'!A6</f>
        <v>Prog-free disease on Olaparib</v>
      </c>
      <c r="B6" s="64">
        <f>+'CS 1 - Table 1-1'!B6</f>
        <v>0.77</v>
      </c>
      <c r="C6" s="64">
        <f>+'CS 1 - Table 1-1'!C6</f>
        <v>0.72</v>
      </c>
      <c r="D6" s="64">
        <f>+'CS 1 - Table 1-1'!D6</f>
        <v>0.82</v>
      </c>
      <c r="E6" s="65">
        <f>+ROUND('CS 1 - Table 1-1'!E6/CE_Scale,RoundPlace)</f>
        <v>146</v>
      </c>
      <c r="F6" s="65">
        <f>+ROUND('CS 1 - Table 1-1'!F6/CE_Scale,RoundPlace)</f>
        <v>139</v>
      </c>
      <c r="G6" s="65">
        <f>+ROUND('CS 1 - Table 1-1'!G6/CE_Scale,RoundPlace)</f>
        <v>155</v>
      </c>
      <c r="H6" s="64">
        <f>+'CS 1 - Table 1-1'!H6</f>
        <v>0.72</v>
      </c>
      <c r="I6" s="64">
        <f>+'CS 1 - Table 1-1'!I6</f>
        <v>0.6</v>
      </c>
      <c r="J6" s="65">
        <f>+ROUND('CS 1 - Table 1-1'!J6/CE_Scale,RoundPlace)</f>
        <v>139</v>
      </c>
      <c r="K6" s="65">
        <f>+ROUND('CS 1 - Table 1-1'!K6/CE_Scale,RoundPlace)</f>
        <v>128</v>
      </c>
      <c r="L6" s="66">
        <f>+'CS 1 - Table 1-1'!L6</f>
        <v>6.7182231428735889E-2</v>
      </c>
      <c r="M6" s="67" t="str">
        <f>+'CS 1 - Table 1-1'!M6</f>
        <v>NO</v>
      </c>
      <c r="N6" s="67" t="str">
        <f>+'CS 1 - Table 1-1'!N6</f>
        <v>NO</v>
      </c>
      <c r="U6" s="2"/>
    </row>
    <row r="7" spans="1:21" x14ac:dyDescent="0.25">
      <c r="A7" s="62" t="str">
        <f>+'CS 1 - Table 1-1'!A7</f>
        <v xml:space="preserve">Prog-free disease on PLD+C  </v>
      </c>
      <c r="B7" s="64">
        <f>+'CS 1 - Table 1-1'!B7</f>
        <v>0.79769999999999996</v>
      </c>
      <c r="C7" s="64">
        <f>+'CS 1 - Table 1-1'!C7</f>
        <v>0.75</v>
      </c>
      <c r="D7" s="64">
        <f>+'CS 1 - Table 1-1'!D7</f>
        <v>0.83</v>
      </c>
      <c r="E7" s="65">
        <f>+ROUND('CS 1 - Table 1-1'!E7/CE_Scale,RoundPlace)</f>
        <v>146</v>
      </c>
      <c r="F7" s="65">
        <f>+ROUND('CS 1 - Table 1-1'!F7/CE_Scale,RoundPlace)</f>
        <v>144</v>
      </c>
      <c r="G7" s="65">
        <f>+ROUND('CS 1 - Table 1-1'!G7/CE_Scale,RoundPlace)</f>
        <v>154</v>
      </c>
      <c r="H7" s="64">
        <f>+'CS 1 - Table 1-1'!H7</f>
        <v>0.71799999999999997</v>
      </c>
      <c r="I7" s="64">
        <f>+'CS 1 - Table 1-1'!I7</f>
        <v>0.6</v>
      </c>
      <c r="J7" s="65">
        <f>+ROUND('CS 1 - Table 1-1'!J7/CE_Scale,RoundPlace)</f>
        <v>139</v>
      </c>
      <c r="K7" s="65">
        <f>+ROUND('CS 1 - Table 1-1'!K7/CE_Scale,RoundPlace)</f>
        <v>125</v>
      </c>
      <c r="L7" s="66">
        <f>+'CS 1 - Table 1-1'!L7</f>
        <v>7.7430573151903437E-2</v>
      </c>
      <c r="M7" s="67" t="str">
        <f>+'CS 1 - Table 1-1'!M7</f>
        <v>NO</v>
      </c>
      <c r="N7" s="67" t="str">
        <f>+'CS 1 - Table 1-1'!N7</f>
        <v>NO</v>
      </c>
      <c r="U7" s="2"/>
    </row>
    <row r="8" spans="1:21" x14ac:dyDescent="0.25">
      <c r="A8" s="84" t="str">
        <f>+'CS 1 - Table 1-1'!A11</f>
        <v>Analysis (b) Rucaparib  in Recurrent BRCA-Mutated Population</v>
      </c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6"/>
    </row>
    <row r="9" spans="1:21" x14ac:dyDescent="0.25">
      <c r="A9" s="62" t="str">
        <f>+'CS 1 - Table 1-1'!A12</f>
        <v>Prog disease on Rucaparib</v>
      </c>
      <c r="B9" s="64">
        <f>+'CS 1 - Table 1-1'!B12</f>
        <v>0.68</v>
      </c>
      <c r="C9" s="64">
        <f>+'CS 1 - Table 1-1'!C12</f>
        <v>0.55000000000000004</v>
      </c>
      <c r="D9" s="64">
        <f>+'CS 1 - Table 1-1'!D12</f>
        <v>0.8</v>
      </c>
      <c r="E9" s="65">
        <f>+ROUND('CS 1 - Table 1-1'!E12/CE_Scale,RoundPlace)</f>
        <v>295</v>
      </c>
      <c r="F9" s="65">
        <f>+ROUND('CS 1 - Table 1-1'!F12/CE_Scale,RoundPlace)</f>
        <v>254</v>
      </c>
      <c r="G9" s="65">
        <f>+ROUND('CS 1 - Table 1-1'!G12/CE_Scale,RoundPlace)</f>
        <v>351</v>
      </c>
      <c r="H9" s="64">
        <f>+'CS 1 - Table 1-1'!H12</f>
        <v>0.4</v>
      </c>
      <c r="I9" s="64">
        <f>+'CS 1 - Table 1-1'!I12</f>
        <v>0.5</v>
      </c>
      <c r="J9" s="65">
        <f>+ROUND('CS 1 - Table 1-1'!J12/CE_Scale,RoundPlace)</f>
        <v>233</v>
      </c>
      <c r="K9" s="65">
        <f>+ROUND('CS 1 - Table 1-1'!K12/CE_Scale,RoundPlace)</f>
        <v>244</v>
      </c>
      <c r="L9" s="66">
        <f>+'CS 1 - Table 1-1'!L12</f>
        <v>0.12649185999892634</v>
      </c>
      <c r="M9" s="67" t="str">
        <f>+'CS 1 - Table 1-1'!M12</f>
        <v>NO</v>
      </c>
      <c r="N9" s="67" t="str">
        <f>+'CS 1 - Table 1-1'!N12</f>
        <v>NO</v>
      </c>
    </row>
    <row r="10" spans="1:21" x14ac:dyDescent="0.25">
      <c r="A10" s="62" t="str">
        <f>+'CS 1 - Table 1-1'!A13</f>
        <v>Prog disease on PLD+C</v>
      </c>
      <c r="B10" s="64">
        <f>+'CS 1 - Table 1-1'!B13</f>
        <v>0.5</v>
      </c>
      <c r="C10" s="64">
        <f>+'CS 1 - Table 1-1'!C13</f>
        <v>0.37</v>
      </c>
      <c r="D10" s="64">
        <f>+'CS 1 - Table 1-1'!D13</f>
        <v>0.62</v>
      </c>
      <c r="E10" s="65">
        <f>+ROUND('CS 1 - Table 1-1'!E13/CE_Scale,RoundPlace)</f>
        <v>295</v>
      </c>
      <c r="F10" s="65">
        <f>+ROUND('CS 1 - Table 1-1'!F13/CE_Scale,RoundPlace)</f>
        <v>259</v>
      </c>
      <c r="G10" s="65">
        <f>+ROUND('CS 1 - Table 1-1'!G13/CE_Scale,RoundPlace)</f>
        <v>342</v>
      </c>
      <c r="H10" s="64">
        <f>+'CS 1 - Table 1-1'!H13</f>
        <v>0.4</v>
      </c>
      <c r="I10" s="64">
        <f>+'CS 1 - Table 1-1'!I13</f>
        <v>0.5</v>
      </c>
      <c r="J10" s="65">
        <f>+ROUND('CS 1 - Table 1-1'!J13/CE_Scale,RoundPlace)</f>
        <v>266</v>
      </c>
      <c r="K10" s="65">
        <f>+ROUND('CS 1 - Table 1-1'!K13/CE_Scale,RoundPlace)</f>
        <v>295</v>
      </c>
      <c r="L10" s="66">
        <f>+'CS 1 - Table 1-1'!L13</f>
        <v>4.9057108516600112E-2</v>
      </c>
      <c r="M10" s="67" t="str">
        <f>+'CS 1 - Table 1-1'!M13</f>
        <v>NO</v>
      </c>
      <c r="N10" s="67" t="str">
        <f>+'CS 1 - Table 1-1'!N13</f>
        <v>NO</v>
      </c>
    </row>
    <row r="11" spans="1:21" x14ac:dyDescent="0.25">
      <c r="A11" s="62" t="str">
        <f>+'CS 1 - Table 1-1'!A14</f>
        <v>Prog-free disease on Rucaparib</v>
      </c>
      <c r="B11" s="64">
        <f>+'CS 1 - Table 1-1'!B14</f>
        <v>0.77</v>
      </c>
      <c r="C11" s="64">
        <f>+'CS 1 - Table 1-1'!C14</f>
        <v>0.72</v>
      </c>
      <c r="D11" s="64">
        <f>+'CS 1 - Table 1-1'!D14</f>
        <v>0.82</v>
      </c>
      <c r="E11" s="65">
        <f>+ROUND('CS 1 - Table 1-1'!E14/CE_Scale,RoundPlace)</f>
        <v>295</v>
      </c>
      <c r="F11" s="65">
        <f>+ROUND('CS 1 - Table 1-1'!F14/CE_Scale,RoundPlace)</f>
        <v>268</v>
      </c>
      <c r="G11" s="65">
        <f>+ROUND('CS 1 - Table 1-1'!G14/CE_Scale,RoundPlace)</f>
        <v>330</v>
      </c>
      <c r="H11" s="64">
        <f>+'CS 1 - Table 1-1'!H14</f>
        <v>0.72</v>
      </c>
      <c r="I11" s="64">
        <f>+'CS 1 - Table 1-1'!I14</f>
        <v>0.6</v>
      </c>
      <c r="J11" s="65">
        <f>+ROUND('CS 1 - Table 1-1'!J14/CE_Scale,RoundPlace)</f>
        <v>268</v>
      </c>
      <c r="K11" s="65">
        <f>+ROUND('CS 1 - Table 1-1'!K14/CE_Scale,RoundPlace)</f>
        <v>239</v>
      </c>
      <c r="L11" s="66">
        <f>+'CS 1 - Table 1-1'!L14</f>
        <v>0.10363692663545387</v>
      </c>
      <c r="M11" s="67" t="str">
        <f>+'CS 1 - Table 1-1'!M14</f>
        <v>NO</v>
      </c>
      <c r="N11" s="67" t="str">
        <f>+'CS 1 - Table 1-1'!N14</f>
        <v>NO</v>
      </c>
    </row>
    <row r="12" spans="1:21" x14ac:dyDescent="0.25">
      <c r="A12" s="62" t="str">
        <f>+'CS 1 - Table 1-1'!A15</f>
        <v xml:space="preserve">Prog-free disease on PLD+C  </v>
      </c>
      <c r="B12" s="64">
        <f>+'CS 1 - Table 1-1'!B15</f>
        <v>0.79769999999999996</v>
      </c>
      <c r="C12" s="64">
        <f>+'CS 1 - Table 1-1'!C15</f>
        <v>0.75</v>
      </c>
      <c r="D12" s="64">
        <f>+'CS 1 - Table 1-1'!D15</f>
        <v>0.83</v>
      </c>
      <c r="E12" s="65">
        <f>+ROUND('CS 1 - Table 1-1'!E15/CE_Scale,RoundPlace)</f>
        <v>295</v>
      </c>
      <c r="F12" s="65">
        <f>+ROUND('CS 1 - Table 1-1'!F15/CE_Scale,RoundPlace)</f>
        <v>289</v>
      </c>
      <c r="G12" s="65">
        <f>+ROUND('CS 1 - Table 1-1'!G15/CE_Scale,RoundPlace)</f>
        <v>314</v>
      </c>
      <c r="H12" s="64">
        <f>+'CS 1 - Table 1-1'!H15</f>
        <v>0.71799999999999997</v>
      </c>
      <c r="I12" s="64">
        <f>+'CS 1 - Table 1-1'!I15</f>
        <v>0.6</v>
      </c>
      <c r="J12" s="65">
        <f>+ROUND('CS 1 - Table 1-1'!J15/CE_Scale,RoundPlace)</f>
        <v>277</v>
      </c>
      <c r="K12" s="65">
        <f>+ROUND('CS 1 - Table 1-1'!K15/CE_Scale,RoundPlace)</f>
        <v>242</v>
      </c>
      <c r="L12" s="66">
        <f>+'CS 1 - Table 1-1'!L15</f>
        <v>9.5486777773081705E-2</v>
      </c>
      <c r="M12" s="67" t="str">
        <f>+'CS 1 - Table 1-1'!M15</f>
        <v>NO</v>
      </c>
      <c r="N12" s="67" t="str">
        <f>+'CS 1 - Table 1-1'!N15</f>
        <v>NO</v>
      </c>
    </row>
    <row r="13" spans="1:21" x14ac:dyDescent="0.25">
      <c r="A13" s="84" t="str">
        <f>+'CS 1 - Table 1-1'!A20</f>
        <v>Analysis (c) Niraparib for Maintenance therapy for platinum-sensitive disease</v>
      </c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6"/>
    </row>
    <row r="14" spans="1:21" x14ac:dyDescent="0.25">
      <c r="A14" s="62" t="str">
        <f>+'CS 1 - Table 1-1'!A21</f>
        <v>Prog disease on Niraporib/placebo</v>
      </c>
      <c r="B14" s="64">
        <f>+'CS 1 - Table 1-1'!B21</f>
        <v>0.68</v>
      </c>
      <c r="C14" s="64">
        <f>+'CS 1 - Table 1-1'!C21</f>
        <v>0.55000000000000004</v>
      </c>
      <c r="D14" s="64">
        <f>+'CS 1 - Table 1-1'!D21</f>
        <v>0.8</v>
      </c>
      <c r="E14" s="65">
        <f>+ROUND('CS 1 - Table 1-1'!E21/CE_Scale,RoundPlace)</f>
        <v>291</v>
      </c>
      <c r="F14" s="65">
        <f>+ROUND('CS 1 - Table 1-1'!F21/CE_Scale,RoundPlace)</f>
        <v>193</v>
      </c>
      <c r="G14" s="65">
        <f>+ROUND('CS 1 - Table 1-1'!G21/CE_Scale,RoundPlace)</f>
        <v>538</v>
      </c>
      <c r="H14" s="64">
        <f>+'CS 1 - Table 1-1'!H21</f>
        <v>0.4</v>
      </c>
      <c r="I14" s="64">
        <f>+'CS 1 - Table 1-1'!I21</f>
        <v>0.5</v>
      </c>
      <c r="J14" s="65">
        <f>+ROUND('CS 1 - Table 1-1'!J21/CE_Scale,RoundPlace)</f>
        <v>0</v>
      </c>
      <c r="K14" s="65">
        <f>+ROUND('CS 1 - Table 1-1'!K21/CE_Scale,RoundPlace)</f>
        <v>98</v>
      </c>
      <c r="L14" s="66">
        <f>+'CS 1 - Table 1-1'!L21</f>
        <v>1.4797510147502129</v>
      </c>
      <c r="M14" s="67" t="str">
        <f>+'CS 1 - Table 1-1'!M21</f>
        <v>YES</v>
      </c>
      <c r="N14" s="67" t="str">
        <f>+'CS 1 - Table 1-1'!N21</f>
        <v>YES</v>
      </c>
    </row>
    <row r="15" spans="1:21" x14ac:dyDescent="0.25">
      <c r="A15" s="62" t="str">
        <f>+'CS 1 - Table 1-1'!A22</f>
        <v>Prog disease on Niraparib</v>
      </c>
      <c r="B15" s="64">
        <f>+'CS 1 - Table 1-1'!B22</f>
        <v>0.68</v>
      </c>
      <c r="C15" s="64">
        <f>+'CS 1 - Table 1-1'!C22</f>
        <v>0.55000000000000004</v>
      </c>
      <c r="D15" s="64">
        <f>+'CS 1 - Table 1-1'!D22</f>
        <v>0.8</v>
      </c>
      <c r="E15" s="65">
        <f>+ROUND('CS 1 - Table 1-1'!E22/CE_Scale,RoundPlace)</f>
        <v>291</v>
      </c>
      <c r="F15" s="65">
        <f>+ROUND('CS 1 - Table 1-1'!F22/CE_Scale,RoundPlace)</f>
        <v>225</v>
      </c>
      <c r="G15" s="65">
        <f>+ROUND('CS 1 - Table 1-1'!G22/CE_Scale,RoundPlace)</f>
        <v>432</v>
      </c>
      <c r="H15" s="64">
        <f>+'CS 1 - Table 1-1'!H22</f>
        <v>0.4</v>
      </c>
      <c r="I15" s="64">
        <f>+'CS 1 - Table 1-1'!I22</f>
        <v>0.5</v>
      </c>
      <c r="J15" s="65">
        <f>+ROUND('CS 1 - Table 1-1'!J22/CE_Scale,RoundPlace)</f>
        <v>89</v>
      </c>
      <c r="K15" s="65">
        <f>+ROUND('CS 1 - Table 1-1'!K22/CE_Scale,RoundPlace)</f>
        <v>171</v>
      </c>
      <c r="L15" s="66">
        <f>+'CS 1 - Table 1-1'!L22</f>
        <v>0.59305521597926325</v>
      </c>
      <c r="M15" s="67" t="str">
        <f>+'CS 1 - Table 1-1'!M22</f>
        <v>YES</v>
      </c>
      <c r="N15" s="67" t="str">
        <f>+'CS 1 - Table 1-1'!N22</f>
        <v>YES</v>
      </c>
    </row>
    <row r="16" spans="1:21" x14ac:dyDescent="0.25">
      <c r="A16" s="62" t="str">
        <f>+'CS 1 - Table 1-1'!A23</f>
        <v>Prog-free disease on Niraparib</v>
      </c>
      <c r="B16" s="64">
        <f>+'CS 1 - Table 1-1'!B23</f>
        <v>0.77</v>
      </c>
      <c r="C16" s="64">
        <f>+'CS 1 - Table 1-1'!C23</f>
        <v>0.72</v>
      </c>
      <c r="D16" s="64">
        <f>+'CS 1 - Table 1-1'!D23</f>
        <v>0.82</v>
      </c>
      <c r="E16" s="65">
        <f>+ROUND('CS 1 - Table 1-1'!E23/CE_Scale,RoundPlace)</f>
        <v>291</v>
      </c>
      <c r="F16" s="65">
        <f>+ROUND('CS 1 - Table 1-1'!F23/CE_Scale,RoundPlace)</f>
        <v>267</v>
      </c>
      <c r="G16" s="65">
        <f>+ROUND('CS 1 - Table 1-1'!G23/CE_Scale,RoundPlace)</f>
        <v>324</v>
      </c>
      <c r="H16" s="64">
        <f>+'CS 1 - Table 1-1'!H23</f>
        <v>0.72</v>
      </c>
      <c r="I16" s="64">
        <f>+'CS 1 - Table 1-1'!I23</f>
        <v>0.6</v>
      </c>
      <c r="J16" s="65">
        <f>+ROUND('CS 1 - Table 1-1'!J23/CE_Scale,RoundPlace)</f>
        <v>267</v>
      </c>
      <c r="K16" s="65">
        <f>+ROUND('CS 1 - Table 1-1'!K23/CE_Scale,RoundPlace)</f>
        <v>238</v>
      </c>
      <c r="L16" s="66">
        <f>+'CS 1 - Table 1-1'!L23</f>
        <v>0.10068050944422635</v>
      </c>
      <c r="M16" s="67" t="str">
        <f>+'CS 1 - Table 1-1'!M23</f>
        <v>NO</v>
      </c>
      <c r="N16" s="67" t="str">
        <f>+'CS 1 - Table 1-1'!N23</f>
        <v>NO</v>
      </c>
    </row>
    <row r="17" spans="1:14" x14ac:dyDescent="0.25">
      <c r="A17" s="62" t="str">
        <f>+'CS 1 - Table 1-1'!A24</f>
        <v>Prog-free disease off Niraparib</v>
      </c>
      <c r="B17" s="64">
        <f>+'CS 1 - Table 1-1'!B24</f>
        <v>0.71</v>
      </c>
      <c r="C17" s="64">
        <f>+'CS 1 - Table 1-1'!C24</f>
        <v>0.66</v>
      </c>
      <c r="D17" s="64">
        <f>+'CS 1 - Table 1-1'!D24</f>
        <v>0.76</v>
      </c>
      <c r="E17" s="65">
        <f>+ROUND('CS 1 - Table 1-1'!E24/CE_Scale,RoundPlace)</f>
        <v>291</v>
      </c>
      <c r="F17" s="65">
        <f>+ROUND('CS 1 - Table 1-1'!F24/CE_Scale,RoundPlace)</f>
        <v>274</v>
      </c>
      <c r="G17" s="65">
        <f>+ROUND('CS 1 - Table 1-1'!G24/CE_Scale,RoundPlace)</f>
        <v>312</v>
      </c>
      <c r="H17" s="64">
        <f>+'CS 1 - Table 1-1'!H24</f>
        <v>0.72</v>
      </c>
      <c r="I17" s="64">
        <f>+'CS 1 - Table 1-1'!I24</f>
        <v>0.72</v>
      </c>
      <c r="J17" s="65">
        <f>+ROUND('CS 1 - Table 1-1'!J24/CE_Scale,RoundPlace)</f>
        <v>295</v>
      </c>
      <c r="K17" s="65">
        <f>+ROUND('CS 1 - Table 1-1'!K24/CE_Scale,RoundPlace)</f>
        <v>295</v>
      </c>
      <c r="L17" s="66">
        <f>+'CS 1 - Table 1-1'!L24</f>
        <v>6.5259920172933581E-3</v>
      </c>
      <c r="M17" s="67" t="str">
        <f>+'CS 1 - Table 1-1'!M24</f>
        <v>NO</v>
      </c>
      <c r="N17" s="67" t="str">
        <f>+'CS 1 - Table 1-1'!N24</f>
        <v>NO</v>
      </c>
    </row>
    <row r="18" spans="1:14" x14ac:dyDescent="0.25">
      <c r="A18" s="62" t="str">
        <f>+'CS 1 - Table 1-1'!A25</f>
        <v>Prog-free disease on Niraparib/placebo</v>
      </c>
      <c r="B18" s="64">
        <f>+'CS 1 - Table 1-1'!B25</f>
        <v>0.77</v>
      </c>
      <c r="C18" s="64">
        <f>+'CS 1 - Table 1-1'!C25</f>
        <v>0.72</v>
      </c>
      <c r="D18" s="64">
        <f>+'CS 1 - Table 1-1'!D25</f>
        <v>0.82</v>
      </c>
      <c r="E18" s="65">
        <f>+ROUND('CS 1 - Table 1-1'!E25/CE_Scale,RoundPlace)</f>
        <v>291</v>
      </c>
      <c r="F18" s="65">
        <f>+ROUND('CS 1 - Table 1-1'!F25/CE_Scale,RoundPlace)</f>
        <v>267</v>
      </c>
      <c r="G18" s="65">
        <f>+ROUND('CS 1 - Table 1-1'!G25/CE_Scale,RoundPlace)</f>
        <v>324</v>
      </c>
      <c r="H18" s="64">
        <f>+'CS 1 - Table 1-1'!H25</f>
        <v>0.72</v>
      </c>
      <c r="I18" s="64">
        <f>+'CS 1 - Table 1-1'!I25</f>
        <v>0.6</v>
      </c>
      <c r="J18" s="65">
        <f>+ROUND('CS 1 - Table 1-1'!J25/CE_Scale,RoundPlace)</f>
        <v>267</v>
      </c>
      <c r="K18" s="65">
        <f>+ROUND('CS 1 - Table 1-1'!K25/CE_Scale,RoundPlace)</f>
        <v>238</v>
      </c>
      <c r="L18" s="66">
        <f>+'CS 1 - Table 1-1'!L25</f>
        <v>0.10068050944422635</v>
      </c>
      <c r="M18" s="67" t="str">
        <f>+'CS 1 - Table 1-1'!M25</f>
        <v>NO</v>
      </c>
      <c r="N18" s="67" t="str">
        <f>+'CS 1 - Table 1-1'!N25</f>
        <v>NO</v>
      </c>
    </row>
    <row r="19" spans="1:14" x14ac:dyDescent="0.25">
      <c r="A19" s="62" t="str">
        <f>+'CS 1 - Table 1-1'!A26</f>
        <v>Prog-free disease off Niraparib/placebo</v>
      </c>
      <c r="B19" s="64">
        <f>+'CS 1 - Table 1-1'!B26</f>
        <v>0.71</v>
      </c>
      <c r="C19" s="64">
        <f>+'CS 1 - Table 1-1'!C26</f>
        <v>0.66</v>
      </c>
      <c r="D19" s="64">
        <f>+'CS 1 - Table 1-1'!D26</f>
        <v>0.76</v>
      </c>
      <c r="E19" s="65">
        <f>+ROUND('CS 1 - Table 1-1'!E26/CE_Scale,RoundPlace)</f>
        <v>291</v>
      </c>
      <c r="F19" s="65">
        <f>+ROUND('CS 1 - Table 1-1'!F26/CE_Scale,RoundPlace)</f>
        <v>290</v>
      </c>
      <c r="G19" s="65">
        <f>+ROUND('CS 1 - Table 1-1'!G26/CE_Scale,RoundPlace)</f>
        <v>293</v>
      </c>
      <c r="H19" s="64">
        <f>+'CS 1 - Table 1-1'!H26</f>
        <v>0.72</v>
      </c>
      <c r="I19" s="64">
        <f>+'CS 1 - Table 1-1'!I26</f>
        <v>0.72</v>
      </c>
      <c r="J19" s="65">
        <f>+ROUND('CS 1 - Table 1-1'!J26/CE_Scale,RoundPlace)</f>
        <v>292</v>
      </c>
      <c r="K19" s="65">
        <f>+ROUND('CS 1 - Table 1-1'!K26/CE_Scale,RoundPlace)</f>
        <v>292</v>
      </c>
      <c r="L19" s="66">
        <f>+'CS 1 - Table 1-1'!L26</f>
        <v>5.7034786078773397E-4</v>
      </c>
      <c r="M19" s="67" t="str">
        <f>+'CS 1 - Table 1-1'!M26</f>
        <v>NO</v>
      </c>
      <c r="N19" s="67" t="str">
        <f>+'CS 1 - Table 1-1'!N26</f>
        <v>NO</v>
      </c>
    </row>
    <row r="20" spans="1:14" x14ac:dyDescent="0.25">
      <c r="A20" s="84" t="str">
        <f>+'CS 1 - Table 1-1'!A31</f>
        <v>Analysis (d) Olaparib – gBRCAm Versus Placebo in Maintenance Therapy for Platinum-Sensitive Disease</v>
      </c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6"/>
    </row>
    <row r="21" spans="1:14" x14ac:dyDescent="0.25">
      <c r="A21" s="62" t="str">
        <f>+'CS 1 - Table 1-1'!A32</f>
        <v>Prog disease on 2nd therapy Olaparib/placebo</v>
      </c>
      <c r="B21" s="64">
        <f>+'CS 1 - Table 1-1'!B32</f>
        <v>0.65</v>
      </c>
      <c r="C21" s="64">
        <f>+'CS 1 - Table 1-1'!C32</f>
        <v>0.52</v>
      </c>
      <c r="D21" s="64">
        <f>+'CS 1 - Table 1-1'!D32</f>
        <v>0.77</v>
      </c>
      <c r="E21" s="65">
        <f>+ROUND('CS 1 - Table 1-1'!E32/CE_Scale,RoundPlace)</f>
        <v>324</v>
      </c>
      <c r="F21" s="65">
        <f>+ROUND('CS 1 - Table 1-1'!F32/CE_Scale,RoundPlace)</f>
        <v>226</v>
      </c>
      <c r="G21" s="65">
        <f>+ROUND('CS 1 - Table 1-1'!G32/CE_Scale,RoundPlace)</f>
        <v>539</v>
      </c>
      <c r="H21" s="64">
        <f>+'CS 1 - Table 1-1'!H32</f>
        <v>0.4</v>
      </c>
      <c r="I21" s="64">
        <f>+'CS 1 - Table 1-1'!I32</f>
        <v>0.5</v>
      </c>
      <c r="J21" s="65">
        <f>+ROUND('CS 1 - Table 1-1'!J32/CE_Scale,RoundPlace)</f>
        <v>56</v>
      </c>
      <c r="K21" s="65">
        <f>+ROUND('CS 1 - Table 1-1'!K32/CE_Scale,RoundPlace)</f>
        <v>181</v>
      </c>
      <c r="L21" s="66">
        <f>+'CS 1 - Table 1-1'!L32</f>
        <v>0.74156929990952514</v>
      </c>
      <c r="M21" s="67" t="str">
        <f>+'CS 1 - Table 1-1'!M32</f>
        <v>YES</v>
      </c>
      <c r="N21" s="67" t="str">
        <f>+'CS 1 - Table 1-1'!N32</f>
        <v>YES</v>
      </c>
    </row>
    <row r="22" spans="1:14" x14ac:dyDescent="0.25">
      <c r="A22" s="62" t="str">
        <f>+'CS 1 - Table 1-1'!A33</f>
        <v>Prog disease on 2nd therapy Olaparib</v>
      </c>
      <c r="B22" s="64">
        <f>+'CS 1 - Table 1-1'!B33</f>
        <v>0.65</v>
      </c>
      <c r="C22" s="64">
        <f>+'CS 1 - Table 1-1'!C33</f>
        <v>0.52</v>
      </c>
      <c r="D22" s="64">
        <f>+'CS 1 - Table 1-1'!D33</f>
        <v>0.77</v>
      </c>
      <c r="E22" s="65">
        <f>+ROUND('CS 1 - Table 1-1'!E33/CE_Scale,RoundPlace)</f>
        <v>324</v>
      </c>
      <c r="F22" s="65">
        <f>+ROUND('CS 1 - Table 1-1'!F33/CE_Scale,RoundPlace)</f>
        <v>260</v>
      </c>
      <c r="G22" s="65">
        <f>+ROUND('CS 1 - Table 1-1'!G33/CE_Scale,RoundPlace)</f>
        <v>444</v>
      </c>
      <c r="H22" s="64">
        <f>+'CS 1 - Table 1-1'!H33</f>
        <v>0.4</v>
      </c>
      <c r="I22" s="64">
        <f>+'CS 1 - Table 1-1'!I33</f>
        <v>0.5</v>
      </c>
      <c r="J22" s="65">
        <f>+ROUND('CS 1 - Table 1-1'!J33/CE_Scale,RoundPlace)</f>
        <v>162</v>
      </c>
      <c r="K22" s="65">
        <f>+ROUND('CS 1 - Table 1-1'!K33/CE_Scale,RoundPlace)</f>
        <v>235</v>
      </c>
      <c r="L22" s="66">
        <f>+'CS 1 - Table 1-1'!L33</f>
        <v>0.34576321858879744</v>
      </c>
      <c r="M22" s="67" t="str">
        <f>+'CS 1 - Table 1-1'!M33</f>
        <v>NO</v>
      </c>
      <c r="N22" s="67" t="str">
        <f>+'CS 1 - Table 1-1'!N33</f>
        <v>NO</v>
      </c>
    </row>
    <row r="23" spans="1:14" x14ac:dyDescent="0.25">
      <c r="A23" s="62" t="str">
        <f>+'CS 1 - Table 1-1'!A34</f>
        <v>Prog-free disease on Olaparib</v>
      </c>
      <c r="B23" s="64">
        <f>+'CS 1 - Table 1-1'!B34</f>
        <v>0.77</v>
      </c>
      <c r="C23" s="64">
        <f>+'CS 1 - Table 1-1'!C34</f>
        <v>0.72</v>
      </c>
      <c r="D23" s="64">
        <f>+'CS 1 - Table 1-1'!D34</f>
        <v>0.82</v>
      </c>
      <c r="E23" s="65">
        <f>+ROUND('CS 1 - Table 1-1'!E34/CE_Scale,RoundPlace)</f>
        <v>324</v>
      </c>
      <c r="F23" s="65">
        <f>+ROUND('CS 1 - Table 1-1'!F34/CE_Scale,RoundPlace)</f>
        <v>295</v>
      </c>
      <c r="G23" s="65">
        <f>+ROUND('CS 1 - Table 1-1'!G34/CE_Scale,RoundPlace)</f>
        <v>362</v>
      </c>
      <c r="H23" s="64">
        <f>+'CS 1 - Table 1-1'!H34</f>
        <v>0.72</v>
      </c>
      <c r="I23" s="64">
        <f>+'CS 1 - Table 1-1'!I34</f>
        <v>0.6</v>
      </c>
      <c r="J23" s="65">
        <f>+ROUND('CS 1 - Table 1-1'!J34/CE_Scale,RoundPlace)</f>
        <v>295</v>
      </c>
      <c r="K23" s="65">
        <f>+ROUND('CS 1 - Table 1-1'!K34/CE_Scale,RoundPlace)</f>
        <v>263</v>
      </c>
      <c r="L23" s="66">
        <f>+'CS 1 - Table 1-1'!L34</f>
        <v>0.10316964920958674</v>
      </c>
      <c r="M23" s="67" t="str">
        <f>+'CS 1 - Table 1-1'!M34</f>
        <v>NO</v>
      </c>
      <c r="N23" s="67" t="str">
        <f>+'CS 1 - Table 1-1'!N34</f>
        <v>NO</v>
      </c>
    </row>
    <row r="24" spans="1:14" x14ac:dyDescent="0.25">
      <c r="A24" s="62" t="str">
        <f>+'CS 1 - Table 1-1'!A35</f>
        <v>Prog disease on 1st therapy Olaparib/placebo</v>
      </c>
      <c r="B24" s="64">
        <f>+'CS 1 - Table 1-1'!B35</f>
        <v>0.72</v>
      </c>
      <c r="C24" s="64">
        <f>+'CS 1 - Table 1-1'!C35</f>
        <v>0.57999999999999996</v>
      </c>
      <c r="D24" s="64">
        <f>+'CS 1 - Table 1-1'!D35</f>
        <v>0.84</v>
      </c>
      <c r="E24" s="65">
        <f>+ROUND('CS 1 - Table 1-1'!E35/CE_Scale,RoundPlace)</f>
        <v>324</v>
      </c>
      <c r="F24" s="65">
        <f>+ROUND('CS 1 - Table 1-1'!F35/CE_Scale,RoundPlace)</f>
        <v>292</v>
      </c>
      <c r="G24" s="65">
        <f>+ROUND('CS 1 - Table 1-1'!G35/CE_Scale,RoundPlace)</f>
        <v>358</v>
      </c>
      <c r="H24" s="64">
        <f>+'CS 1 - Table 1-1'!H35</f>
        <v>0.4</v>
      </c>
      <c r="I24" s="64">
        <f>+'CS 1 - Table 1-1'!I35</f>
        <v>0.5</v>
      </c>
      <c r="J24" s="65">
        <f>+ROUND('CS 1 - Table 1-1'!J35/CE_Scale,RoundPlace)</f>
        <v>263</v>
      </c>
      <c r="K24" s="65">
        <f>+ROUND('CS 1 - Table 1-1'!K35/CE_Scale,RoundPlace)</f>
        <v>277</v>
      </c>
      <c r="L24" s="66">
        <f>+'CS 1 - Table 1-1'!L35</f>
        <v>0.11024388617692334</v>
      </c>
      <c r="M24" s="67" t="str">
        <f>+'CS 1 - Table 1-1'!M35</f>
        <v>NO</v>
      </c>
      <c r="N24" s="67" t="str">
        <f>+'CS 1 - Table 1-1'!N35</f>
        <v>NO</v>
      </c>
    </row>
    <row r="25" spans="1:14" x14ac:dyDescent="0.25">
      <c r="A25" s="62" t="str">
        <f>+'CS 1 - Table 1-1'!A36</f>
        <v>Prog disease on 1st therapy Olaparib</v>
      </c>
      <c r="B25" s="64">
        <f>+'CS 1 - Table 1-1'!B36</f>
        <v>0.72</v>
      </c>
      <c r="C25" s="64">
        <f>+'CS 1 - Table 1-1'!C36</f>
        <v>0.57999999999999996</v>
      </c>
      <c r="D25" s="64">
        <f>+'CS 1 - Table 1-1'!D36</f>
        <v>0.84</v>
      </c>
      <c r="E25" s="65">
        <f>+ROUND('CS 1 - Table 1-1'!E36/CE_Scale,RoundPlace)</f>
        <v>324</v>
      </c>
      <c r="F25" s="65">
        <f>+ROUND('CS 1 - Table 1-1'!F36/CE_Scale,RoundPlace)</f>
        <v>297</v>
      </c>
      <c r="G25" s="65">
        <f>+ROUND('CS 1 - Table 1-1'!G36/CE_Scale,RoundPlace)</f>
        <v>363</v>
      </c>
      <c r="H25" s="64">
        <f>+'CS 1 - Table 1-1'!H36</f>
        <v>0.4</v>
      </c>
      <c r="I25" s="64">
        <f>+'CS 1 - Table 1-1'!I36</f>
        <v>0.5</v>
      </c>
      <c r="J25" s="65">
        <f>+ROUND('CS 1 - Table 1-1'!J36/CE_Scale,RoundPlace)</f>
        <v>248</v>
      </c>
      <c r="K25" s="65">
        <f>+ROUND('CS 1 - Table 1-1'!K36/CE_Scale,RoundPlace)</f>
        <v>274</v>
      </c>
      <c r="L25" s="66">
        <f>+'CS 1 - Table 1-1'!L36</f>
        <v>0.13848506934765062</v>
      </c>
      <c r="M25" s="67" t="str">
        <f>+'CS 1 - Table 1-1'!M36</f>
        <v>NO</v>
      </c>
      <c r="N25" s="67" t="str">
        <f>+'CS 1 - Table 1-1'!N36</f>
        <v>NO</v>
      </c>
    </row>
    <row r="26" spans="1:14" x14ac:dyDescent="0.25">
      <c r="A26" s="62" t="str">
        <f>+'CS 1 - Table 1-1'!A37</f>
        <v>Prog-free disease off Olaparib</v>
      </c>
      <c r="B26" s="64">
        <f>+'CS 1 - Table 1-1'!B37</f>
        <v>0.71</v>
      </c>
      <c r="C26" s="64">
        <f>+'CS 1 - Table 1-1'!C37</f>
        <v>0.66</v>
      </c>
      <c r="D26" s="64">
        <f>+'CS 1 - Table 1-1'!D37</f>
        <v>0.76</v>
      </c>
      <c r="E26" s="65">
        <f>+ROUND('CS 1 - Table 1-1'!E37/CE_Scale,RoundPlace)</f>
        <v>324</v>
      </c>
      <c r="F26" s="65">
        <f>+ROUND('CS 1 - Table 1-1'!F37/CE_Scale,RoundPlace)</f>
        <v>305</v>
      </c>
      <c r="G26" s="65">
        <f>+ROUND('CS 1 - Table 1-1'!G37/CE_Scale,RoundPlace)</f>
        <v>346</v>
      </c>
      <c r="H26" s="64">
        <f>+'CS 1 - Table 1-1'!H37</f>
        <v>0.72</v>
      </c>
      <c r="I26" s="64">
        <f>+'CS 1 - Table 1-1'!I37</f>
        <v>0.72</v>
      </c>
      <c r="J26" s="65">
        <f>+ROUND('CS 1 - Table 1-1'!J37/CE_Scale,RoundPlace)</f>
        <v>328</v>
      </c>
      <c r="K26" s="65">
        <f>+ROUND('CS 1 - Table 1-1'!K37/CE_Scale,RoundPlace)</f>
        <v>328</v>
      </c>
      <c r="L26" s="66">
        <f>+'CS 1 - Table 1-1'!L37</f>
        <v>6.3293946425811796E-3</v>
      </c>
      <c r="M26" s="67" t="str">
        <f>+'CS 1 - Table 1-1'!M37</f>
        <v>NO</v>
      </c>
      <c r="N26" s="67" t="str">
        <f>+'CS 1 - Table 1-1'!N37</f>
        <v>NO</v>
      </c>
    </row>
    <row r="27" spans="1:14" x14ac:dyDescent="0.25">
      <c r="A27" s="62" t="str">
        <f>+'CS 1 - Table 1-1'!A38</f>
        <v>Prog-free disease on Olaparib/placebo</v>
      </c>
      <c r="B27" s="64">
        <f>+'CS 1 - Table 1-1'!B38</f>
        <v>0.77</v>
      </c>
      <c r="C27" s="64">
        <f>+'CS 1 - Table 1-1'!C38</f>
        <v>0.73</v>
      </c>
      <c r="D27" s="64">
        <f>+'CS 1 - Table 1-1'!D38</f>
        <v>0.80800000000000005</v>
      </c>
      <c r="E27" s="65">
        <f>+ROUND('CS 1 - Table 1-1'!E38/CE_Scale,RoundPlace)</f>
        <v>324</v>
      </c>
      <c r="F27" s="65">
        <f>+ROUND('CS 1 - Table 1-1'!F38/CE_Scale,RoundPlace)</f>
        <v>310</v>
      </c>
      <c r="G27" s="65">
        <f>+ROUND('CS 1 - Table 1-1'!G38/CE_Scale,RoundPlace)</f>
        <v>339</v>
      </c>
      <c r="H27" s="64">
        <f>+'CS 1 - Table 1-1'!H38</f>
        <v>0.72</v>
      </c>
      <c r="I27" s="64">
        <f>+'CS 1 - Table 1-1'!I38</f>
        <v>0.6</v>
      </c>
      <c r="J27" s="65">
        <f>+ROUND('CS 1 - Table 1-1'!J38/CE_Scale,RoundPlace)</f>
        <v>307</v>
      </c>
      <c r="K27" s="65">
        <f>+ROUND('CS 1 - Table 1-1'!K38/CE_Scale,RoundPlace)</f>
        <v>274</v>
      </c>
      <c r="L27" s="66">
        <f>+'CS 1 - Table 1-1'!L38</f>
        <v>8.2011439651655957E-2</v>
      </c>
      <c r="M27" s="67" t="str">
        <f>+'CS 1 - Table 1-1'!M38</f>
        <v>NO</v>
      </c>
      <c r="N27" s="67" t="str">
        <f>+'CS 1 - Table 1-1'!N38</f>
        <v>NO</v>
      </c>
    </row>
    <row r="28" spans="1:14" x14ac:dyDescent="0.25">
      <c r="A28" s="62" t="str">
        <f>+'CS 1 - Table 1-1'!A39</f>
        <v>Prog-free disease off Olaparib/placebo</v>
      </c>
      <c r="B28" s="64">
        <f>+'CS 1 - Table 1-1'!B39</f>
        <v>0.71</v>
      </c>
      <c r="C28" s="64">
        <f>+'CS 1 - Table 1-1'!C39</f>
        <v>0.66</v>
      </c>
      <c r="D28" s="64">
        <f>+'CS 1 - Table 1-1'!D39</f>
        <v>0.76</v>
      </c>
      <c r="E28" s="65">
        <f>+ROUND('CS 1 - Table 1-1'!E39/CE_Scale,RoundPlace)</f>
        <v>324</v>
      </c>
      <c r="F28" s="65">
        <f>+ROUND('CS 1 - Table 1-1'!F39/CE_Scale,RoundPlace)</f>
        <v>322</v>
      </c>
      <c r="G28" s="65">
        <f>+ROUND('CS 1 - Table 1-1'!G39/CE_Scale,RoundPlace)</f>
        <v>327</v>
      </c>
      <c r="H28" s="64">
        <f>+'CS 1 - Table 1-1'!H39</f>
        <v>0.72</v>
      </c>
      <c r="I28" s="64">
        <f>+'CS 1 - Table 1-1'!I39</f>
        <v>0.72</v>
      </c>
      <c r="J28" s="65">
        <f>+ROUND('CS 1 - Table 1-1'!J39/CE_Scale,RoundPlace)</f>
        <v>325</v>
      </c>
      <c r="K28" s="65">
        <f>+ROUND('CS 1 - Table 1-1'!K39/CE_Scale,RoundPlace)</f>
        <v>325</v>
      </c>
      <c r="L28" s="66">
        <f>+'CS 1 - Table 1-1'!L39</f>
        <v>7.7106346379078692E-4</v>
      </c>
      <c r="M28" s="67" t="str">
        <f>+'CS 1 - Table 1-1'!M39</f>
        <v>NO</v>
      </c>
      <c r="N28" s="67" t="str">
        <f>+'CS 1 - Table 1-1'!N39</f>
        <v>NO</v>
      </c>
    </row>
    <row r="29" spans="1:14" x14ac:dyDescent="0.25">
      <c r="A29" s="84" t="str">
        <f>+'CS 1 - Table 1-1'!A44</f>
        <v>Analysis (e) Rucaparib – gBRCAm Versus Placebo in Maintenance Therapy for Platinum-Sensitive Disease</v>
      </c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6"/>
    </row>
    <row r="30" spans="1:14" x14ac:dyDescent="0.25">
      <c r="A30" s="62" t="str">
        <f>+'CS 1 - Table 1-1'!A45</f>
        <v>Prog disease on Rucaparib/placebo</v>
      </c>
      <c r="B30" s="64">
        <f>+'CS 1 - Table 1-1'!B45</f>
        <v>0.68</v>
      </c>
      <c r="C30" s="64">
        <f>+'CS 1 - Table 1-1'!C45</f>
        <v>0.55000000000000004</v>
      </c>
      <c r="D30" s="64">
        <f>+'CS 1 - Table 1-1'!D45</f>
        <v>0.8</v>
      </c>
      <c r="E30" s="65">
        <f>+ROUND('CS 1 - Table 1-1'!E45/CE_Scale,RoundPlace)</f>
        <v>369</v>
      </c>
      <c r="F30" s="65">
        <f>+ROUND('CS 1 - Table 1-1'!F45/CE_Scale,RoundPlace)</f>
        <v>217</v>
      </c>
      <c r="G30" s="65">
        <f>+ROUND('CS 1 - Table 1-1'!G45/CE_Scale,RoundPlace)</f>
        <v>1001</v>
      </c>
      <c r="H30" s="64">
        <f>+'CS 1 - Table 1-1'!H45</f>
        <v>0.4</v>
      </c>
      <c r="I30" s="64">
        <f>+'CS 1 - Table 1-1'!I45</f>
        <v>0.5</v>
      </c>
      <c r="J30" s="65">
        <f>+ROUND('CS 1 - Table 1-1'!J45/CE_Scale,RoundPlace)</f>
        <v>0</v>
      </c>
      <c r="K30" s="65">
        <f>+ROUND('CS 1 - Table 1-1'!K45/CE_Scale,RoundPlace)</f>
        <v>0</v>
      </c>
      <c r="L30" s="66" t="e">
        <f>+'CS 1 - Table 1-1'!L45</f>
        <v>#DIV/0!</v>
      </c>
      <c r="M30" s="67" t="str">
        <f>+'CS 1 - Table 1-1'!M45</f>
        <v>YES</v>
      </c>
      <c r="N30" s="67" t="str">
        <f>+'CS 1 - Table 1-1'!N45</f>
        <v>YES</v>
      </c>
    </row>
    <row r="31" spans="1:14" x14ac:dyDescent="0.25">
      <c r="A31" s="62" t="str">
        <f>+'CS 1 - Table 1-1'!A46</f>
        <v>Prog disease on Rucaparib</v>
      </c>
      <c r="B31" s="64">
        <f>+'CS 1 - Table 1-1'!B46</f>
        <v>0.68</v>
      </c>
      <c r="C31" s="64">
        <f>+'CS 1 - Table 1-1'!C46</f>
        <v>0.55000000000000004</v>
      </c>
      <c r="D31" s="64">
        <f>+'CS 1 - Table 1-1'!D46</f>
        <v>0.8</v>
      </c>
      <c r="E31" s="65">
        <f>+ROUND('CS 1 - Table 1-1'!E46/CE_Scale,RoundPlace)</f>
        <v>369</v>
      </c>
      <c r="F31" s="65">
        <f>+ROUND('CS 1 - Table 1-1'!F46/CE_Scale,RoundPlace)</f>
        <v>254</v>
      </c>
      <c r="G31" s="65">
        <f>+ROUND('CS 1 - Table 1-1'!G46/CE_Scale,RoundPlace)</f>
        <v>745</v>
      </c>
      <c r="H31" s="64">
        <f>+'CS 1 - Table 1-1'!H46</f>
        <v>0.4</v>
      </c>
      <c r="I31" s="64">
        <f>+'CS 1 - Table 1-1'!I46</f>
        <v>0.5</v>
      </c>
      <c r="J31" s="65">
        <f>+ROUND('CS 1 - Table 1-1'!J46/CE_Scale,RoundPlace)</f>
        <v>0</v>
      </c>
      <c r="K31" s="65">
        <f>+ROUND('CS 1 - Table 1-1'!K46/CE_Scale,RoundPlace)</f>
        <v>112</v>
      </c>
      <c r="L31" s="66">
        <f>+'CS 1 - Table 1-1'!L46</f>
        <v>1.6529827981143193</v>
      </c>
      <c r="M31" s="67" t="str">
        <f>+'CS 1 - Table 1-1'!M46</f>
        <v>YES</v>
      </c>
      <c r="N31" s="67" t="str">
        <f>+'CS 1 - Table 1-1'!N46</f>
        <v>YES</v>
      </c>
    </row>
    <row r="32" spans="1:14" x14ac:dyDescent="0.25">
      <c r="A32" s="62" t="str">
        <f>+'CS 1 - Table 1-1'!A47</f>
        <v>Prog-free disease on Rucaparib</v>
      </c>
      <c r="B32" s="64">
        <f>+'CS 1 - Table 1-1'!B47</f>
        <v>0.77</v>
      </c>
      <c r="C32" s="64">
        <f>+'CS 1 - Table 1-1'!C47</f>
        <v>0.72</v>
      </c>
      <c r="D32" s="64">
        <f>+'CS 1 - Table 1-1'!D47</f>
        <v>0.82</v>
      </c>
      <c r="E32" s="65">
        <f>+ROUND('CS 1 - Table 1-1'!E47/CE_Scale,RoundPlace)</f>
        <v>369</v>
      </c>
      <c r="F32" s="65">
        <f>+ROUND('CS 1 - Table 1-1'!F47/CE_Scale,RoundPlace)</f>
        <v>333</v>
      </c>
      <c r="G32" s="65">
        <f>+ROUND('CS 1 - Table 1-1'!G47/CE_Scale,RoundPlace)</f>
        <v>417</v>
      </c>
      <c r="H32" s="64">
        <f>+'CS 1 - Table 1-1'!H47</f>
        <v>0.72</v>
      </c>
      <c r="I32" s="64">
        <f>+'CS 1 - Table 1-1'!I47</f>
        <v>0.6</v>
      </c>
      <c r="J32" s="65">
        <f>+ROUND('CS 1 - Table 1-1'!J47/CE_Scale,RoundPlace)</f>
        <v>333</v>
      </c>
      <c r="K32" s="65">
        <f>+ROUND('CS 1 - Table 1-1'!K47/CE_Scale,RoundPlace)</f>
        <v>298</v>
      </c>
      <c r="L32" s="66">
        <f>+'CS 1 - Table 1-1'!L47</f>
        <v>0.10726808546382928</v>
      </c>
      <c r="M32" s="67" t="str">
        <f>+'CS 1 - Table 1-1'!M47</f>
        <v>NO</v>
      </c>
      <c r="N32" s="67" t="str">
        <f>+'CS 1 - Table 1-1'!N47</f>
        <v>NO</v>
      </c>
    </row>
    <row r="33" spans="1:14" x14ac:dyDescent="0.25">
      <c r="A33" s="62" t="str">
        <f>+'CS 1 - Table 1-1'!A48</f>
        <v>Prog-free disease off Rucaparib</v>
      </c>
      <c r="B33" s="64">
        <f>+'CS 1 - Table 1-1'!B48</f>
        <v>0.71</v>
      </c>
      <c r="C33" s="64">
        <f>+'CS 1 - Table 1-1'!C48</f>
        <v>0.66</v>
      </c>
      <c r="D33" s="64">
        <f>+'CS 1 - Table 1-1'!D48</f>
        <v>0.76</v>
      </c>
      <c r="E33" s="65">
        <f>+ROUND('CS 1 - Table 1-1'!E48/CE_Scale,RoundPlace)</f>
        <v>369</v>
      </c>
      <c r="F33" s="65">
        <f>+ROUND('CS 1 - Table 1-1'!F48/CE_Scale,RoundPlace)</f>
        <v>347</v>
      </c>
      <c r="G33" s="65">
        <f>+ROUND('CS 1 - Table 1-1'!G48/CE_Scale,RoundPlace)</f>
        <v>396</v>
      </c>
      <c r="H33" s="64">
        <f>+'CS 1 - Table 1-1'!H48</f>
        <v>0.72</v>
      </c>
      <c r="I33" s="64">
        <f>+'CS 1 - Table 1-1'!I48</f>
        <v>0.72</v>
      </c>
      <c r="J33" s="65">
        <f>+ROUND('CS 1 - Table 1-1'!J48/CE_Scale,RoundPlace)</f>
        <v>374</v>
      </c>
      <c r="K33" s="65">
        <f>+ROUND('CS 1 - Table 1-1'!K48/CE_Scale,RoundPlace)</f>
        <v>374</v>
      </c>
      <c r="L33" s="66">
        <f>+'CS 1 - Table 1-1'!L48</f>
        <v>6.642864893846104E-3</v>
      </c>
      <c r="M33" s="67" t="str">
        <f>+'CS 1 - Table 1-1'!M48</f>
        <v>NO</v>
      </c>
      <c r="N33" s="67" t="str">
        <f>+'CS 1 - Table 1-1'!N48</f>
        <v>NO</v>
      </c>
    </row>
    <row r="34" spans="1:14" x14ac:dyDescent="0.25">
      <c r="A34" s="62" t="str">
        <f>+'CS 1 - Table 1-1'!A49</f>
        <v>Prog-free disease on Rucaparib/placebo</v>
      </c>
      <c r="B34" s="64">
        <f>+'CS 1 - Table 1-1'!B49</f>
        <v>0.77</v>
      </c>
      <c r="C34" s="64">
        <f>+'CS 1 - Table 1-1'!C49</f>
        <v>0.66</v>
      </c>
      <c r="D34" s="64">
        <f>+'CS 1 - Table 1-1'!D49</f>
        <v>0.76</v>
      </c>
      <c r="E34" s="65">
        <f>+ROUND('CS 1 - Table 1-1'!E49/CE_Scale,RoundPlace)</f>
        <v>369</v>
      </c>
      <c r="F34" s="65">
        <f>+ROUND('CS 1 - Table 1-1'!F49/CE_Scale,RoundPlace)</f>
        <v>353</v>
      </c>
      <c r="G34" s="65">
        <f>+ROUND('CS 1 - Table 1-1'!G49/CE_Scale,RoundPlace)</f>
        <v>387</v>
      </c>
      <c r="H34" s="64">
        <f>+'CS 1 - Table 1-1'!H49</f>
        <v>0.72</v>
      </c>
      <c r="I34" s="64">
        <f>+'CS 1 - Table 1-1'!I49</f>
        <v>0.6</v>
      </c>
      <c r="J34" s="65">
        <f>+ROUND('CS 1 - Table 1-1'!J49/CE_Scale,RoundPlace)</f>
        <v>367</v>
      </c>
      <c r="K34" s="65">
        <f>+ROUND('CS 1 - Table 1-1'!K49/CE_Scale,RoundPlace)</f>
        <v>340</v>
      </c>
      <c r="L34" s="66">
        <f>+'CS 1 - Table 1-1'!L49</f>
        <v>3.9915489168257844E-2</v>
      </c>
      <c r="M34" s="67" t="str">
        <f>+'CS 1 - Table 1-1'!M49</f>
        <v>NO</v>
      </c>
      <c r="N34" s="67" t="str">
        <f>+'CS 1 - Table 1-1'!N49</f>
        <v>NO</v>
      </c>
    </row>
    <row r="35" spans="1:14" x14ac:dyDescent="0.25">
      <c r="A35" s="62" t="str">
        <f>+'CS 1 - Table 1-1'!A50</f>
        <v>Prog-free disease off Rucaparib/placebo</v>
      </c>
      <c r="B35" s="64">
        <f>+'CS 1 - Table 1-1'!B50</f>
        <v>0.71</v>
      </c>
      <c r="C35" s="64">
        <f>+'CS 1 - Table 1-1'!C50</f>
        <v>0.66</v>
      </c>
      <c r="D35" s="64">
        <f>+'CS 1 - Table 1-1'!D50</f>
        <v>0.76</v>
      </c>
      <c r="E35" s="65">
        <f>+ROUND('CS 1 - Table 1-1'!E50/CE_Scale,RoundPlace)</f>
        <v>369</v>
      </c>
      <c r="F35" s="65">
        <f>+ROUND('CS 1 - Table 1-1'!F50/CE_Scale,RoundPlace)</f>
        <v>366</v>
      </c>
      <c r="G35" s="65">
        <f>+ROUND('CS 1 - Table 1-1'!G50/CE_Scale,RoundPlace)</f>
        <v>372</v>
      </c>
      <c r="H35" s="64">
        <f>+'CS 1 - Table 1-1'!H50</f>
        <v>0.72</v>
      </c>
      <c r="I35" s="64">
        <f>+'CS 1 - Table 1-1'!I50</f>
        <v>0.72</v>
      </c>
      <c r="J35" s="65">
        <f>+ROUND('CS 1 - Table 1-1'!J50/CE_Scale,RoundPlace)</f>
        <v>370</v>
      </c>
      <c r="K35" s="65">
        <f>+ROUND('CS 1 - Table 1-1'!K50/CE_Scale,RoundPlace)</f>
        <v>370</v>
      </c>
      <c r="L35" s="66">
        <f>+'CS 1 - Table 1-1'!L50</f>
        <v>7.3963696823816088E-4</v>
      </c>
      <c r="M35" s="67" t="str">
        <f>+'CS 1 - Table 1-1'!M50</f>
        <v>NO</v>
      </c>
      <c r="N35" s="67" t="str">
        <f>+'CS 1 - Table 1-1'!N50</f>
        <v>NO</v>
      </c>
    </row>
    <row r="36" spans="1:14" x14ac:dyDescent="0.25">
      <c r="A36" s="7"/>
      <c r="B36" s="11"/>
      <c r="C36" s="11"/>
      <c r="D36" s="11"/>
      <c r="E36" s="12"/>
      <c r="F36" s="12"/>
      <c r="G36" s="12"/>
      <c r="H36" s="11"/>
      <c r="I36" s="11"/>
      <c r="J36" s="12"/>
      <c r="K36" s="12"/>
      <c r="L36" s="13"/>
      <c r="M36" s="36"/>
      <c r="N36" s="36"/>
    </row>
  </sheetData>
  <mergeCells count="10">
    <mergeCell ref="A3:N3"/>
    <mergeCell ref="A8:N8"/>
    <mergeCell ref="A13:N13"/>
    <mergeCell ref="A20:N20"/>
    <mergeCell ref="A29:N29"/>
    <mergeCell ref="B1:D1"/>
    <mergeCell ref="E1:G1"/>
    <mergeCell ref="H1:I1"/>
    <mergeCell ref="J1:K1"/>
    <mergeCell ref="L1:N1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DB7B-D0DB-4530-AEEF-6C859C3EDE01}">
  <sheetPr>
    <tabColor rgb="FF92D050"/>
  </sheetPr>
  <dimension ref="A1:I58"/>
  <sheetViews>
    <sheetView workbookViewId="0">
      <selection activeCell="F23" sqref="F23"/>
    </sheetView>
  </sheetViews>
  <sheetFormatPr defaultRowHeight="15" x14ac:dyDescent="0.25"/>
  <cols>
    <col min="1" max="1" width="10.85546875" customWidth="1"/>
    <col min="4" max="4" width="13.140625" customWidth="1"/>
    <col min="5" max="5" width="16.7109375" customWidth="1"/>
    <col min="6" max="6" width="14.140625" customWidth="1"/>
    <col min="7" max="7" width="15" customWidth="1"/>
    <col min="8" max="8" width="15.42578125" customWidth="1"/>
  </cols>
  <sheetData>
    <row r="1" spans="1:9" ht="36.75" customHeight="1" x14ac:dyDescent="0.25">
      <c r="A1" s="68"/>
      <c r="B1" s="90" t="s">
        <v>178</v>
      </c>
      <c r="C1" s="90"/>
      <c r="D1" s="69" t="s">
        <v>179</v>
      </c>
      <c r="E1" s="70" t="s">
        <v>180</v>
      </c>
      <c r="F1" s="70" t="s">
        <v>181</v>
      </c>
      <c r="G1" s="70" t="s">
        <v>182</v>
      </c>
      <c r="H1" s="70" t="s">
        <v>183</v>
      </c>
    </row>
    <row r="2" spans="1:9" ht="36.75" customHeight="1" x14ac:dyDescent="0.25">
      <c r="A2" s="71"/>
      <c r="B2" s="70" t="s">
        <v>184</v>
      </c>
      <c r="C2" s="70" t="s">
        <v>185</v>
      </c>
      <c r="D2" s="70" t="s">
        <v>186</v>
      </c>
      <c r="E2" s="70" t="s">
        <v>187</v>
      </c>
      <c r="F2" s="69" t="s">
        <v>188</v>
      </c>
      <c r="G2" s="69" t="s">
        <v>189</v>
      </c>
      <c r="H2" s="69" t="s">
        <v>190</v>
      </c>
    </row>
    <row r="3" spans="1:9" ht="15" customHeight="1" x14ac:dyDescent="0.25">
      <c r="A3" s="87" t="s">
        <v>220</v>
      </c>
      <c r="B3" s="88"/>
      <c r="C3" s="88"/>
      <c r="D3" s="88"/>
      <c r="E3" s="88"/>
      <c r="F3" s="88"/>
      <c r="G3" s="88"/>
      <c r="H3" s="89"/>
    </row>
    <row r="4" spans="1:9" x14ac:dyDescent="0.25">
      <c r="A4" s="72" t="s">
        <v>138</v>
      </c>
      <c r="B4" s="73">
        <v>6.7</v>
      </c>
      <c r="C4" s="73">
        <v>16.600000000000001</v>
      </c>
      <c r="D4" s="74">
        <f>+C4/B4</f>
        <v>2.4776119402985075</v>
      </c>
      <c r="E4" s="73" t="s">
        <v>191</v>
      </c>
      <c r="F4" s="75">
        <f>+ROUND((CE_BC_olaparib_BRCA/CE_Scale),RoundPlace)</f>
        <v>146</v>
      </c>
      <c r="G4" s="73" t="s">
        <v>192</v>
      </c>
      <c r="H4" s="73" t="s">
        <v>192</v>
      </c>
    </row>
    <row r="5" spans="1:9" x14ac:dyDescent="0.25">
      <c r="A5" s="72" t="s">
        <v>140</v>
      </c>
      <c r="B5" s="73">
        <v>12.7</v>
      </c>
      <c r="C5" s="76"/>
      <c r="D5" s="76"/>
      <c r="E5" s="74">
        <f>+D4*B5</f>
        <v>31.465671641791044</v>
      </c>
      <c r="F5" s="75">
        <f>+ROUND((CE_BC_rucaparib_BRCA/CE_Scale),RoundPlace)</f>
        <v>295</v>
      </c>
      <c r="G5" s="74">
        <f>+E5/C4</f>
        <v>1.8955223880597012</v>
      </c>
      <c r="H5" s="75">
        <v>156</v>
      </c>
    </row>
    <row r="6" spans="1:9" x14ac:dyDescent="0.25">
      <c r="A6" s="87" t="s">
        <v>221</v>
      </c>
      <c r="B6" s="88"/>
      <c r="C6" s="88"/>
      <c r="D6" s="88"/>
      <c r="E6" s="88"/>
      <c r="F6" s="88"/>
      <c r="G6" s="88"/>
      <c r="H6" s="89"/>
    </row>
    <row r="7" spans="1:9" x14ac:dyDescent="0.25">
      <c r="A7" s="72" t="s">
        <v>139</v>
      </c>
      <c r="B7" s="73">
        <v>21</v>
      </c>
      <c r="C7" s="76"/>
      <c r="D7" s="76"/>
      <c r="E7" s="73">
        <f>+D8*B7</f>
        <v>74.5</v>
      </c>
      <c r="F7" s="75">
        <f>+ROUND((CE_BC_nicaparib_Platinum/CE_Scale),RoundPlace)</f>
        <v>291</v>
      </c>
      <c r="G7" s="73">
        <v>2.5</v>
      </c>
      <c r="H7" s="75">
        <v>117</v>
      </c>
    </row>
    <row r="8" spans="1:9" x14ac:dyDescent="0.25">
      <c r="A8" s="72" t="s">
        <v>138</v>
      </c>
      <c r="B8" s="73">
        <v>8.4</v>
      </c>
      <c r="C8" s="73">
        <v>29.8</v>
      </c>
      <c r="D8" s="74">
        <f>+C8/B8</f>
        <v>3.5476190476190474</v>
      </c>
      <c r="E8" s="73" t="s">
        <v>191</v>
      </c>
      <c r="F8" s="75">
        <f>+ROUND((CE_BC_olaparib_Platinum/CE_Scale),RoundPlace)</f>
        <v>324</v>
      </c>
      <c r="G8" s="73" t="s">
        <v>192</v>
      </c>
      <c r="H8" s="73" t="s">
        <v>192</v>
      </c>
    </row>
    <row r="9" spans="1:9" x14ac:dyDescent="0.25">
      <c r="A9" s="72" t="s">
        <v>140</v>
      </c>
      <c r="B9" s="73">
        <v>16.600000000000001</v>
      </c>
      <c r="C9" s="76"/>
      <c r="D9" s="76"/>
      <c r="E9" s="74">
        <f>+D8*B9</f>
        <v>58.890476190476193</v>
      </c>
      <c r="F9" s="75">
        <f>+ROUND((CE_BC_rucaparib_Platinum/CE_Scale),RoundPlace)</f>
        <v>369</v>
      </c>
      <c r="G9" s="73">
        <v>2</v>
      </c>
      <c r="H9" s="75">
        <v>187</v>
      </c>
    </row>
    <row r="11" spans="1:9" x14ac:dyDescent="0.25">
      <c r="D11" s="30" t="s">
        <v>208</v>
      </c>
      <c r="E11" s="30" t="s">
        <v>209</v>
      </c>
    </row>
    <row r="12" spans="1:9" x14ac:dyDescent="0.25">
      <c r="A12" s="54" t="s">
        <v>193</v>
      </c>
      <c r="B12" s="55" t="s">
        <v>141</v>
      </c>
      <c r="C12" s="55" t="s">
        <v>138</v>
      </c>
      <c r="D12" s="36">
        <v>6.7</v>
      </c>
      <c r="E12" s="36" t="s">
        <v>194</v>
      </c>
      <c r="I12" t="s">
        <v>196</v>
      </c>
    </row>
    <row r="13" spans="1:9" x14ac:dyDescent="0.25">
      <c r="A13" s="54" t="s">
        <v>184</v>
      </c>
      <c r="C13" s="55" t="s">
        <v>140</v>
      </c>
      <c r="D13" s="36">
        <v>12.7</v>
      </c>
      <c r="E13" s="36" t="s">
        <v>197</v>
      </c>
    </row>
    <row r="14" spans="1:9" x14ac:dyDescent="0.25">
      <c r="B14" s="55" t="s">
        <v>142</v>
      </c>
      <c r="C14" s="55" t="s">
        <v>195</v>
      </c>
      <c r="D14" s="36">
        <v>21</v>
      </c>
      <c r="E14" s="36" t="s">
        <v>199</v>
      </c>
    </row>
    <row r="15" spans="1:9" x14ac:dyDescent="0.25">
      <c r="C15" s="55" t="s">
        <v>138</v>
      </c>
      <c r="D15" s="36">
        <v>8.4</v>
      </c>
      <c r="E15" s="36" t="s">
        <v>196</v>
      </c>
    </row>
    <row r="16" spans="1:9" x14ac:dyDescent="0.25">
      <c r="C16" s="55" t="s">
        <v>140</v>
      </c>
      <c r="D16" s="36">
        <v>16.600000000000001</v>
      </c>
      <c r="E16" s="36" t="s">
        <v>198</v>
      </c>
    </row>
    <row r="17" spans="1:5" x14ac:dyDescent="0.25">
      <c r="A17" s="54" t="s">
        <v>193</v>
      </c>
      <c r="B17" s="55" t="s">
        <v>141</v>
      </c>
      <c r="C17" s="55" t="s">
        <v>138</v>
      </c>
      <c r="D17" s="36">
        <v>16.600000000000001</v>
      </c>
      <c r="E17" s="36" t="s">
        <v>194</v>
      </c>
    </row>
    <row r="18" spans="1:5" x14ac:dyDescent="0.25">
      <c r="A18" s="54" t="s">
        <v>185</v>
      </c>
      <c r="B18" s="55" t="s">
        <v>142</v>
      </c>
      <c r="C18" s="55" t="s">
        <v>138</v>
      </c>
      <c r="D18" s="36">
        <v>29.8</v>
      </c>
      <c r="E18" s="36" t="s">
        <v>200</v>
      </c>
    </row>
    <row r="21" spans="1:5" x14ac:dyDescent="0.25">
      <c r="A21" s="54" t="s">
        <v>105</v>
      </c>
      <c r="B21">
        <v>1000</v>
      </c>
    </row>
    <row r="22" spans="1:5" ht="15.75" customHeight="1" x14ac:dyDescent="0.25">
      <c r="A22" s="54" t="s">
        <v>106</v>
      </c>
      <c r="B22">
        <v>0</v>
      </c>
    </row>
    <row r="40" spans="9:9" x14ac:dyDescent="0.25">
      <c r="I40" t="s">
        <v>198</v>
      </c>
    </row>
    <row r="58" spans="9:9" x14ac:dyDescent="0.25">
      <c r="I58" t="s">
        <v>200</v>
      </c>
    </row>
  </sheetData>
  <mergeCells count="3">
    <mergeCell ref="A3:H3"/>
    <mergeCell ref="A6:H6"/>
    <mergeCell ref="B1:C1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6FB23-B203-4B2E-82C4-8C129E26E71B}">
  <sheetPr>
    <tabColor rgb="FF92D050"/>
  </sheetPr>
  <dimension ref="A1:U7"/>
  <sheetViews>
    <sheetView workbookViewId="0">
      <selection activeCell="G21" sqref="G21"/>
    </sheetView>
  </sheetViews>
  <sheetFormatPr defaultRowHeight="15" x14ac:dyDescent="0.25"/>
  <cols>
    <col min="1" max="1" width="33.85546875" customWidth="1"/>
    <col min="2" max="2" width="6.28515625" customWidth="1"/>
    <col min="3" max="3" width="7" customWidth="1"/>
    <col min="4" max="4" width="6.5703125" customWidth="1"/>
    <col min="5" max="5" width="6.140625" customWidth="1"/>
    <col min="6" max="6" width="8.5703125" customWidth="1"/>
    <col min="7" max="7" width="8.42578125" customWidth="1"/>
    <col min="8" max="8" width="6.85546875" customWidth="1"/>
    <col min="9" max="9" width="7" customWidth="1"/>
  </cols>
  <sheetData>
    <row r="1" spans="1:21" ht="39.75" customHeight="1" x14ac:dyDescent="0.25">
      <c r="A1" s="61"/>
      <c r="B1" s="92" t="str">
        <f>+'CS 1 - Table 1-3'!B1</f>
        <v>Treatment duration assumptions from ICER (i)</v>
      </c>
      <c r="C1" s="92"/>
      <c r="D1" s="92"/>
      <c r="E1" s="92" t="str">
        <f>+'CS 1 - Table 1-3'!E1</f>
        <v>CE ratios from ICER ($000/QALY) (ii)</v>
      </c>
      <c r="F1" s="92"/>
      <c r="G1" s="92"/>
      <c r="H1" s="92" t="str">
        <f>+'CS 1 - Table 1-3'!H1</f>
        <v>Expert group treatment duration assumptions (iii)</v>
      </c>
      <c r="I1" s="92"/>
      <c r="J1" s="92" t="str">
        <f>+'CS 1 - Table 1-3'!J1</f>
        <v>Expert group imputed CE ratios (iv)</v>
      </c>
      <c r="K1" s="92"/>
      <c r="L1" s="92" t="str">
        <f>+'CS 1 - Table 1-3'!L1</f>
        <v>Influence measures (v)</v>
      </c>
      <c r="M1" s="92"/>
      <c r="N1" s="92"/>
      <c r="O1" s="3"/>
    </row>
    <row r="2" spans="1:21" ht="36" customHeight="1" x14ac:dyDescent="0.25">
      <c r="A2" s="62"/>
      <c r="B2" s="63" t="str">
        <f>+'CS 1 - Table 1-1'!B2</f>
        <v>Base case</v>
      </c>
      <c r="C2" s="63" t="str">
        <f>+'CS 1 - Table 1-1'!C2</f>
        <v>Lower bound</v>
      </c>
      <c r="D2" s="63" t="str">
        <f>+'CS 1 - Table 1-1'!D2</f>
        <v>Upper bound</v>
      </c>
      <c r="E2" s="63" t="str">
        <f>+'CS 1 - Table 1-1'!E2</f>
        <v>Base case</v>
      </c>
      <c r="F2" s="63" t="str">
        <f>+'CS 1 - Table 1-1'!F2</f>
        <v>Lower bound assumption</v>
      </c>
      <c r="G2" s="63" t="str">
        <f>+'CS 1 - Table 1-1'!G2</f>
        <v>Upper bound assumption</v>
      </c>
      <c r="H2" s="63" t="str">
        <f>+'CS 1 - Table 1-1'!H2</f>
        <v>Expert Group 1</v>
      </c>
      <c r="I2" s="63" t="str">
        <f>+'CS 1 - Table 1-1'!I2</f>
        <v>Expert Group 2</v>
      </c>
      <c r="J2" s="63" t="str">
        <f>+'CS 1 - Table 1-1'!J2</f>
        <v>Expert Group 1</v>
      </c>
      <c r="K2" s="63" t="str">
        <f>+'CS 1 - Table 1-1'!K2</f>
        <v>Expert Group 2</v>
      </c>
      <c r="L2" s="63" t="str">
        <f>+'CS 1 - Table 1-1'!L2</f>
        <v>Avg pct deviation</v>
      </c>
      <c r="M2" s="63" t="str">
        <f>+'CS 1 - Table 1-1'!M2</f>
        <v>Cross $100K benchmark</v>
      </c>
      <c r="N2" s="63" t="str">
        <f>+'CS 1 - Table 1-1'!N2</f>
        <v>Cross $150K benchmark</v>
      </c>
    </row>
    <row r="3" spans="1:21" x14ac:dyDescent="0.25">
      <c r="A3" s="91" t="str">
        <f>+'CS 1 - Table 1-3'!A3</f>
        <v>Olaparib for Recurrent BRCA-mutated population - Analysis (a)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U3" s="2"/>
    </row>
    <row r="4" spans="1:21" x14ac:dyDescent="0.25">
      <c r="A4" s="62" t="str">
        <f>+'CS 1 - Table 1-3'!A4</f>
        <v>Duration of Treatment (Median Months) PLD+C</v>
      </c>
      <c r="B4" s="64">
        <f>+'CS 1 - Table 1-3'!B4</f>
        <v>5.3065921030333847</v>
      </c>
      <c r="C4" s="64">
        <f>+'CS 1 - Table 1-3'!C4</f>
        <v>2.1</v>
      </c>
      <c r="D4" s="64">
        <f>+'CS 1 - Table 1-3'!D4</f>
        <v>10.76</v>
      </c>
      <c r="E4" s="65">
        <f>+ROUND('CS 1 - Table 1-3'!E4/CE_Scale,RoundPlace)</f>
        <v>146</v>
      </c>
      <c r="F4" s="65">
        <f>+ROUND('CS 1 - Table 1-3'!F4/CE_Scale,RoundPlace)</f>
        <v>140</v>
      </c>
      <c r="G4" s="65">
        <f>+ROUND('CS 1 - Table 1-3'!G4/CE_Scale,RoundPlace)</f>
        <v>157</v>
      </c>
      <c r="H4" s="64">
        <f>+'CS 1 - Table 1-3'!H4</f>
        <v>5.3</v>
      </c>
      <c r="I4" s="64">
        <f>+'CS 1 - Table 1-3'!I4</f>
        <v>8.1999999999999993</v>
      </c>
      <c r="J4" s="65">
        <f>+ROUND('CS 1 - Table 1-3'!J4/CE_Scale,RoundPlace)</f>
        <v>146</v>
      </c>
      <c r="K4" s="65">
        <f>+ROUND('CS 1 - Table 1-3'!K4/CE_Scale,RoundPlace)</f>
        <v>152</v>
      </c>
      <c r="L4" s="66">
        <f>+'CS 1 - Table 1-3'!L4</f>
        <v>2.0273087856642089E-2</v>
      </c>
      <c r="M4" s="67" t="str">
        <f>+'CS 1 - Table 1-3'!M4</f>
        <v>NO</v>
      </c>
      <c r="N4" s="67" t="str">
        <f>+'CS 1 - Table 1-3'!N4</f>
        <v>YES</v>
      </c>
      <c r="U4" s="2"/>
    </row>
    <row r="5" spans="1:21" x14ac:dyDescent="0.25">
      <c r="A5" s="91" t="str">
        <f>+'CS 1 - Table 1-3'!A11</f>
        <v>Rucaparib  in Recurrent BRCA-Mutated Population - Analysis (b)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</row>
    <row r="6" spans="1:21" x14ac:dyDescent="0.25">
      <c r="A6" s="62" t="str">
        <f>+'CS 1 - Table 1-3'!A12</f>
        <v>Duration Of Treatment (Median Months) PLD+C</v>
      </c>
      <c r="B6" s="64">
        <f>+'CS 1 - Table 1-3'!B12</f>
        <v>5.4540236000858187</v>
      </c>
      <c r="C6" s="64">
        <f>+'CS 1 - Table 1-3'!C12</f>
        <v>2.41</v>
      </c>
      <c r="D6" s="64">
        <f>+'CS 1 - Table 1-3'!D12</f>
        <v>12.3</v>
      </c>
      <c r="E6" s="65">
        <f>+ROUND('CS 1 - Table 1-3'!E12/CE_Scale,RoundPlace)</f>
        <v>295</v>
      </c>
      <c r="F6" s="65">
        <f>+ROUND('CS 1 - Table 1-3'!F12/CE_Scale,RoundPlace)</f>
        <v>287</v>
      </c>
      <c r="G6" s="65">
        <f>+ROUND('CS 1 - Table 1-3'!G12/CE_Scale,RoundPlace)</f>
        <v>311</v>
      </c>
      <c r="H6" s="64">
        <f>+'CS 1 - Table 1-3'!H12</f>
        <v>6.9</v>
      </c>
      <c r="I6" s="64" t="str">
        <f>+'CS 1 - Table 1-3'!I12</f>
        <v>#value</v>
      </c>
      <c r="J6" s="65">
        <f>+ROUND('CS 1 - Table 1-3'!J12/CE_Scale,RoundPlace)</f>
        <v>298</v>
      </c>
      <c r="K6" s="65" t="e">
        <f>+ROUND('CS 1 - Table 1-3'!K12/CE_Scale,RoundPlace)</f>
        <v>#VALUE!</v>
      </c>
      <c r="L6" s="66">
        <f>+'CS 1 - Table 1-3'!L12</f>
        <v>5.7498598958703549E-3</v>
      </c>
      <c r="M6" s="67" t="str">
        <f>+'CS 1 - Table 1-3'!M12</f>
        <v>NO</v>
      </c>
      <c r="N6" s="67" t="str">
        <f>+'CS 1 - Table 1-3'!N12</f>
        <v>NO</v>
      </c>
    </row>
    <row r="7" spans="1:21" x14ac:dyDescent="0.25">
      <c r="A7" s="7"/>
      <c r="B7" s="11"/>
      <c r="C7" s="11"/>
      <c r="D7" s="11"/>
      <c r="E7" s="12"/>
      <c r="F7" s="12"/>
      <c r="G7" s="12"/>
      <c r="H7" s="11"/>
      <c r="I7" s="11"/>
      <c r="J7" s="12"/>
      <c r="K7" s="12"/>
      <c r="L7" s="13"/>
      <c r="M7" s="36"/>
      <c r="N7" s="36"/>
    </row>
  </sheetData>
  <mergeCells count="7">
    <mergeCell ref="A5:N5"/>
    <mergeCell ref="B1:D1"/>
    <mergeCell ref="E1:G1"/>
    <mergeCell ref="H1:I1"/>
    <mergeCell ref="J1:K1"/>
    <mergeCell ref="L1:N1"/>
    <mergeCell ref="A3:N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A36B9-E289-4F66-B52D-EFED8D192A01}">
  <sheetPr>
    <tabColor rgb="FF92D050"/>
  </sheetPr>
  <dimension ref="A1:U26"/>
  <sheetViews>
    <sheetView workbookViewId="0">
      <selection activeCell="K24" sqref="K24"/>
    </sheetView>
  </sheetViews>
  <sheetFormatPr defaultRowHeight="15" x14ac:dyDescent="0.25"/>
  <cols>
    <col min="1" max="1" width="24.28515625" customWidth="1"/>
    <col min="2" max="2" width="7.85546875" customWidth="1"/>
    <col min="3" max="3" width="7" customWidth="1"/>
    <col min="4" max="4" width="7.7109375" customWidth="1"/>
    <col min="5" max="5" width="6.140625" customWidth="1"/>
    <col min="6" max="6" width="8.5703125" customWidth="1"/>
    <col min="7" max="7" width="8.42578125" customWidth="1"/>
    <col min="8" max="8" width="7.7109375" customWidth="1"/>
    <col min="9" max="9" width="8.42578125" customWidth="1"/>
  </cols>
  <sheetData>
    <row r="1" spans="1:21" ht="39.75" customHeight="1" x14ac:dyDescent="0.25">
      <c r="A1" s="61"/>
      <c r="B1" s="92" t="str">
        <f>+'CS 1 - Table 1-4'!B1</f>
        <v>Neutrapenia cost assumptions from ICER (i)</v>
      </c>
      <c r="C1" s="92"/>
      <c r="D1" s="92"/>
      <c r="E1" s="92" t="str">
        <f>+'CS 1 - Table 1-4'!E1</f>
        <v>CE ratios from ICER ($000/QALY) (ii)</v>
      </c>
      <c r="F1" s="92"/>
      <c r="G1" s="92"/>
      <c r="H1" s="92" t="str">
        <f>+'CS 1 - Table 1-4'!H1</f>
        <v>Expert group neutrapenia cost assumptions (iii)</v>
      </c>
      <c r="I1" s="92"/>
      <c r="J1" s="92" t="str">
        <f>+'CS 1 - Table 1-4'!J1</f>
        <v>Expert group imputed CE ratios (iv)</v>
      </c>
      <c r="K1" s="92"/>
      <c r="L1" s="92" t="str">
        <f>+'CS 1 - Table 1-4'!L1</f>
        <v>Influence measures (v)</v>
      </c>
      <c r="M1" s="92"/>
      <c r="N1" s="92"/>
      <c r="O1" s="3"/>
    </row>
    <row r="2" spans="1:21" ht="36" customHeight="1" x14ac:dyDescent="0.25">
      <c r="A2" s="62"/>
      <c r="B2" s="63" t="str">
        <f>+'CS 1 - Table 1-1'!B2</f>
        <v>Base case</v>
      </c>
      <c r="C2" s="63" t="str">
        <f>+'CS 1 - Table 1-1'!C2</f>
        <v>Lower bound</v>
      </c>
      <c r="D2" s="63" t="str">
        <f>+'CS 1 - Table 1-1'!D2</f>
        <v>Upper bound</v>
      </c>
      <c r="E2" s="63" t="str">
        <f>+'CS 1 - Table 1-1'!E2</f>
        <v>Base case</v>
      </c>
      <c r="F2" s="63" t="str">
        <f>+'CS 1 - Table 1-1'!F2</f>
        <v>Lower bound assumption</v>
      </c>
      <c r="G2" s="63" t="str">
        <f>+'CS 1 - Table 1-1'!G2</f>
        <v>Upper bound assumption</v>
      </c>
      <c r="H2" s="63" t="str">
        <f>+'CS 1 - Table 1-1'!H2</f>
        <v>Expert Group 1</v>
      </c>
      <c r="I2" s="63" t="str">
        <f>+'CS 1 - Table 1-1'!I2</f>
        <v>Expert Group 2</v>
      </c>
      <c r="J2" s="63" t="str">
        <f>+'CS 1 - Table 1-1'!J2</f>
        <v>Expert Group 1</v>
      </c>
      <c r="K2" s="63" t="str">
        <f>+'CS 1 - Table 1-1'!K2</f>
        <v>Expert Group 2</v>
      </c>
      <c r="L2" s="63" t="str">
        <f>+'CS 1 - Table 1-1'!L2</f>
        <v>Avg pct deviation</v>
      </c>
      <c r="M2" s="63" t="str">
        <f>+'CS 1 - Table 1-1'!M2</f>
        <v>Cross $100K benchmark</v>
      </c>
      <c r="N2" s="63" t="str">
        <f>+'CS 1 - Table 1-1'!N2</f>
        <v>Cross $150K benchmark</v>
      </c>
    </row>
    <row r="3" spans="1:21" x14ac:dyDescent="0.25">
      <c r="A3" s="91" t="str">
        <f>+'CS 1 - Table 1-4'!A3</f>
        <v>(a) Olaparib for Recurrent BRCA-mutated population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U3" s="2"/>
    </row>
    <row r="4" spans="1:21" x14ac:dyDescent="0.25">
      <c r="A4" s="62" t="str">
        <f>+'CS 1 - Table 1-4'!A4</f>
        <v>Neutropenia - Adverse event cost</v>
      </c>
      <c r="B4" s="77">
        <f>+'CS 1 - Table 1-4'!B4</f>
        <v>64259.514550609245</v>
      </c>
      <c r="C4" s="78">
        <f>+'CS 1 - Table 1-4'!C4</f>
        <v>1.48</v>
      </c>
      <c r="D4" s="77">
        <f>+'CS 1 - Table 1-4'!D4</f>
        <v>77892</v>
      </c>
      <c r="E4" s="65">
        <f>+ROUND('CS 1 - Table 1-4'!E4/CE_Scale,RoundPlace)</f>
        <v>146</v>
      </c>
      <c r="F4" s="65">
        <f>+ROUND('CS 1 - Table 1-4'!F4/CE_Scale,RoundPlace)</f>
        <v>119</v>
      </c>
      <c r="G4" s="65">
        <f>+ROUND('CS 1 - Table 1-4'!G4/CE_Scale,RoundPlace)</f>
        <v>152</v>
      </c>
      <c r="H4" s="77">
        <f>+'CS 1 - Table 1-4'!H4</f>
        <v>10636</v>
      </c>
      <c r="I4" s="77">
        <f>+'CS 1 - Table 1-4'!I4</f>
        <v>16850</v>
      </c>
      <c r="J4" s="65">
        <f>+ROUND('CS 1 - Table 1-4'!J4/CE_Scale,RoundPlace)</f>
        <v>123</v>
      </c>
      <c r="K4" s="65">
        <f>+ROUND('CS 1 - Table 1-4'!K4/CE_Scale,RoundPlace)</f>
        <v>126</v>
      </c>
      <c r="L4" s="66">
        <f>+'CS 1 - Table 1-4'!L4</f>
        <v>9.0559157443509883E-2</v>
      </c>
      <c r="M4" s="67" t="str">
        <f>+'CS 1 - Table 1-4'!M4</f>
        <v>NO</v>
      </c>
      <c r="N4" s="67" t="str">
        <f>+'CS 1 - Table 1-4'!N4</f>
        <v>NO</v>
      </c>
      <c r="U4" s="2"/>
    </row>
    <row r="5" spans="1:21" x14ac:dyDescent="0.25">
      <c r="A5" s="91" t="str">
        <f>+'CS 1 - Table 1-4'!A11</f>
        <v>(b) Rucaparib  in Recurrent BRCA-Mutated Population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</row>
    <row r="6" spans="1:21" x14ac:dyDescent="0.25">
      <c r="A6" s="62" t="str">
        <f>+'CS 1 - Table 1-4'!A12</f>
        <v>Neutropenia - Adverse event cost</v>
      </c>
      <c r="B6" s="77">
        <f>+'CS 1 - Table 1-4'!B12</f>
        <v>64260.349158868798</v>
      </c>
      <c r="C6" s="78">
        <f>+'CS 1 - Table 1-4'!C12</f>
        <v>1.48</v>
      </c>
      <c r="D6" s="77">
        <f>+'CS 1 - Table 1-4'!D12</f>
        <v>77892</v>
      </c>
      <c r="E6" s="65">
        <f>+ROUND('CS 1 - Table 1-4'!E12/CE_Scale,RoundPlace)</f>
        <v>295</v>
      </c>
      <c r="F6" s="65">
        <f>+ROUND('CS 1 - Table 1-4'!F12/CE_Scale,RoundPlace)</f>
        <v>263</v>
      </c>
      <c r="G6" s="65">
        <f>+ROUND('CS 1 - Table 1-4'!G12/CE_Scale,RoundPlace)</f>
        <v>301</v>
      </c>
      <c r="H6" s="77">
        <f>+'CS 1 - Table 1-4'!H12</f>
        <v>10636</v>
      </c>
      <c r="I6" s="77">
        <f>+'CS 1 - Table 1-4'!I12</f>
        <v>16850</v>
      </c>
      <c r="J6" s="65">
        <f>+ROUND('CS 1 - Table 1-4'!J12/CE_Scale,RoundPlace)</f>
        <v>268</v>
      </c>
      <c r="K6" s="65">
        <f>+ROUND('CS 1 - Table 1-4'!K12/CE_Scale,RoundPlace)</f>
        <v>271</v>
      </c>
      <c r="L6" s="66">
        <f>+'CS 1 - Table 1-4'!L12</f>
        <v>4.8836117139986292E-2</v>
      </c>
      <c r="M6" s="67" t="str">
        <f>+'CS 1 - Table 1-4'!M12</f>
        <v>NO</v>
      </c>
      <c r="N6" s="67" t="str">
        <f>+'CS 1 - Table 1-4'!N12</f>
        <v>NO</v>
      </c>
    </row>
    <row r="7" spans="1:21" x14ac:dyDescent="0.25">
      <c r="A7" s="91" t="str">
        <f>+'CS 1 - Table 1-4'!A20</f>
        <v>(c) Niraparib for Maintenance therapy for platinum-sensitive disease</v>
      </c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</row>
    <row r="8" spans="1:21" x14ac:dyDescent="0.25">
      <c r="A8" s="62" t="str">
        <f>+'CS 1 - Table 1-4'!A21</f>
        <v>Neutropenia - Adverse event cost</v>
      </c>
      <c r="B8" s="77">
        <f>+'CS 1 - Table 1-4'!B21</f>
        <v>13628.698491459496</v>
      </c>
      <c r="C8" s="78">
        <f>+'CS 1 - Table 1-4'!C21</f>
        <v>1.48</v>
      </c>
      <c r="D8" s="77">
        <f>+'CS 1 - Table 1-4'!D21</f>
        <v>77892</v>
      </c>
      <c r="E8" s="65">
        <f>+ROUND('CS 1 - Table 1-4'!E21/CE_Scale,RoundPlace)</f>
        <v>291</v>
      </c>
      <c r="F8" s="65">
        <f>+ROUND('CS 1 - Table 1-4'!F21/CE_Scale,RoundPlace)</f>
        <v>287</v>
      </c>
      <c r="G8" s="65">
        <f>+ROUND('CS 1 - Table 1-4'!G21/CE_Scale,RoundPlace)</f>
        <v>311</v>
      </c>
      <c r="H8" s="77">
        <f>+'CS 1 - Table 1-4'!H21</f>
        <v>10636</v>
      </c>
      <c r="I8" s="77">
        <f>+'CS 1 - Table 1-4'!I21</f>
        <v>16850</v>
      </c>
      <c r="J8" s="65">
        <f>+ROUND('CS 1 - Table 1-4'!J21/CE_Scale,RoundPlace)</f>
        <v>291</v>
      </c>
      <c r="K8" s="65">
        <f>+ROUND('CS 1 - Table 1-4'!K21/CE_Scale,RoundPlace)</f>
        <v>292</v>
      </c>
      <c r="L8" s="66">
        <f>+'CS 1 - Table 1-4'!L21</f>
        <v>3.2370879587001506E-3</v>
      </c>
      <c r="M8" s="67" t="str">
        <f>+'CS 1 - Table 1-4'!M21</f>
        <v>NO</v>
      </c>
      <c r="N8" s="67" t="str">
        <f>+'CS 1 - Table 1-4'!N21</f>
        <v>NO</v>
      </c>
    </row>
    <row r="9" spans="1:21" x14ac:dyDescent="0.25">
      <c r="A9" s="91" t="str">
        <f>+'CS 1 - Table 1-4'!A44</f>
        <v>(e) Rucaparib – gBRCAm Versus Placebo in Maintenance Therapy for Platinum-Sensitive Disease</v>
      </c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</row>
    <row r="10" spans="1:21" x14ac:dyDescent="0.25">
      <c r="A10" s="62" t="str">
        <f>+'CS 1 - Table 1-4'!A45</f>
        <v>Neutropenia - Adverse event cost</v>
      </c>
      <c r="B10" s="77">
        <f>+'CS 1 - Table 1-4'!B45</f>
        <v>13632.156971600458</v>
      </c>
      <c r="C10" s="78">
        <f>+'CS 1 - Table 1-4'!C45</f>
        <v>1.49</v>
      </c>
      <c r="D10" s="77">
        <f>+'CS 1 - Table 1-4'!D45</f>
        <v>77892</v>
      </c>
      <c r="E10" s="65">
        <f>+ROUND('CS 1 - Table 1-4'!E45/CE_Scale,RoundPlace)</f>
        <v>369</v>
      </c>
      <c r="F10" s="65">
        <f>+ROUND('CS 1 - Table 1-4'!F45/CE_Scale,RoundPlace)</f>
        <v>367</v>
      </c>
      <c r="G10" s="65">
        <f>+ROUND('CS 1 - Table 1-4'!G45/CE_Scale,RoundPlace)</f>
        <v>379</v>
      </c>
      <c r="H10" s="77">
        <f>+'CS 1 - Table 1-4'!H45</f>
        <v>10636</v>
      </c>
      <c r="I10" s="77">
        <f>+'CS 1 - Table 1-4'!I45</f>
        <v>16850</v>
      </c>
      <c r="J10" s="65">
        <f>+ROUND('CS 1 - Table 1-4'!J45/CE_Scale,RoundPlace)</f>
        <v>369</v>
      </c>
      <c r="K10" s="65">
        <f>+ROUND('CS 1 - Table 1-4'!K45/CE_Scale,RoundPlace)</f>
        <v>370</v>
      </c>
      <c r="L10" s="66">
        <f>+'CS 1 - Table 1-4'!L45</f>
        <v>1.221288168641514E-3</v>
      </c>
      <c r="M10" s="67" t="str">
        <f>+'CS 1 - Table 1-4'!M45</f>
        <v>NO</v>
      </c>
      <c r="N10" s="67" t="str">
        <f>+'CS 1 - Table 1-4'!N45</f>
        <v>NO</v>
      </c>
    </row>
    <row r="11" spans="1:21" x14ac:dyDescent="0.25">
      <c r="B11" s="52"/>
      <c r="C11" s="51"/>
      <c r="D11" s="52"/>
      <c r="E11" s="12"/>
      <c r="F11" s="12"/>
      <c r="G11" s="12"/>
      <c r="H11" s="52"/>
      <c r="I11" s="52"/>
      <c r="J11" s="12"/>
      <c r="K11" s="12"/>
      <c r="L11" s="13"/>
      <c r="M11" s="36"/>
      <c r="N11" s="36"/>
    </row>
    <row r="12" spans="1:21" x14ac:dyDescent="0.25">
      <c r="B12" s="52"/>
      <c r="C12" s="51"/>
      <c r="D12" s="52"/>
      <c r="E12" s="12"/>
      <c r="F12" s="12"/>
      <c r="G12" s="12"/>
      <c r="H12" s="52"/>
      <c r="I12" s="52"/>
      <c r="J12" s="12"/>
      <c r="K12" s="12"/>
      <c r="L12" s="13"/>
      <c r="M12" s="36"/>
      <c r="N12" s="36"/>
    </row>
    <row r="13" spans="1:21" x14ac:dyDescent="0.25">
      <c r="B13" s="52"/>
      <c r="C13" s="51"/>
      <c r="D13" s="52"/>
      <c r="E13" s="12"/>
      <c r="F13" s="12"/>
      <c r="G13" s="12"/>
      <c r="H13" s="52"/>
      <c r="I13" s="52"/>
      <c r="J13" s="12"/>
      <c r="K13" s="12"/>
      <c r="L13" s="13"/>
      <c r="M13" s="36"/>
      <c r="N13" s="36"/>
    </row>
    <row r="14" spans="1:21" x14ac:dyDescent="0.25">
      <c r="B14" s="52"/>
      <c r="C14" s="51"/>
      <c r="D14" s="52"/>
      <c r="E14" s="12"/>
      <c r="F14" s="12"/>
      <c r="G14" s="12"/>
      <c r="H14" s="52"/>
      <c r="I14" s="52"/>
      <c r="J14" s="12"/>
      <c r="K14" s="12"/>
      <c r="L14" s="13"/>
      <c r="M14" s="36"/>
      <c r="N14" s="36"/>
    </row>
    <row r="15" spans="1:21" x14ac:dyDescent="0.25">
      <c r="B15" s="52"/>
      <c r="C15" s="51"/>
      <c r="D15" s="52"/>
      <c r="E15" s="12"/>
      <c r="F15" s="12"/>
      <c r="G15" s="12"/>
      <c r="H15" s="52"/>
      <c r="I15" s="52"/>
      <c r="J15" s="12"/>
      <c r="K15" s="12"/>
      <c r="L15" s="13"/>
      <c r="M15" s="36"/>
      <c r="N15" s="36"/>
    </row>
    <row r="16" spans="1:21" x14ac:dyDescent="0.25">
      <c r="B16" s="52"/>
      <c r="C16" s="51"/>
      <c r="D16" s="52"/>
      <c r="E16" s="12"/>
      <c r="F16" s="12"/>
      <c r="G16" s="12"/>
      <c r="H16" s="52"/>
      <c r="I16" s="52"/>
      <c r="J16" s="12"/>
      <c r="K16" s="12"/>
      <c r="L16" s="13"/>
      <c r="M16" s="36"/>
      <c r="N16" s="36"/>
    </row>
    <row r="17" spans="2:14" x14ac:dyDescent="0.25">
      <c r="B17" s="52"/>
      <c r="C17" s="51"/>
      <c r="D17" s="52"/>
      <c r="E17" s="12"/>
      <c r="F17" s="12"/>
      <c r="G17" s="12"/>
      <c r="H17" s="52"/>
      <c r="I17" s="52"/>
      <c r="J17" s="12"/>
      <c r="K17" s="12"/>
      <c r="L17" s="13"/>
      <c r="M17" s="36"/>
      <c r="N17" s="36"/>
    </row>
    <row r="18" spans="2:14" x14ac:dyDescent="0.25">
      <c r="B18" s="52"/>
      <c r="C18" s="51"/>
      <c r="D18" s="52"/>
      <c r="E18" s="12"/>
      <c r="F18" s="12"/>
      <c r="G18" s="12"/>
      <c r="H18" s="52"/>
      <c r="I18" s="52"/>
      <c r="J18" s="12"/>
      <c r="K18" s="12"/>
      <c r="L18" s="13"/>
      <c r="M18" s="36"/>
      <c r="N18" s="36"/>
    </row>
    <row r="19" spans="2:14" x14ac:dyDescent="0.25">
      <c r="B19" s="52"/>
      <c r="C19" s="51"/>
      <c r="D19" s="52"/>
      <c r="E19" s="12"/>
      <c r="F19" s="12"/>
      <c r="G19" s="12"/>
      <c r="H19" s="52"/>
      <c r="I19" s="52"/>
      <c r="J19" s="12"/>
      <c r="K19" s="12"/>
      <c r="L19" s="13"/>
      <c r="M19" s="36"/>
      <c r="N19" s="36"/>
    </row>
    <row r="20" spans="2:14" x14ac:dyDescent="0.25">
      <c r="B20" s="52"/>
      <c r="C20" s="51"/>
      <c r="D20" s="52"/>
      <c r="E20" s="12"/>
      <c r="F20" s="12"/>
      <c r="G20" s="12"/>
      <c r="H20" s="52"/>
      <c r="I20" s="52"/>
      <c r="J20" s="12"/>
      <c r="K20" s="12"/>
      <c r="L20" s="13"/>
      <c r="M20" s="36"/>
      <c r="N20" s="36"/>
    </row>
    <row r="21" spans="2:14" x14ac:dyDescent="0.25">
      <c r="B21" s="52"/>
      <c r="C21" s="51"/>
      <c r="D21" s="52"/>
      <c r="E21" s="12"/>
      <c r="F21" s="12"/>
      <c r="G21" s="12"/>
      <c r="H21" s="52"/>
      <c r="I21" s="52"/>
      <c r="J21" s="12"/>
      <c r="K21" s="12"/>
      <c r="L21" s="13"/>
      <c r="M21" s="36"/>
      <c r="N21" s="36"/>
    </row>
    <row r="22" spans="2:14" x14ac:dyDescent="0.25">
      <c r="B22" s="52"/>
      <c r="C22" s="51"/>
      <c r="D22" s="52"/>
      <c r="E22" s="12"/>
      <c r="F22" s="12"/>
      <c r="G22" s="12"/>
      <c r="H22" s="52"/>
      <c r="I22" s="52"/>
      <c r="J22" s="12"/>
      <c r="K22" s="12"/>
      <c r="L22" s="13"/>
      <c r="M22" s="36"/>
      <c r="N22" s="36"/>
    </row>
    <row r="24" spans="2:14" x14ac:dyDescent="0.25">
      <c r="B24" s="52"/>
      <c r="C24" s="51"/>
      <c r="D24" s="52"/>
      <c r="E24" s="12"/>
      <c r="F24" s="12"/>
      <c r="G24" s="12"/>
      <c r="H24" s="52"/>
      <c r="I24" s="52"/>
      <c r="J24" s="12"/>
      <c r="K24" s="12"/>
      <c r="L24" s="13"/>
      <c r="M24" s="36"/>
      <c r="N24" s="36"/>
    </row>
    <row r="25" spans="2:14" x14ac:dyDescent="0.25">
      <c r="B25" s="52"/>
      <c r="C25" s="51"/>
      <c r="D25" s="52"/>
      <c r="E25" s="12"/>
      <c r="F25" s="12"/>
      <c r="G25" s="12"/>
      <c r="H25" s="52"/>
      <c r="I25" s="52"/>
      <c r="J25" s="12"/>
      <c r="K25" s="12"/>
      <c r="L25" s="13"/>
      <c r="M25" s="36"/>
      <c r="N25" s="36"/>
    </row>
    <row r="26" spans="2:14" x14ac:dyDescent="0.25">
      <c r="B26" s="52"/>
      <c r="C26" s="51"/>
      <c r="D26" s="52"/>
      <c r="E26" s="12"/>
      <c r="F26" s="12"/>
      <c r="G26" s="12"/>
      <c r="H26" s="52"/>
      <c r="I26" s="52"/>
      <c r="J26" s="12"/>
      <c r="K26" s="12"/>
      <c r="L26" s="13"/>
      <c r="M26" s="36"/>
      <c r="N26" s="36"/>
    </row>
  </sheetData>
  <mergeCells count="9">
    <mergeCell ref="A5:N5"/>
    <mergeCell ref="A7:N7"/>
    <mergeCell ref="A9:N9"/>
    <mergeCell ref="B1:D1"/>
    <mergeCell ref="E1:G1"/>
    <mergeCell ref="H1:I1"/>
    <mergeCell ref="J1:K1"/>
    <mergeCell ref="L1:N1"/>
    <mergeCell ref="A3:N3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7B537-BE21-48EF-9454-90509A4B3093}">
  <sheetPr>
    <tabColor rgb="FFFFFF00"/>
  </sheetPr>
  <dimension ref="A1:CE95"/>
  <sheetViews>
    <sheetView topLeftCell="B33" workbookViewId="0">
      <selection activeCell="K55" sqref="K55"/>
    </sheetView>
  </sheetViews>
  <sheetFormatPr defaultRowHeight="15" x14ac:dyDescent="0.25"/>
  <cols>
    <col min="1" max="1" width="30.7109375" customWidth="1"/>
    <col min="2" max="2" width="6.5703125" customWidth="1"/>
    <col min="3" max="3" width="6.140625" bestFit="1" customWidth="1"/>
    <col min="4" max="4" width="7.42578125" bestFit="1" customWidth="1"/>
    <col min="5" max="5" width="9.28515625" bestFit="1" customWidth="1"/>
    <col min="6" max="6" width="8.85546875" customWidth="1"/>
    <col min="7" max="7" width="8.5703125" customWidth="1"/>
    <col min="8" max="8" width="8.140625" customWidth="1"/>
    <col min="9" max="9" width="8.28515625" customWidth="1"/>
    <col min="10" max="10" width="8.85546875" customWidth="1"/>
    <col min="11" max="11" width="9.42578125" customWidth="1"/>
    <col min="12" max="14" width="8.140625" customWidth="1"/>
    <col min="15" max="15" width="3.140625" customWidth="1"/>
    <col min="16" max="18" width="8.7109375" customWidth="1"/>
    <col min="19" max="23" width="10.7109375" customWidth="1"/>
    <col min="24" max="24" width="11.42578125" customWidth="1"/>
    <col min="25" max="25" width="9.7109375" customWidth="1"/>
    <col min="26" max="26" width="4" customWidth="1"/>
    <col min="27" max="27" width="50.28515625" hidden="1" customWidth="1"/>
    <col min="28" max="28" width="3.42578125" hidden="1" customWidth="1"/>
    <col min="30" max="30" width="10" bestFit="1" customWidth="1"/>
    <col min="31" max="32" width="10" customWidth="1"/>
    <col min="35" max="35" width="2.7109375" customWidth="1"/>
    <col min="37" max="37" width="10" bestFit="1" customWidth="1"/>
    <col min="38" max="39" width="10" customWidth="1"/>
    <col min="42" max="42" width="3.85546875" customWidth="1"/>
    <col min="44" max="44" width="10" bestFit="1" customWidth="1"/>
    <col min="45" max="46" width="10" customWidth="1"/>
    <col min="49" max="49" width="3" customWidth="1"/>
    <col min="51" max="51" width="10" bestFit="1" customWidth="1"/>
    <col min="52" max="53" width="10" customWidth="1"/>
    <col min="56" max="56" width="3.140625" customWidth="1"/>
    <col min="57" max="57" width="8.7109375" customWidth="1"/>
    <col min="58" max="58" width="10" bestFit="1" customWidth="1"/>
    <col min="63" max="63" width="3.42578125" customWidth="1"/>
    <col min="64" max="64" width="9.140625" customWidth="1"/>
    <col min="65" max="65" width="10" bestFit="1" customWidth="1"/>
    <col min="66" max="66" width="9.5703125" customWidth="1"/>
    <col min="70" max="70" width="4" customWidth="1"/>
    <col min="77" max="77" width="3.42578125" customWidth="1"/>
  </cols>
  <sheetData>
    <row r="1" spans="1:66" ht="39.75" customHeight="1" x14ac:dyDescent="0.25">
      <c r="A1" s="3"/>
      <c r="B1" s="95" t="s">
        <v>224</v>
      </c>
      <c r="C1" s="95"/>
      <c r="D1" s="95"/>
      <c r="E1" s="95" t="s">
        <v>228</v>
      </c>
      <c r="F1" s="95"/>
      <c r="G1" s="95"/>
      <c r="H1" s="95" t="s">
        <v>225</v>
      </c>
      <c r="I1" s="95"/>
      <c r="J1" s="95" t="s">
        <v>156</v>
      </c>
      <c r="K1" s="95"/>
      <c r="L1" s="95" t="s">
        <v>157</v>
      </c>
      <c r="M1" s="95"/>
      <c r="N1" s="95"/>
      <c r="O1" s="3"/>
      <c r="X1" s="6" t="s">
        <v>8</v>
      </c>
      <c r="Y1" s="6" t="s">
        <v>9</v>
      </c>
    </row>
    <row r="2" spans="1:66" ht="36" customHeight="1" x14ac:dyDescent="0.25">
      <c r="A2" s="7" t="s">
        <v>133</v>
      </c>
      <c r="B2" s="8" t="s">
        <v>1</v>
      </c>
      <c r="C2" s="8" t="s">
        <v>3</v>
      </c>
      <c r="D2" s="8" t="s">
        <v>4</v>
      </c>
      <c r="E2" s="8" t="s">
        <v>1</v>
      </c>
      <c r="F2" s="8" t="s">
        <v>152</v>
      </c>
      <c r="G2" s="8" t="s">
        <v>153</v>
      </c>
      <c r="H2" s="8" t="s">
        <v>154</v>
      </c>
      <c r="I2" s="8" t="s">
        <v>155</v>
      </c>
      <c r="J2" s="8" t="s">
        <v>154</v>
      </c>
      <c r="K2" s="8" t="s">
        <v>155</v>
      </c>
      <c r="L2" s="8" t="s">
        <v>10</v>
      </c>
      <c r="M2" s="8" t="s">
        <v>11</v>
      </c>
      <c r="N2" s="8" t="s">
        <v>12</v>
      </c>
      <c r="P2" s="36" t="s">
        <v>5</v>
      </c>
      <c r="Q2" s="36" t="s">
        <v>6</v>
      </c>
      <c r="R2" s="36" t="s">
        <v>7</v>
      </c>
      <c r="S2" s="9" t="s">
        <v>10</v>
      </c>
      <c r="T2" s="9" t="s">
        <v>13</v>
      </c>
      <c r="U2" s="9" t="s">
        <v>14</v>
      </c>
      <c r="V2" s="9" t="s">
        <v>15</v>
      </c>
      <c r="W2" s="9" t="s">
        <v>16</v>
      </c>
      <c r="X2" s="9" t="s">
        <v>17</v>
      </c>
      <c r="Y2" s="9" t="s">
        <v>18</v>
      </c>
      <c r="AC2" s="93" t="str">
        <f>+A4</f>
        <v>Prog disease on Olaparib</v>
      </c>
      <c r="AD2" s="93"/>
      <c r="AE2" s="93"/>
      <c r="AF2" s="93"/>
      <c r="AG2" s="93"/>
      <c r="AH2" s="93"/>
      <c r="AJ2" s="93" t="str">
        <f>+A5</f>
        <v>Prog disease on PLD+C</v>
      </c>
      <c r="AK2" s="93"/>
      <c r="AL2" s="93"/>
      <c r="AM2" s="93"/>
      <c r="AN2" s="93"/>
      <c r="AO2" s="93"/>
      <c r="AQ2" s="93" t="str">
        <f>+A6</f>
        <v>Prog-free disease on Olaparib</v>
      </c>
      <c r="AR2" s="93"/>
      <c r="AS2" s="93"/>
      <c r="AT2" s="93"/>
      <c r="AU2" s="93"/>
      <c r="AV2" s="93"/>
      <c r="AX2" s="93" t="str">
        <f>+A7</f>
        <v xml:space="preserve">Prog-free disease on PLD+C  </v>
      </c>
      <c r="AY2" s="93"/>
      <c r="AZ2" s="93"/>
      <c r="BA2" s="93"/>
      <c r="BB2" s="93"/>
      <c r="BC2" s="93"/>
    </row>
    <row r="3" spans="1:66" x14ac:dyDescent="0.25">
      <c r="A3" s="10" t="s">
        <v>215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P3" s="33"/>
      <c r="Q3" s="33"/>
      <c r="R3" s="33"/>
      <c r="BN3" s="2"/>
    </row>
    <row r="4" spans="1:66" x14ac:dyDescent="0.25">
      <c r="A4" s="7" t="s">
        <v>19</v>
      </c>
      <c r="B4" s="11">
        <f>+'ICER Table 5pt3'!B8</f>
        <v>0.5</v>
      </c>
      <c r="C4" s="11">
        <f>+'ICER Fig 5pt2'!D6</f>
        <v>0.37</v>
      </c>
      <c r="D4" s="11">
        <f>+'ICER Fig 5pt2'!E6</f>
        <v>0.63</v>
      </c>
      <c r="E4" s="12">
        <f>CE_BC_olaparib_BRCA</f>
        <v>146210</v>
      </c>
      <c r="F4" s="12">
        <f>+'ICER Fig 5pt2'!B6</f>
        <v>116037</v>
      </c>
      <c r="G4" s="12">
        <f>+'ICER Fig 5pt2'!C6</f>
        <v>197590</v>
      </c>
      <c r="H4" s="11">
        <v>0.4</v>
      </c>
      <c r="I4" s="11">
        <v>0.5</v>
      </c>
      <c r="J4" s="12">
        <f>+AH5</f>
        <v>121117.72189349115</v>
      </c>
      <c r="K4" s="12">
        <f>+AH6</f>
        <v>146209.99999999997</v>
      </c>
      <c r="L4" s="13">
        <f>+S4</f>
        <v>8.5809035313962292E-2</v>
      </c>
      <c r="M4" s="36" t="str">
        <f t="shared" ref="M4:N7" si="0">+IF(X4,"YES","NO")</f>
        <v>NO</v>
      </c>
      <c r="N4" s="36" t="str">
        <f t="shared" si="0"/>
        <v>NO</v>
      </c>
      <c r="P4" s="42">
        <f>+MIN(E4,J4,K4)</f>
        <v>121117.72189349115</v>
      </c>
      <c r="Q4" s="42">
        <f>+MEDIAN(E4,J4,K4)</f>
        <v>146209.99999999997</v>
      </c>
      <c r="R4" s="42">
        <f>+MAX(E4,J4,K4)</f>
        <v>146210</v>
      </c>
      <c r="S4" s="14">
        <f>+AVERAGE((Q4-P4)/Q4,(R4-Q4)/Q4)</f>
        <v>8.5809035313962292E-2</v>
      </c>
      <c r="T4" t="b">
        <f>+AND(E4&lt;=Benchmark1,J4&lt;=Benchmark1,K4&lt;=Benchmark1)</f>
        <v>0</v>
      </c>
      <c r="U4" s="14" t="b">
        <f>+AND(E4&gt;Benchmark1,J4&gt;Benchmark1,K4&gt;Benchmark1)</f>
        <v>1</v>
      </c>
      <c r="V4" t="b">
        <f>+AND(E4&lt;=Benchmark2,J4&lt;=Benchmark2,K4&lt;=Benchmark2)</f>
        <v>1</v>
      </c>
      <c r="W4" s="14" t="b">
        <f>+AND(E4&gt;Benchmark2,J4&gt;Benchmark2,K4&gt;Benchmark2)</f>
        <v>0</v>
      </c>
      <c r="X4" s="12" t="b">
        <f>+AND(NOT(T4),NOT(U4))</f>
        <v>0</v>
      </c>
      <c r="Y4" s="12" t="b">
        <f>+AND(NOT(V4),NOT(W4))</f>
        <v>0</v>
      </c>
      <c r="AA4" s="12" t="s">
        <v>158</v>
      </c>
      <c r="AC4" s="31">
        <f>+B4</f>
        <v>0.5</v>
      </c>
      <c r="AD4" s="32">
        <f>+E4</f>
        <v>146210</v>
      </c>
      <c r="AE4" s="32"/>
      <c r="AF4" s="32" t="s">
        <v>149</v>
      </c>
      <c r="AG4" s="35">
        <f>-AD7/(2*AC7)</f>
        <v>0.25003795916442728</v>
      </c>
      <c r="AH4" s="35"/>
      <c r="AJ4" s="31">
        <f>+B5</f>
        <v>0.5</v>
      </c>
      <c r="AK4" s="32">
        <f>+E5</f>
        <v>146210</v>
      </c>
      <c r="AL4" s="32"/>
      <c r="AM4" s="32" t="s">
        <v>149</v>
      </c>
      <c r="AN4" s="35">
        <f>-AK7/(2*AJ7)</f>
        <v>-0.46667294649585306</v>
      </c>
      <c r="AO4" s="35"/>
      <c r="AQ4" s="31">
        <f>+B6</f>
        <v>0.77</v>
      </c>
      <c r="AR4" s="32">
        <f>+E6</f>
        <v>146210</v>
      </c>
      <c r="AS4" s="32"/>
      <c r="AT4" s="32" t="s">
        <v>149</v>
      </c>
      <c r="AU4" s="35">
        <f>-AR7/(2*AQ7)</f>
        <v>0.48919101924447517</v>
      </c>
      <c r="AV4" s="35"/>
      <c r="AX4" s="31">
        <f>+B7</f>
        <v>0.79769999999999996</v>
      </c>
      <c r="AY4" s="32">
        <f>+E7</f>
        <v>146210</v>
      </c>
      <c r="AZ4" s="32"/>
      <c r="BA4" s="32" t="s">
        <v>149</v>
      </c>
      <c r="BB4" s="35">
        <f>-AY7/(2*AX7)</f>
        <v>0.76316583194850085</v>
      </c>
      <c r="BC4" s="35"/>
      <c r="BN4" s="2"/>
    </row>
    <row r="5" spans="1:66" x14ac:dyDescent="0.25">
      <c r="A5" s="7" t="s">
        <v>20</v>
      </c>
      <c r="B5" s="11">
        <f>+'ICER Table 5pt3'!B8</f>
        <v>0.5</v>
      </c>
      <c r="C5" s="11">
        <f>+'ICER Fig 5pt2'!D9</f>
        <v>0.37</v>
      </c>
      <c r="D5" s="11">
        <f>+'ICER Fig 5pt2'!E9</f>
        <v>0.63</v>
      </c>
      <c r="E5" s="12">
        <f>CE_BC_olaparib_BRCA</f>
        <v>146210</v>
      </c>
      <c r="F5" s="12">
        <f>+'ICER Fig 5pt2'!B9</f>
        <v>137006</v>
      </c>
      <c r="G5" s="12">
        <f>+'ICER Fig 5pt2'!C9</f>
        <v>156741</v>
      </c>
      <c r="H5" s="11">
        <v>0.4</v>
      </c>
      <c r="I5" s="11">
        <v>0.5</v>
      </c>
      <c r="J5" s="12">
        <f>+AO5</f>
        <v>139012.21893491127</v>
      </c>
      <c r="K5" s="12">
        <f>+AO6</f>
        <v>146210.00000000003</v>
      </c>
      <c r="L5" s="13">
        <f t="shared" ref="L5:L7" si="1">+S5</f>
        <v>2.4614530692458638E-2</v>
      </c>
      <c r="M5" s="36" t="str">
        <f t="shared" si="0"/>
        <v>NO</v>
      </c>
      <c r="N5" s="36" t="str">
        <f t="shared" si="0"/>
        <v>NO</v>
      </c>
      <c r="P5" s="42">
        <f>+MIN(E5,J5,K5)</f>
        <v>139012.21893491127</v>
      </c>
      <c r="Q5" s="42">
        <f>+MEDIAN(E5,J5,K5)</f>
        <v>146210</v>
      </c>
      <c r="R5" s="42">
        <f>+MAX(E5,J5,K5)</f>
        <v>146210.00000000003</v>
      </c>
      <c r="S5" s="14">
        <f t="shared" ref="S5:S7" si="2">+AVERAGE((Q5-P5)/Q5,(R5-Q5)/Q5)</f>
        <v>2.4614530692458638E-2</v>
      </c>
      <c r="T5" t="b">
        <f>+AND(E5&lt;=Benchmark1,J5&lt;=Benchmark1,K5&lt;=Benchmark1)</f>
        <v>0</v>
      </c>
      <c r="U5" s="14" t="b">
        <f>+AND(E5&gt;Benchmark1,J5&gt;Benchmark1,K5&gt;Benchmark1)</f>
        <v>1</v>
      </c>
      <c r="V5" t="b">
        <f>+AND(E5&lt;=Benchmark2,J5&lt;=Benchmark2,K5&lt;=Benchmark2)</f>
        <v>1</v>
      </c>
      <c r="W5" s="14" t="b">
        <f>+AND(E5&gt;Benchmark2,J5&gt;Benchmark2,K5&gt;Benchmark2)</f>
        <v>0</v>
      </c>
      <c r="X5" s="12" t="b">
        <f>+AND(NOT(T5),NOT(U5))</f>
        <v>0</v>
      </c>
      <c r="Y5" s="12" t="b">
        <f>+AND(NOT(V5),NOT(W5))</f>
        <v>0</v>
      </c>
      <c r="AA5" s="12" t="s">
        <v>159</v>
      </c>
      <c r="AC5" s="31">
        <f>+C4</f>
        <v>0.37</v>
      </c>
      <c r="AD5" s="32">
        <f>+F4</f>
        <v>116037</v>
      </c>
      <c r="AE5" s="32"/>
      <c r="AF5" s="32" t="s">
        <v>150</v>
      </c>
      <c r="AG5" s="35">
        <f>+H4</f>
        <v>0.4</v>
      </c>
      <c r="AH5" s="32">
        <f>+AC9*AG5^2+AD9*AG5+AE9</f>
        <v>121117.72189349115</v>
      </c>
      <c r="AJ5" s="31">
        <f>+C5</f>
        <v>0.37</v>
      </c>
      <c r="AK5" s="32">
        <f>+F5</f>
        <v>137006</v>
      </c>
      <c r="AL5" s="32"/>
      <c r="AM5" s="32" t="s">
        <v>150</v>
      </c>
      <c r="AN5" s="35">
        <f>+H5</f>
        <v>0.4</v>
      </c>
      <c r="AO5" s="32">
        <f>+AJ9*AN5^2+AK9*AN5+AL9</f>
        <v>139012.21893491127</v>
      </c>
      <c r="AQ5" s="31">
        <f>+C6</f>
        <v>0.72</v>
      </c>
      <c r="AR5" s="32">
        <f>+F6</f>
        <v>139032</v>
      </c>
      <c r="AS5" s="32"/>
      <c r="AT5" s="32" t="s">
        <v>150</v>
      </c>
      <c r="AU5" s="35">
        <f>+H6</f>
        <v>0.72</v>
      </c>
      <c r="AV5" s="32">
        <f>+AQ9*AU5^2+AR9*AU5+AS9</f>
        <v>139032.00000000003</v>
      </c>
      <c r="AX5" s="31">
        <f>+C7</f>
        <v>0.75</v>
      </c>
      <c r="AY5" s="32">
        <f>+F7</f>
        <v>143803</v>
      </c>
      <c r="AZ5" s="32"/>
      <c r="BA5" s="32" t="s">
        <v>150</v>
      </c>
      <c r="BB5" s="35">
        <f>+H7</f>
        <v>0.71799999999999997</v>
      </c>
      <c r="BC5" s="32">
        <f>+AX9*BB5^2+AY9*BB5+AZ9</f>
        <v>138964.51014963089</v>
      </c>
      <c r="BN5" s="2"/>
    </row>
    <row r="6" spans="1:66" x14ac:dyDescent="0.25">
      <c r="A6" s="7" t="s">
        <v>22</v>
      </c>
      <c r="B6" s="11">
        <f>+'ICER Table 5pt3'!B5</f>
        <v>0.77</v>
      </c>
      <c r="C6" s="11">
        <f>+'ICER Fig 5pt2'!D11</f>
        <v>0.72</v>
      </c>
      <c r="D6" s="11">
        <f>+'ICER Fig 5pt2'!E11</f>
        <v>0.82</v>
      </c>
      <c r="E6" s="12">
        <f>CE_BC_olaparib_BRCA</f>
        <v>146210</v>
      </c>
      <c r="F6" s="12">
        <f>+'ICER Fig 5pt2'!B11</f>
        <v>139032</v>
      </c>
      <c r="G6" s="12">
        <f>+'ICER Fig 5pt2'!C11</f>
        <v>154791</v>
      </c>
      <c r="H6" s="11">
        <v>0.72</v>
      </c>
      <c r="I6" s="11">
        <v>0.6</v>
      </c>
      <c r="J6" s="12">
        <f>+AV5</f>
        <v>139032.00000000003</v>
      </c>
      <c r="K6" s="12">
        <f>+AV6</f>
        <v>127529.03999999998</v>
      </c>
      <c r="L6" s="13">
        <f t="shared" si="1"/>
        <v>6.7182231428735889E-2</v>
      </c>
      <c r="M6" s="36" t="str">
        <f t="shared" si="0"/>
        <v>NO</v>
      </c>
      <c r="N6" s="36" t="str">
        <f t="shared" si="0"/>
        <v>NO</v>
      </c>
      <c r="P6" s="42">
        <f>+MIN(E6,J6,K6)</f>
        <v>127529.03999999998</v>
      </c>
      <c r="Q6" s="42">
        <f>+MEDIAN(E6,J6,K6)</f>
        <v>139032.00000000003</v>
      </c>
      <c r="R6" s="42">
        <f>+MAX(E6,J6,K6)</f>
        <v>146210</v>
      </c>
      <c r="S6" s="14">
        <f t="shared" si="2"/>
        <v>6.7182231428735889E-2</v>
      </c>
      <c r="T6" t="b">
        <f>+AND(E6&lt;=Benchmark1,J6&lt;=Benchmark1,K6&lt;=Benchmark1)</f>
        <v>0</v>
      </c>
      <c r="U6" s="14" t="b">
        <f>+AND(E6&gt;Benchmark1,J6&gt;Benchmark1,K6&gt;Benchmark1)</f>
        <v>1</v>
      </c>
      <c r="V6" t="b">
        <f>+AND(E6&lt;=Benchmark2,J6&lt;=Benchmark2,K6&lt;=Benchmark2)</f>
        <v>1</v>
      </c>
      <c r="W6" s="14" t="b">
        <f>+AND(E6&gt;Benchmark2,J6&gt;Benchmark2,K6&gt;Benchmark2)</f>
        <v>0</v>
      </c>
      <c r="X6" s="12" t="b">
        <f>+AND(NOT(T6),NOT(U6))</f>
        <v>0</v>
      </c>
      <c r="Y6" s="12" t="b">
        <f>+AND(NOT(V6),NOT(W6))</f>
        <v>0</v>
      </c>
      <c r="AA6" s="12" t="s">
        <v>160</v>
      </c>
      <c r="AC6" s="31">
        <f>+D4</f>
        <v>0.63</v>
      </c>
      <c r="AD6" s="32">
        <f>+G4</f>
        <v>197590</v>
      </c>
      <c r="AE6" s="32"/>
      <c r="AF6" s="32" t="s">
        <v>151</v>
      </c>
      <c r="AG6" s="35">
        <f>+I4</f>
        <v>0.5</v>
      </c>
      <c r="AH6" s="32">
        <f>+AC9*AG6^2+AD9*AG6+AE9</f>
        <v>146209.99999999997</v>
      </c>
      <c r="AJ6" s="31">
        <f>+D5</f>
        <v>0.63</v>
      </c>
      <c r="AK6" s="32">
        <f>+G5</f>
        <v>156741</v>
      </c>
      <c r="AL6" s="32"/>
      <c r="AM6" s="32" t="s">
        <v>151</v>
      </c>
      <c r="AN6" s="35">
        <f>+I5</f>
        <v>0.5</v>
      </c>
      <c r="AO6" s="32">
        <f>+AJ9*AN6^2+AK9*AN6+AL9</f>
        <v>146210.00000000003</v>
      </c>
      <c r="AQ6" s="31">
        <f>+D6</f>
        <v>0.82</v>
      </c>
      <c r="AR6" s="32">
        <f>+G6</f>
        <v>154791</v>
      </c>
      <c r="AS6" s="32"/>
      <c r="AT6" s="32" t="s">
        <v>151</v>
      </c>
      <c r="AU6" s="35">
        <f>+I6</f>
        <v>0.6</v>
      </c>
      <c r="AV6" s="32">
        <f>+AQ9*AU6^2+AR9*AU6+AS9</f>
        <v>127529.03999999998</v>
      </c>
      <c r="AX6" s="31">
        <f>+D7</f>
        <v>0.83</v>
      </c>
      <c r="AY6" s="32">
        <f>+G7</f>
        <v>153942</v>
      </c>
      <c r="AZ6" s="32"/>
      <c r="BA6" s="32" t="s">
        <v>151</v>
      </c>
      <c r="BB6" s="35">
        <f>+I7</f>
        <v>0.6</v>
      </c>
      <c r="BC6" s="32">
        <f>+AX9*BB6^2+AY9*BB6+AZ9</f>
        <v>124689.79666268115</v>
      </c>
      <c r="BN6" s="2"/>
    </row>
    <row r="7" spans="1:66" x14ac:dyDescent="0.25">
      <c r="A7" s="7" t="s">
        <v>23</v>
      </c>
      <c r="B7" s="11">
        <f>+'ICER Table 5pt3'!B7</f>
        <v>0.79769999999999996</v>
      </c>
      <c r="C7" s="11">
        <f>+'ICER Fig 5pt2'!D13</f>
        <v>0.75</v>
      </c>
      <c r="D7" s="11">
        <f>+'ICER Fig 5pt2'!E13</f>
        <v>0.83</v>
      </c>
      <c r="E7" s="12">
        <f>CE_BC_olaparib_BRCA</f>
        <v>146210</v>
      </c>
      <c r="F7" s="12">
        <f>+'ICER Fig 5pt2'!B13</f>
        <v>143803</v>
      </c>
      <c r="G7" s="12">
        <f>+'ICER Fig 5pt2'!C13</f>
        <v>153942</v>
      </c>
      <c r="H7" s="11">
        <v>0.71799999999999997</v>
      </c>
      <c r="I7" s="11">
        <v>0.6</v>
      </c>
      <c r="J7" s="12">
        <f>+BC5</f>
        <v>138964.51014963089</v>
      </c>
      <c r="K7" s="12">
        <f>+BC6</f>
        <v>124689.79666268115</v>
      </c>
      <c r="L7" s="13">
        <f t="shared" si="1"/>
        <v>7.7430573151903437E-2</v>
      </c>
      <c r="M7" s="36" t="str">
        <f t="shared" si="0"/>
        <v>NO</v>
      </c>
      <c r="N7" s="36" t="str">
        <f t="shared" si="0"/>
        <v>NO</v>
      </c>
      <c r="P7" s="42">
        <f>+MIN(E7,J7,K7)</f>
        <v>124689.79666268115</v>
      </c>
      <c r="Q7" s="42">
        <f>+MEDIAN(E7,J7,K7)</f>
        <v>138964.51014963089</v>
      </c>
      <c r="R7" s="42">
        <f>+MAX(E7,J7,K7)</f>
        <v>146210</v>
      </c>
      <c r="S7" s="14">
        <f t="shared" si="2"/>
        <v>7.7430573151903437E-2</v>
      </c>
      <c r="T7" t="b">
        <f>+AND(E7&lt;=Benchmark1,J7&lt;=Benchmark1,K7&lt;=Benchmark1)</f>
        <v>0</v>
      </c>
      <c r="U7" s="14" t="b">
        <f>+AND(E7&gt;Benchmark1,J7&gt;Benchmark1,K7&gt;Benchmark1)</f>
        <v>1</v>
      </c>
      <c r="V7" t="b">
        <f>+AND(E7&lt;=Benchmark2,J7&lt;=Benchmark2,K7&lt;=Benchmark2)</f>
        <v>1</v>
      </c>
      <c r="W7" s="14" t="b">
        <f>+AND(E7&gt;Benchmark2,J7&gt;Benchmark2,K7&gt;Benchmark2)</f>
        <v>0</v>
      </c>
      <c r="X7" s="12" t="b">
        <f>+AND(NOT(T7),NOT(U7))</f>
        <v>0</v>
      </c>
      <c r="Y7" s="12" t="b">
        <f>+AND(NOT(V7),NOT(W7))</f>
        <v>0</v>
      </c>
      <c r="AA7" s="12" t="s">
        <v>161</v>
      </c>
      <c r="AC7" s="34" cm="1">
        <f t="array" ref="AC7:AE7">+LINEST(AD4:AD6,AC4:AC6^{1,2})</f>
        <v>627426.03550295904</v>
      </c>
      <c r="AD7" s="34">
        <v>-313760.65088757477</v>
      </c>
      <c r="AE7" s="34">
        <v>146233.81656804759</v>
      </c>
      <c r="AG7" s="33">
        <f>+OR(AG4=MIN(AG4:AG6,AC4:AC6),AG4=MAX(AG4:AG6,AC4:AC6))*1</f>
        <v>1</v>
      </c>
      <c r="AI7" s="5"/>
      <c r="AJ7" s="34" cm="1">
        <f t="array" ref="AJ7:AL7">+LINEST(AK4:AK6,AJ4:AJ6^{1,2})</f>
        <v>39260.35502958588</v>
      </c>
      <c r="AK7" s="34">
        <v>36643.491124260254</v>
      </c>
      <c r="AL7" s="34">
        <v>118073.16568047342</v>
      </c>
      <c r="AM7" s="34"/>
      <c r="AN7" s="33">
        <f>+OR(AN4=MIN(AN4:AN6,AJ4:AJ6),AN4=MAX(AN4:AN6,AJ4:AJ6))*1</f>
        <v>1</v>
      </c>
      <c r="AQ7" s="34" cm="1">
        <f t="array" ref="AQ7:AS7">+LINEST(AR4:AR6,AQ4:AQ6^{1,2})</f>
        <v>280599.9999999993</v>
      </c>
      <c r="AR7" s="34">
        <v>-274533.99999999878</v>
      </c>
      <c r="AS7" s="34">
        <v>191233.43999999951</v>
      </c>
      <c r="AT7" s="34"/>
      <c r="AU7" s="33">
        <f>+OR(AU4=MIN(AU4:AU6,AQ4:AQ6),AU4=MAX(AU4:AU6,AQ4:AQ6))*1</f>
        <v>1</v>
      </c>
      <c r="AX7" s="34" cm="1">
        <f t="array" ref="AX7:AZ7">+LINEST(AY4:AY6,AX4:AX6^{1,2})</f>
        <v>2361494.8627580022</v>
      </c>
      <c r="AY7" s="34">
        <v>-3604424.3831576435</v>
      </c>
      <c r="AZ7" s="34">
        <v>1518780.4270668565</v>
      </c>
      <c r="BA7" s="34"/>
      <c r="BB7" s="33">
        <f>+OR(BB4=MIN(BB4:BB6,AX4:AX6),BB4=MAX(BB4:BB6,AX4:AX6))*1</f>
        <v>0</v>
      </c>
      <c r="BN7" s="2"/>
    </row>
    <row r="8" spans="1:66" x14ac:dyDescent="0.25">
      <c r="A8" s="7"/>
      <c r="B8" s="11"/>
      <c r="C8" s="11"/>
      <c r="D8" s="15"/>
      <c r="E8" s="7"/>
      <c r="F8" s="7"/>
      <c r="G8" s="7"/>
      <c r="H8" s="11"/>
      <c r="I8" s="11"/>
      <c r="J8" s="7"/>
      <c r="K8" s="7"/>
      <c r="L8" s="7"/>
      <c r="P8" s="33"/>
      <c r="Q8" s="33"/>
      <c r="R8" s="33"/>
      <c r="X8" s="7"/>
      <c r="Y8" s="7"/>
      <c r="AA8" s="12"/>
      <c r="AD8" s="34" cm="1">
        <f t="array" ref="AD8:AE8">+LINEST(AD4:AD6,AC4:AC6^{1})</f>
        <v>313665.38461538468</v>
      </c>
      <c r="AE8" s="34">
        <v>-3553.6923076923413</v>
      </c>
      <c r="AG8" s="33">
        <f>+NOT(AG7)*1</f>
        <v>0</v>
      </c>
      <c r="AK8" s="34" cm="1">
        <f t="array" ref="AK8:AL8">+LINEST(AK4:AK6,AJ4:AJ6^{1})</f>
        <v>75903.846153846171</v>
      </c>
      <c r="AL8" s="34">
        <v>108700.41025641025</v>
      </c>
      <c r="AM8" s="34"/>
      <c r="AN8" s="33">
        <f>+NOT(AN7)*1</f>
        <v>0</v>
      </c>
      <c r="AR8" s="34" cm="1">
        <f t="array" ref="AR8:AS8">+LINEST(AR4:AR6,AQ4:AQ6^{1})</f>
        <v>157590.00000000006</v>
      </c>
      <c r="AS8" s="34">
        <v>25333.36666666661</v>
      </c>
      <c r="AT8" s="34"/>
      <c r="AU8" s="33">
        <f>+NOT(AU7)*1</f>
        <v>0</v>
      </c>
      <c r="AY8" s="34" cm="1">
        <f t="array" ref="AY8:AZ8">+LINEST(AY4:AY6,AX4:AX6^{1})</f>
        <v>120972.14819448936</v>
      </c>
      <c r="AZ8" s="34">
        <v>52106.507745987547</v>
      </c>
      <c r="BA8" s="34"/>
      <c r="BB8" s="33">
        <f>+NOT(BB7)*1</f>
        <v>1</v>
      </c>
      <c r="BN8" s="2"/>
    </row>
    <row r="9" spans="1:66" x14ac:dyDescent="0.25">
      <c r="A9" s="7"/>
      <c r="B9" s="11"/>
      <c r="C9" s="11"/>
      <c r="D9" s="15"/>
      <c r="E9" s="7"/>
      <c r="F9" s="7"/>
      <c r="G9" s="7"/>
      <c r="H9" s="11"/>
      <c r="I9" s="11"/>
      <c r="J9" s="7"/>
      <c r="K9" s="7"/>
      <c r="L9" s="7"/>
      <c r="P9" s="33"/>
      <c r="Q9" s="33"/>
      <c r="R9" s="33"/>
      <c r="X9" s="7"/>
      <c r="Y9" s="7"/>
      <c r="AA9" s="12"/>
      <c r="AC9" s="34">
        <f>+SUMPRODUCT(AC7:AC8,AG7:AG8)</f>
        <v>627426.03550295904</v>
      </c>
      <c r="AD9" s="34">
        <f>+SUMPRODUCT(AD7:AD8,AG7:AG8)</f>
        <v>-313760.65088757477</v>
      </c>
      <c r="AE9" s="34">
        <f>+SUMPRODUCT(AE7:AE8,AG7:AG8)</f>
        <v>146233.81656804759</v>
      </c>
      <c r="AJ9" s="34">
        <f>+SUMPRODUCT(AJ7:AJ8,AN7:AN8)</f>
        <v>39260.35502958588</v>
      </c>
      <c r="AK9" s="34">
        <f>+SUMPRODUCT(AK7:AK8,AN7:AN8)</f>
        <v>36643.491124260254</v>
      </c>
      <c r="AL9" s="34">
        <f>+SUMPRODUCT(AL7:AL8,AN7:AN8)</f>
        <v>118073.16568047342</v>
      </c>
      <c r="AQ9" s="34">
        <f>+SUMPRODUCT(AQ7:AQ8,AU7:AU8)</f>
        <v>280599.9999999993</v>
      </c>
      <c r="AR9" s="34">
        <f>+SUMPRODUCT(AR7:AR8,AU7:AU8)</f>
        <v>-274533.99999999878</v>
      </c>
      <c r="AS9" s="34">
        <f>+SUMPRODUCT(AS7:AS8,AU7:AU8)</f>
        <v>191233.43999999951</v>
      </c>
      <c r="AV9" s="4"/>
      <c r="AX9" s="34">
        <f>+SUMPRODUCT(AX7:AX8,BB7:BB8)</f>
        <v>0</v>
      </c>
      <c r="AY9" s="34">
        <f>+SUMPRODUCT(AY7:AY8,BB7:BB8)</f>
        <v>120972.14819448936</v>
      </c>
      <c r="AZ9" s="34">
        <f>+SUMPRODUCT(AZ7:AZ8,BB7:BB8)</f>
        <v>52106.507745987547</v>
      </c>
      <c r="BN9" s="2"/>
    </row>
    <row r="10" spans="1:66" x14ac:dyDescent="0.25">
      <c r="A10" s="7" t="s">
        <v>145</v>
      </c>
      <c r="B10" s="11"/>
      <c r="C10" s="11"/>
      <c r="D10" s="15"/>
      <c r="E10" s="7"/>
      <c r="F10" s="7"/>
      <c r="G10" s="7"/>
      <c r="H10" s="11"/>
      <c r="I10" s="11"/>
      <c r="J10" s="7"/>
      <c r="K10" s="7"/>
      <c r="L10" s="7"/>
      <c r="P10" s="33"/>
      <c r="Q10" s="33"/>
      <c r="R10" s="33"/>
      <c r="X10" s="7"/>
      <c r="Y10" s="7"/>
      <c r="AA10" s="12"/>
      <c r="AC10" s="34"/>
      <c r="AD10" s="34"/>
      <c r="AE10" s="34"/>
      <c r="AJ10" s="34"/>
      <c r="AK10" s="34"/>
      <c r="AL10" s="34"/>
      <c r="AQ10" s="34"/>
      <c r="AR10" s="34"/>
      <c r="AS10" s="34"/>
      <c r="AV10" s="4"/>
      <c r="AX10" s="34"/>
      <c r="AY10" s="34"/>
      <c r="AZ10" s="34"/>
      <c r="BN10" s="2"/>
    </row>
    <row r="11" spans="1:66" x14ac:dyDescent="0.25">
      <c r="A11" s="10" t="s">
        <v>216</v>
      </c>
      <c r="B11" s="11"/>
      <c r="C11" s="11"/>
      <c r="D11" s="15"/>
      <c r="E11" s="7"/>
      <c r="F11" s="7"/>
      <c r="G11" s="7"/>
      <c r="H11" s="11"/>
      <c r="I11" s="11"/>
      <c r="J11" s="7"/>
      <c r="K11" s="7"/>
      <c r="L11" s="7"/>
      <c r="P11" s="33"/>
      <c r="Q11" s="33"/>
      <c r="R11" s="33"/>
      <c r="X11" s="7"/>
      <c r="Y11" s="7"/>
      <c r="AA11" s="12"/>
      <c r="AC11" s="94" t="str">
        <f>+A12</f>
        <v>Prog disease on Rucaparib</v>
      </c>
      <c r="AD11" s="94"/>
      <c r="AE11" s="94"/>
      <c r="AF11" s="94"/>
      <c r="AG11" s="94"/>
      <c r="AH11" s="94"/>
      <c r="AJ11" s="94" t="str">
        <f>+A13</f>
        <v>Prog disease on PLD+C</v>
      </c>
      <c r="AK11" s="94"/>
      <c r="AL11" s="94"/>
      <c r="AM11" s="94"/>
      <c r="AN11" s="94"/>
      <c r="AO11" s="94"/>
      <c r="AQ11" s="94" t="str">
        <f>+A14</f>
        <v>Prog-free disease on Rucaparib</v>
      </c>
      <c r="AR11" s="94"/>
      <c r="AS11" s="94"/>
      <c r="AT11" s="94"/>
      <c r="AU11" s="94"/>
      <c r="AV11" s="94"/>
      <c r="AX11" s="94" t="str">
        <f>+A15</f>
        <v xml:space="preserve">Prog-free disease on PLD+C  </v>
      </c>
      <c r="AY11" s="94"/>
      <c r="AZ11" s="94"/>
      <c r="BA11" s="94"/>
      <c r="BB11" s="94"/>
      <c r="BC11" s="94"/>
      <c r="BN11" s="2"/>
    </row>
    <row r="12" spans="1:66" x14ac:dyDescent="0.25">
      <c r="A12" s="7" t="s">
        <v>24</v>
      </c>
      <c r="B12" s="11">
        <f>+'ICER Table 5pt3'!B18</f>
        <v>0.68</v>
      </c>
      <c r="C12" s="11">
        <f>+'ICER Table 5pt3'!C18</f>
        <v>0.55000000000000004</v>
      </c>
      <c r="D12" s="11">
        <f>+'ICER Table 5pt3'!D18</f>
        <v>0.8</v>
      </c>
      <c r="E12" s="12">
        <f>CE_BC_rucaparib_BRCA</f>
        <v>294593</v>
      </c>
      <c r="F12" s="12">
        <f>+'ICER Fig E1'!B7</f>
        <v>253735</v>
      </c>
      <c r="G12" s="12">
        <f>+'ICER Fig E1'!C7</f>
        <v>351135</v>
      </c>
      <c r="H12" s="11">
        <v>0.4</v>
      </c>
      <c r="I12" s="11">
        <v>0.5</v>
      </c>
      <c r="J12" s="12">
        <f>+AH13</f>
        <v>232948.8461538463</v>
      </c>
      <c r="K12" s="12">
        <f>+AH14</f>
        <v>243668.46153846159</v>
      </c>
      <c r="L12" s="13">
        <f t="shared" ref="L12:L14" si="3">+S12</f>
        <v>0.12649185999892634</v>
      </c>
      <c r="M12" s="36" t="str">
        <f t="shared" ref="M12:N15" si="4">+IF(X12,"YES","NO")</f>
        <v>NO</v>
      </c>
      <c r="N12" s="36" t="str">
        <f t="shared" si="4"/>
        <v>NO</v>
      </c>
      <c r="P12" s="42">
        <f>+MIN(E12,J12,K12)</f>
        <v>232948.8461538463</v>
      </c>
      <c r="Q12" s="42">
        <f>+MEDIAN(E12,J12,K12)</f>
        <v>243668.46153846159</v>
      </c>
      <c r="R12" s="42">
        <f>+MAX(E12,J12,K12)</f>
        <v>294593</v>
      </c>
      <c r="S12" s="14">
        <f t="shared" ref="S12:S15" si="5">+AVERAGE((Q12-P12)/Q12,(R12-Q12)/Q12)</f>
        <v>0.12649185999892634</v>
      </c>
      <c r="T12" t="b">
        <f>+AND(E12&lt;=Benchmark1,J12&lt;=Benchmark1,K12&lt;=Benchmark1)</f>
        <v>0</v>
      </c>
      <c r="U12" s="14" t="b">
        <f>+AND(E12&gt;Benchmark1,J12&gt;Benchmark1,K12&gt;Benchmark1)</f>
        <v>1</v>
      </c>
      <c r="V12" t="b">
        <f>+AND(E12&lt;=Benchmark2,J12&lt;=Benchmark2,K12&lt;=Benchmark2)</f>
        <v>0</v>
      </c>
      <c r="W12" s="14" t="b">
        <f>+AND(E12&gt;Benchmark2,J12&gt;Benchmark2,K12&gt;Benchmark2)</f>
        <v>1</v>
      </c>
      <c r="X12" s="12" t="b">
        <f>+AND(NOT(T12),NOT(U12))</f>
        <v>0</v>
      </c>
      <c r="Y12" s="12" t="b">
        <f>+AND(NOT(V12),NOT(W12))</f>
        <v>0</v>
      </c>
      <c r="AA12" s="12" t="s">
        <v>45</v>
      </c>
      <c r="AC12" s="31">
        <f>+B12</f>
        <v>0.68</v>
      </c>
      <c r="AD12" s="32">
        <f>+E12</f>
        <v>294593</v>
      </c>
      <c r="AE12" s="32"/>
      <c r="AF12" s="32" t="s">
        <v>149</v>
      </c>
      <c r="AG12" s="35">
        <f>-AD15/(2*AC15)</f>
        <v>0.36459346271705906</v>
      </c>
      <c r="AH12" s="35"/>
      <c r="AJ12" s="31">
        <f>+B13</f>
        <v>0.5</v>
      </c>
      <c r="AK12" s="32">
        <f>+E13</f>
        <v>294593</v>
      </c>
      <c r="AL12" s="32"/>
      <c r="AM12" s="32" t="s">
        <v>149</v>
      </c>
      <c r="AN12" s="35">
        <f>-AK15/(2*AJ15)</f>
        <v>0.14449487503320024</v>
      </c>
      <c r="AO12" s="35"/>
      <c r="AQ12" s="31">
        <f>+B14</f>
        <v>0.77</v>
      </c>
      <c r="AR12" s="32">
        <f>+E14</f>
        <v>294593</v>
      </c>
      <c r="AS12" s="32"/>
      <c r="AT12" s="32" t="s">
        <v>149</v>
      </c>
      <c r="AU12" s="35">
        <f>-AR15/(2*AQ15)</f>
        <v>0.58894545027039602</v>
      </c>
      <c r="AV12" s="35"/>
      <c r="AX12" s="31">
        <f>+B15</f>
        <v>0.79769999999999996</v>
      </c>
      <c r="AY12" s="32">
        <f>+E15</f>
        <v>294593</v>
      </c>
      <c r="AZ12" s="32"/>
      <c r="BA12" s="32" t="s">
        <v>149</v>
      </c>
      <c r="BB12" s="35">
        <f>-AY15/(2*AX15)</f>
        <v>0.76335948065226833</v>
      </c>
      <c r="BC12" s="35"/>
    </row>
    <row r="13" spans="1:66" x14ac:dyDescent="0.25">
      <c r="A13" s="7" t="s">
        <v>20</v>
      </c>
      <c r="B13" s="11">
        <f>+'ICER Table 5pt3'!B8</f>
        <v>0.5</v>
      </c>
      <c r="C13" s="11">
        <f>+'ICER Fig E1'!D8</f>
        <v>0.37</v>
      </c>
      <c r="D13" s="11">
        <f>+'ICER Fig E1'!E8</f>
        <v>0.62</v>
      </c>
      <c r="E13" s="12">
        <f>CE_BC_rucaparib_BRCA</f>
        <v>294593</v>
      </c>
      <c r="F13" s="12">
        <f>+'ICER Fig E1'!B8</f>
        <v>258863</v>
      </c>
      <c r="G13" s="12">
        <f>+'ICER Fig E1'!C8</f>
        <v>341766</v>
      </c>
      <c r="H13" s="11">
        <v>0.4</v>
      </c>
      <c r="I13" s="11">
        <v>0.5</v>
      </c>
      <c r="J13" s="12">
        <f>+AO13</f>
        <v>265689.23846153845</v>
      </c>
      <c r="K13" s="12">
        <f>+AO14</f>
        <v>294592.99999999994</v>
      </c>
      <c r="L13" s="13">
        <f t="shared" si="3"/>
        <v>4.9057108516600112E-2</v>
      </c>
      <c r="M13" s="36" t="str">
        <f t="shared" si="4"/>
        <v>NO</v>
      </c>
      <c r="N13" s="36" t="str">
        <f t="shared" si="4"/>
        <v>NO</v>
      </c>
      <c r="P13" s="42">
        <f>+MIN(E13,J13,K13)</f>
        <v>265689.23846153845</v>
      </c>
      <c r="Q13" s="42">
        <f>+MEDIAN(E13,J13,K13)</f>
        <v>294592.99999999994</v>
      </c>
      <c r="R13" s="42">
        <f>+MAX(E13,J13,K13)</f>
        <v>294593</v>
      </c>
      <c r="S13" s="14">
        <f t="shared" si="5"/>
        <v>4.9057108516600112E-2</v>
      </c>
      <c r="T13" t="b">
        <f>+AND(E13&lt;=Benchmark1,J13&lt;=Benchmark1,K13&lt;=Benchmark1)</f>
        <v>0</v>
      </c>
      <c r="U13" s="14" t="b">
        <f>+AND(E13&gt;Benchmark1,J13&gt;Benchmark1,K13&gt;Benchmark1)</f>
        <v>1</v>
      </c>
      <c r="V13" t="b">
        <f>+AND(E13&lt;=Benchmark2,J13&lt;=Benchmark2,K13&lt;=Benchmark2)</f>
        <v>0</v>
      </c>
      <c r="W13" s="14" t="b">
        <f>+AND(E13&gt;Benchmark2,J13&gt;Benchmark2,K13&gt;Benchmark2)</f>
        <v>1</v>
      </c>
      <c r="X13" s="12" t="b">
        <f>+AND(NOT(T13),NOT(U13))</f>
        <v>0</v>
      </c>
      <c r="Y13" s="12" t="b">
        <f>+AND(NOT(V13),NOT(W13))</f>
        <v>0</v>
      </c>
      <c r="AA13" s="12" t="s">
        <v>159</v>
      </c>
      <c r="AC13" s="31">
        <f>+C12</f>
        <v>0.55000000000000004</v>
      </c>
      <c r="AD13" s="32">
        <f>+F12</f>
        <v>253735</v>
      </c>
      <c r="AE13" s="32"/>
      <c r="AF13" s="32" t="s">
        <v>150</v>
      </c>
      <c r="AG13" s="35">
        <f>+H12</f>
        <v>0.4</v>
      </c>
      <c r="AH13" s="32">
        <f>+AC17*AG13^2+AD17*AG13+AE17</f>
        <v>232948.8461538463</v>
      </c>
      <c r="AJ13" s="31">
        <f>+C13</f>
        <v>0.37</v>
      </c>
      <c r="AK13" s="32">
        <f>+F13</f>
        <v>258863</v>
      </c>
      <c r="AL13" s="32"/>
      <c r="AM13" s="32" t="s">
        <v>150</v>
      </c>
      <c r="AN13" s="35">
        <f>+H13</f>
        <v>0.4</v>
      </c>
      <c r="AO13" s="32">
        <f>+AJ17*AN13^2+AK17*AN13+AL17</f>
        <v>265689.23846153845</v>
      </c>
      <c r="AQ13" s="31">
        <f>+C14</f>
        <v>0.72</v>
      </c>
      <c r="AR13" s="32">
        <f>+F14</f>
        <v>268045</v>
      </c>
      <c r="AS13" s="32"/>
      <c r="AT13" s="32" t="s">
        <v>150</v>
      </c>
      <c r="AU13" s="35">
        <f>+H14</f>
        <v>0.72</v>
      </c>
      <c r="AV13" s="32">
        <f>+AQ17*AU13^2+AR17*AU13+AS17</f>
        <v>268044.99999999988</v>
      </c>
      <c r="AX13" s="31">
        <f>+C15</f>
        <v>0.75</v>
      </c>
      <c r="AY13" s="32">
        <f>+F15</f>
        <v>288738</v>
      </c>
      <c r="AZ13" s="32"/>
      <c r="BA13" s="32" t="s">
        <v>150</v>
      </c>
      <c r="BB13" s="35">
        <f>+H15</f>
        <v>0.71799999999999997</v>
      </c>
      <c r="BC13" s="32">
        <f>+AX17*BB13^2+AY17*BB13+AZ17</f>
        <v>276823.67584256141</v>
      </c>
    </row>
    <row r="14" spans="1:66" x14ac:dyDescent="0.25">
      <c r="A14" s="7" t="s">
        <v>25</v>
      </c>
      <c r="B14" s="11">
        <f>+'ICER Table 5pt3'!B13</f>
        <v>0.77</v>
      </c>
      <c r="C14" s="11">
        <f>+'ICER Fig E1'!D9</f>
        <v>0.72</v>
      </c>
      <c r="D14" s="11">
        <f>+'ICER Fig E1'!E9</f>
        <v>0.82</v>
      </c>
      <c r="E14" s="12">
        <f>CE_BC_rucaparib_BRCA</f>
        <v>294593</v>
      </c>
      <c r="F14" s="12">
        <f>+'ICER Fig E1'!B9</f>
        <v>268045</v>
      </c>
      <c r="G14" s="12">
        <f>+'ICER Fig E1'!C9</f>
        <v>329647</v>
      </c>
      <c r="H14" s="11">
        <v>0.72</v>
      </c>
      <c r="I14" s="11">
        <v>0.6</v>
      </c>
      <c r="J14" s="12">
        <f>+AV13</f>
        <v>268044.99999999988</v>
      </c>
      <c r="K14" s="12">
        <f>+AV14</f>
        <v>239034.27999999956</v>
      </c>
      <c r="L14" s="13">
        <f t="shared" si="3"/>
        <v>0.10363692663545387</v>
      </c>
      <c r="M14" s="36" t="str">
        <f t="shared" si="4"/>
        <v>NO</v>
      </c>
      <c r="N14" s="36" t="str">
        <f t="shared" si="4"/>
        <v>NO</v>
      </c>
      <c r="P14" s="42">
        <f>+MIN(E14,J14,K14)</f>
        <v>239034.27999999956</v>
      </c>
      <c r="Q14" s="42">
        <f>+MEDIAN(E14,J14,K14)</f>
        <v>268044.99999999988</v>
      </c>
      <c r="R14" s="42">
        <f>+MAX(E14,J14,K14)</f>
        <v>294593</v>
      </c>
      <c r="S14" s="14">
        <f t="shared" si="5"/>
        <v>0.10363692663545387</v>
      </c>
      <c r="T14" t="b">
        <f>+AND(E14&lt;=Benchmark1,J14&lt;=Benchmark1,K14&lt;=Benchmark1)</f>
        <v>0</v>
      </c>
      <c r="U14" s="14" t="b">
        <f>+AND(E14&gt;Benchmark1,J14&gt;Benchmark1,K14&gt;Benchmark1)</f>
        <v>1</v>
      </c>
      <c r="V14" t="b">
        <f>+AND(E14&lt;=Benchmark2,J14&lt;=Benchmark2,K14&lt;=Benchmark2)</f>
        <v>0</v>
      </c>
      <c r="W14" s="14" t="b">
        <f>+AND(E14&gt;Benchmark2,J14&gt;Benchmark2,K14&gt;Benchmark2)</f>
        <v>1</v>
      </c>
      <c r="X14" s="12" t="b">
        <f>+AND(NOT(T14),NOT(U14))</f>
        <v>0</v>
      </c>
      <c r="Y14" s="12" t="b">
        <f>+AND(NOT(V14),NOT(W14))</f>
        <v>0</v>
      </c>
      <c r="AA14" s="12" t="s">
        <v>46</v>
      </c>
      <c r="AC14" s="31">
        <f>+D12</f>
        <v>0.8</v>
      </c>
      <c r="AD14" s="32">
        <f>+G12</f>
        <v>351135</v>
      </c>
      <c r="AE14" s="32"/>
      <c r="AF14" s="32" t="s">
        <v>151</v>
      </c>
      <c r="AG14" s="35">
        <f>+I12</f>
        <v>0.5</v>
      </c>
      <c r="AH14" s="32">
        <f>+AC17*AG14^2+AD17*AG14+AE17</f>
        <v>243668.46153846159</v>
      </c>
      <c r="AJ14" s="31">
        <f>+D13</f>
        <v>0.62</v>
      </c>
      <c r="AK14" s="32">
        <f>+G13</f>
        <v>341766</v>
      </c>
      <c r="AL14" s="32"/>
      <c r="AM14" s="32" t="s">
        <v>151</v>
      </c>
      <c r="AN14" s="35">
        <f>+I13</f>
        <v>0.5</v>
      </c>
      <c r="AO14" s="32">
        <f>+AJ17*AN14^2+AK17*AN14+AL17</f>
        <v>294592.99999999994</v>
      </c>
      <c r="AQ14" s="31">
        <f>+D14</f>
        <v>0.82</v>
      </c>
      <c r="AR14" s="32">
        <f>+G14</f>
        <v>329647</v>
      </c>
      <c r="AS14" s="32"/>
      <c r="AT14" s="32" t="s">
        <v>151</v>
      </c>
      <c r="AU14" s="35">
        <f>+I14</f>
        <v>0.6</v>
      </c>
      <c r="AV14" s="32">
        <f>+AQ17*AU14^2+AR17*AU14+AS17</f>
        <v>239034.27999999956</v>
      </c>
      <c r="AX14" s="31">
        <f>+D15</f>
        <v>0.83</v>
      </c>
      <c r="AY14" s="32">
        <f>+G15</f>
        <v>313675</v>
      </c>
      <c r="AZ14" s="32"/>
      <c r="BA14" s="32" t="s">
        <v>151</v>
      </c>
      <c r="BB14" s="35">
        <f>+I15</f>
        <v>0.6</v>
      </c>
      <c r="BC14" s="32">
        <f>+AX17*BB14^2+AY17*BB14+AZ17</f>
        <v>241726.99836498746</v>
      </c>
    </row>
    <row r="15" spans="1:66" x14ac:dyDescent="0.25">
      <c r="A15" s="7" t="s">
        <v>23</v>
      </c>
      <c r="B15" s="11">
        <f>+'ICER Table 5pt3'!B7</f>
        <v>0.79769999999999996</v>
      </c>
      <c r="C15" s="11">
        <f>+'ICER Fig E1'!D11</f>
        <v>0.75</v>
      </c>
      <c r="D15" s="11">
        <f>+'ICER Fig E1'!E11</f>
        <v>0.83</v>
      </c>
      <c r="E15" s="12">
        <f>CE_BC_rucaparib_BRCA</f>
        <v>294593</v>
      </c>
      <c r="F15" s="12">
        <f>+'ICER Fig E1'!B11</f>
        <v>288738</v>
      </c>
      <c r="G15" s="12">
        <f>+'ICER Fig E1'!C11</f>
        <v>313675</v>
      </c>
      <c r="H15" s="11">
        <v>0.71799999999999997</v>
      </c>
      <c r="I15" s="11">
        <v>0.6</v>
      </c>
      <c r="J15" s="12">
        <f>+BC13</f>
        <v>276823.67584256141</v>
      </c>
      <c r="K15" s="12">
        <f>+BC14</f>
        <v>241726.99836498746</v>
      </c>
      <c r="L15" s="13">
        <f t="shared" ref="L15" si="6">+S15</f>
        <v>9.5486777773081705E-2</v>
      </c>
      <c r="M15" s="36" t="str">
        <f t="shared" si="4"/>
        <v>NO</v>
      </c>
      <c r="N15" s="36" t="str">
        <f t="shared" si="4"/>
        <v>NO</v>
      </c>
      <c r="P15" s="42">
        <f>+MIN(E15,J15,K15)</f>
        <v>241726.99836498746</v>
      </c>
      <c r="Q15" s="42">
        <f>+MEDIAN(E15,J15,K15)</f>
        <v>276823.67584256141</v>
      </c>
      <c r="R15" s="42">
        <f>+MAX(E15,J15,K15)</f>
        <v>294593</v>
      </c>
      <c r="S15" s="14">
        <f t="shared" si="5"/>
        <v>9.5486777773081705E-2</v>
      </c>
      <c r="T15" t="b">
        <f>+AND(E15&lt;=Benchmark1,J15&lt;=Benchmark1,K15&lt;=Benchmark1)</f>
        <v>0</v>
      </c>
      <c r="U15" s="14" t="b">
        <f>+AND(E15&gt;Benchmark1,J15&gt;Benchmark1,K15&gt;Benchmark1)</f>
        <v>1</v>
      </c>
      <c r="V15" t="b">
        <f>+AND(E15&lt;=Benchmark2,J15&lt;=Benchmark2,K15&lt;=Benchmark2)</f>
        <v>0</v>
      </c>
      <c r="W15" s="14" t="b">
        <f>+AND(E15&gt;Benchmark2,J15&gt;Benchmark2,K15&gt;Benchmark2)</f>
        <v>1</v>
      </c>
      <c r="X15" s="12" t="b">
        <f>+AND(NOT(T15),NOT(U15))</f>
        <v>0</v>
      </c>
      <c r="Y15" s="12" t="b">
        <f>+AND(NOT(V15),NOT(W15))</f>
        <v>0</v>
      </c>
      <c r="AA15" s="12" t="s">
        <v>162</v>
      </c>
      <c r="AC15" s="34" cm="1">
        <f t="array" ref="AC15:AE15">+LINEST(AD12:AD14,AC12:AC14^{1,2})</f>
        <v>627564.10256410402</v>
      </c>
      <c r="AD15" s="34">
        <v>-457611.53846154059</v>
      </c>
      <c r="AE15" s="34">
        <v>315583.20512820588</v>
      </c>
      <c r="AG15" s="33">
        <f>+OR(AG12=MIN(AG12:AG14,AC12:AC14),AG12=MAX(AG12:AG14,AC12:AC14))*1</f>
        <v>1</v>
      </c>
      <c r="AJ15" s="34" cm="1">
        <f t="array" ref="AJ15:AL15">+LINEST(AK12:AK14,AJ12:AJ14^{1,2})</f>
        <v>473048.71794871829</v>
      </c>
      <c r="AK15" s="34">
        <v>-136706.23076923128</v>
      </c>
      <c r="AL15" s="34">
        <v>244683.93589743599</v>
      </c>
      <c r="AM15" s="34"/>
      <c r="AN15" s="33">
        <f>+OR(AN12=MIN(AN12:AN14,AJ12:AJ14),AN12=MAX(AN12:AN14,AJ12:AJ14))*1</f>
        <v>1</v>
      </c>
      <c r="AQ15" s="34" cm="1">
        <f t="array" ref="AQ15:AS15">+LINEST(AR12:AR14,AQ12:AQ14^{1,2})</f>
        <v>1701199.9999999881</v>
      </c>
      <c r="AR15" s="34">
        <v>-2003827.9999999814</v>
      </c>
      <c r="AS15" s="34">
        <v>828899.07999999274</v>
      </c>
      <c r="AT15" s="34"/>
      <c r="AU15" s="33">
        <f>+OR(AU12=MIN(AU12:AU14,AQ12:AQ14),AU12=MAX(AU12:AU14,AQ12:AQ14))*1</f>
        <v>1</v>
      </c>
      <c r="AX15" s="34" cm="1">
        <f t="array" ref="AX15:AZ15">+LINEST(AY12:AY14,AX12:AX14^{1,2})</f>
        <v>5850345.7821392138</v>
      </c>
      <c r="AY15" s="34">
        <v>-8931833.8357799575</v>
      </c>
      <c r="AZ15" s="34">
        <v>3696793.8743816605</v>
      </c>
      <c r="BA15" s="34"/>
      <c r="BB15" s="33">
        <f>+OR(BB12=MIN(BB12:BB14,AX12:AX14),BB12=MAX(BB12:BB14,AX12:AX14))*1</f>
        <v>0</v>
      </c>
    </row>
    <row r="16" spans="1:66" x14ac:dyDescent="0.25">
      <c r="A16" s="7"/>
      <c r="B16" s="11"/>
      <c r="C16" s="11"/>
      <c r="D16" s="11"/>
      <c r="E16" s="12"/>
      <c r="F16" s="12"/>
      <c r="G16" s="12"/>
      <c r="H16" s="11"/>
      <c r="I16" s="11"/>
      <c r="J16" s="12"/>
      <c r="K16" s="12"/>
      <c r="L16" s="13"/>
      <c r="M16" s="36"/>
      <c r="N16" s="36"/>
      <c r="P16" s="42"/>
      <c r="Q16" s="42"/>
      <c r="R16" s="42"/>
      <c r="S16" s="14"/>
      <c r="U16" s="14"/>
      <c r="W16" s="14"/>
      <c r="X16" s="12"/>
      <c r="Y16" s="12"/>
      <c r="AA16" s="12"/>
      <c r="AD16" s="34" cm="1">
        <f t="array" ref="AD16:AE16">+LINEST(AD12:AD14,AC12:AC14^{1})</f>
        <v>388556.28997867799</v>
      </c>
      <c r="AE16" s="34">
        <v>36897.910447761184</v>
      </c>
      <c r="AG16" s="33">
        <f>+NOT(AG15)*1</f>
        <v>0</v>
      </c>
      <c r="AK16" s="34" cm="1">
        <f t="array" ref="AK16:AL16">+LINEST(AK12:AK14,AJ12:AJ14^{1})</f>
        <v>330825.26652452024</v>
      </c>
      <c r="AL16" s="34">
        <v>134097.45095948828</v>
      </c>
      <c r="AM16" s="34"/>
      <c r="AN16" s="33">
        <f>+NOT(AN15)*1</f>
        <v>0</v>
      </c>
      <c r="AR16" s="34" cm="1">
        <f t="array" ref="AR16:AS16">+LINEST(AR12:AR14,AQ12:AQ14^{1})</f>
        <v>616020.00000000012</v>
      </c>
      <c r="AS16" s="34">
        <v>-176907.06666666677</v>
      </c>
      <c r="AT16" s="34"/>
      <c r="AU16" s="33">
        <f>+NOT(AU15)*1</f>
        <v>0</v>
      </c>
      <c r="AY16" s="34" cm="1">
        <f t="array" ref="AY16:AZ16">+LINEST(AY12:AY14,AX12:AX14^{1})</f>
        <v>297429.47014893132</v>
      </c>
      <c r="AZ16" s="34">
        <v>63269.316275628691</v>
      </c>
      <c r="BA16" s="34"/>
      <c r="BB16" s="33">
        <f>+NOT(BB15)*1</f>
        <v>1</v>
      </c>
    </row>
    <row r="17" spans="1:83" x14ac:dyDescent="0.25">
      <c r="A17" s="7"/>
      <c r="B17" s="11"/>
      <c r="C17" s="11"/>
      <c r="D17" s="11"/>
      <c r="E17" s="12"/>
      <c r="F17" s="12"/>
      <c r="G17" s="12"/>
      <c r="H17" s="11"/>
      <c r="I17" s="11"/>
      <c r="J17" s="12"/>
      <c r="K17" s="12"/>
      <c r="L17" s="13"/>
      <c r="M17" s="36"/>
      <c r="N17" s="36"/>
      <c r="P17" s="42"/>
      <c r="Q17" s="42"/>
      <c r="R17" s="42"/>
      <c r="S17" s="14"/>
      <c r="U17" s="14"/>
      <c r="W17" s="14"/>
      <c r="X17" s="12"/>
      <c r="Y17" s="12"/>
      <c r="AA17" s="12"/>
      <c r="AC17" s="34">
        <f>+SUMPRODUCT(AC15:AC16,AG15:AG16)</f>
        <v>627564.10256410402</v>
      </c>
      <c r="AD17" s="34">
        <f>+SUMPRODUCT(AD15:AD16,AG15:AG16)</f>
        <v>-457611.53846154059</v>
      </c>
      <c r="AE17" s="34">
        <f>+SUMPRODUCT(AE15:AE16,AG15:AG16)</f>
        <v>315583.20512820588</v>
      </c>
      <c r="AJ17" s="34">
        <f>+SUMPRODUCT(AJ15:AJ16,AN15:AN16)</f>
        <v>473048.71794871829</v>
      </c>
      <c r="AK17" s="34">
        <f>+SUMPRODUCT(AK15:AK16,AN15:AN16)</f>
        <v>-136706.23076923128</v>
      </c>
      <c r="AL17" s="34">
        <f>+SUMPRODUCT(AL15:AL16,AN15:AN16)</f>
        <v>244683.93589743599</v>
      </c>
      <c r="AQ17" s="34">
        <f>+SUMPRODUCT(AQ15:AQ16,AU15:AU16)</f>
        <v>1701199.9999999881</v>
      </c>
      <c r="AR17" s="34">
        <f>+SUMPRODUCT(AR15:AR16,AU15:AU16)</f>
        <v>-2003827.9999999814</v>
      </c>
      <c r="AS17" s="34">
        <f>+SUMPRODUCT(AS15:AS16,AU15:AU16)</f>
        <v>828899.07999999274</v>
      </c>
      <c r="AV17" s="4"/>
      <c r="AX17" s="34">
        <f>+SUMPRODUCT(AX15:AX16,BB15:BB16)</f>
        <v>0</v>
      </c>
      <c r="AY17" s="34">
        <f>+SUMPRODUCT(AY15:AY16,BB15:BB16)</f>
        <v>297429.47014893132</v>
      </c>
      <c r="AZ17" s="34">
        <f>+SUMPRODUCT(AZ15:AZ16,BB15:BB16)</f>
        <v>63269.316275628691</v>
      </c>
    </row>
    <row r="18" spans="1:83" x14ac:dyDescent="0.25">
      <c r="A18" s="7"/>
      <c r="B18" s="11"/>
      <c r="C18" s="11"/>
      <c r="D18" s="11"/>
      <c r="E18" s="12"/>
      <c r="F18" s="12"/>
      <c r="G18" s="12"/>
      <c r="H18" s="11"/>
      <c r="I18" s="11"/>
      <c r="J18" s="12"/>
      <c r="K18" s="12"/>
      <c r="L18" s="13"/>
      <c r="M18" s="36"/>
      <c r="N18" s="36"/>
      <c r="P18" s="42"/>
      <c r="Q18" s="42"/>
      <c r="R18" s="42"/>
      <c r="S18" s="14"/>
      <c r="U18" s="14"/>
      <c r="W18" s="14"/>
      <c r="X18" s="12"/>
      <c r="Y18" s="12"/>
      <c r="AA18" s="12"/>
      <c r="AC18" s="34"/>
      <c r="AD18" s="34"/>
      <c r="AE18" s="34"/>
      <c r="AG18" s="33"/>
      <c r="AJ18" s="34"/>
      <c r="AK18" s="34"/>
      <c r="AL18" s="34"/>
      <c r="AM18" s="34"/>
      <c r="AN18" s="33"/>
      <c r="AQ18" s="34"/>
      <c r="AR18" s="34"/>
      <c r="AS18" s="34"/>
      <c r="AT18" s="34"/>
      <c r="AU18" s="33"/>
      <c r="AX18" s="34"/>
      <c r="AY18" s="34"/>
      <c r="AZ18" s="34"/>
      <c r="BA18" s="34"/>
      <c r="BB18" s="33"/>
    </row>
    <row r="19" spans="1:83" x14ac:dyDescent="0.25">
      <c r="A19" s="7" t="s">
        <v>135</v>
      </c>
      <c r="B19" s="11"/>
      <c r="C19" s="11"/>
      <c r="D19" s="15"/>
      <c r="E19" s="7"/>
      <c r="F19" s="7"/>
      <c r="G19" s="7"/>
      <c r="H19" s="11"/>
      <c r="I19" s="11"/>
      <c r="J19" s="7"/>
      <c r="K19" s="7"/>
      <c r="L19" s="7"/>
      <c r="P19" s="33"/>
      <c r="Q19" s="33"/>
      <c r="R19" s="33"/>
      <c r="X19" s="7"/>
      <c r="Y19" s="7"/>
      <c r="AA19" s="12"/>
    </row>
    <row r="20" spans="1:83" x14ac:dyDescent="0.25">
      <c r="A20" s="10" t="s">
        <v>217</v>
      </c>
      <c r="B20" s="11"/>
      <c r="C20" s="11"/>
      <c r="D20" s="15"/>
      <c r="E20" s="7"/>
      <c r="F20" s="7"/>
      <c r="G20" s="7"/>
      <c r="H20" s="11"/>
      <c r="I20" s="11"/>
      <c r="J20" s="7"/>
      <c r="K20" s="7"/>
      <c r="L20" s="7"/>
      <c r="P20" s="33"/>
      <c r="Q20" s="33"/>
      <c r="R20" s="33"/>
      <c r="X20" s="7"/>
      <c r="Y20" s="7"/>
      <c r="AA20" s="12"/>
      <c r="AC20" s="94" t="str">
        <f>+A21</f>
        <v>Prog disease on Niraporib/placebo</v>
      </c>
      <c r="AD20" s="94"/>
      <c r="AE20" s="94"/>
      <c r="AF20" s="94"/>
      <c r="AG20" s="94"/>
      <c r="AH20" s="94"/>
      <c r="AJ20" s="94" t="str">
        <f>+A22</f>
        <v>Prog disease on Niraparib</v>
      </c>
      <c r="AK20" s="94"/>
      <c r="AL20" s="94"/>
      <c r="AM20" s="94"/>
      <c r="AN20" s="94"/>
      <c r="AO20" s="94"/>
      <c r="AQ20" s="94" t="str">
        <f>+A23</f>
        <v>Prog-free disease on Niraparib</v>
      </c>
      <c r="AR20" s="94"/>
      <c r="AS20" s="94"/>
      <c r="AT20" s="94"/>
      <c r="AU20" s="94"/>
      <c r="AV20" s="94"/>
      <c r="AX20" s="94" t="str">
        <f>+A24</f>
        <v>Prog-free disease off Niraparib</v>
      </c>
      <c r="AY20" s="94"/>
      <c r="AZ20" s="94"/>
      <c r="BA20" s="94"/>
      <c r="BB20" s="94"/>
      <c r="BC20" s="94"/>
      <c r="BE20" s="94" t="str">
        <f>+A25</f>
        <v>Prog-free disease on Niraparib/placebo</v>
      </c>
      <c r="BF20" s="94"/>
      <c r="BG20" s="94"/>
      <c r="BH20" s="94"/>
      <c r="BI20" s="94"/>
      <c r="BJ20" s="94"/>
      <c r="BL20" s="94" t="str">
        <f>+A26</f>
        <v>Prog-free disease off Niraparib/placebo</v>
      </c>
      <c r="BM20" s="94"/>
      <c r="BN20" s="94"/>
      <c r="BO20" s="94"/>
      <c r="BP20" s="94"/>
      <c r="BQ20" s="94"/>
    </row>
    <row r="21" spans="1:83" x14ac:dyDescent="0.25">
      <c r="A21" s="7" t="s">
        <v>28</v>
      </c>
      <c r="B21" s="11">
        <f>+'ICER Table 5pt3'!B17</f>
        <v>0.68</v>
      </c>
      <c r="C21" s="11">
        <f>+'ICER Fig 5pt3'!D6</f>
        <v>0.55000000000000004</v>
      </c>
      <c r="D21" s="11">
        <f>+'ICER Fig 5pt3'!E6</f>
        <v>0.8</v>
      </c>
      <c r="E21" s="12">
        <f t="shared" ref="E21:E26" si="7">+CE_BC_nicaparib_Platinum</f>
        <v>291454</v>
      </c>
      <c r="F21" s="12">
        <f>+'ICER Fig 5pt3'!B6</f>
        <v>193009</v>
      </c>
      <c r="G21" s="12">
        <f>+'ICER Fig 5pt3'!C6</f>
        <v>538196</v>
      </c>
      <c r="H21" s="16">
        <v>0.4</v>
      </c>
      <c r="I21" s="16">
        <v>0.5</v>
      </c>
      <c r="J21" s="12">
        <f>+MAX(0,AH22)</f>
        <v>0</v>
      </c>
      <c r="K21" s="12">
        <f>+AH23</f>
        <v>98480.756929637399</v>
      </c>
      <c r="L21" s="13">
        <f t="shared" ref="L21:L24" si="8">+S21</f>
        <v>1.4797510147502129</v>
      </c>
      <c r="M21" s="36" t="str">
        <f t="shared" ref="M21:N26" si="9">+IF(X21,"YES","NO")</f>
        <v>YES</v>
      </c>
      <c r="N21" s="36" t="str">
        <f t="shared" si="9"/>
        <v>YES</v>
      </c>
      <c r="O21" s="2"/>
      <c r="P21" s="42">
        <f t="shared" ref="P21:P26" si="10">+MIN(E21,J21,K21)</f>
        <v>0</v>
      </c>
      <c r="Q21" s="42">
        <f t="shared" ref="Q21:Q26" si="11">+MEDIAN(E21,J21,K21)</f>
        <v>98480.756929637399</v>
      </c>
      <c r="R21" s="42">
        <f t="shared" ref="R21:R26" si="12">+MAX(E21,J21,K21)</f>
        <v>291454</v>
      </c>
      <c r="S21" s="14">
        <f t="shared" ref="S21:S24" si="13">+AVERAGE((Q21-P21)/Q21,(R21-Q21)/Q21)</f>
        <v>1.4797510147502129</v>
      </c>
      <c r="T21" t="b">
        <f t="shared" ref="T21:T26" si="14">+AND(E21&lt;=Benchmark1,J21&lt;=Benchmark1,K21&lt;=Benchmark1)</f>
        <v>0</v>
      </c>
      <c r="U21" s="14" t="b">
        <f t="shared" ref="U21:U26" si="15">+AND(E21&gt;Benchmark1,J21&gt;Benchmark1,K21&gt;Benchmark1)</f>
        <v>0</v>
      </c>
      <c r="V21" t="b">
        <f t="shared" ref="V21:V26" si="16">+AND(E21&lt;=Benchmark2,J21&lt;=Benchmark2,K21&lt;=Benchmark2)</f>
        <v>0</v>
      </c>
      <c r="W21" s="14" t="b">
        <f t="shared" ref="W21:W26" si="17">+AND(E21&gt;Benchmark2,J21&gt;Benchmark2,K21&gt;Benchmark2)</f>
        <v>0</v>
      </c>
      <c r="X21" s="12" t="b">
        <f t="shared" ref="X21:X26" si="18">+AND(NOT(T21),NOT(U21))</f>
        <v>1</v>
      </c>
      <c r="Y21" s="12" t="b">
        <f t="shared" ref="Y21:Y26" si="19">+AND(NOT(V21),NOT(W21))</f>
        <v>1</v>
      </c>
      <c r="AA21" s="12" t="s">
        <v>163</v>
      </c>
      <c r="AC21" s="31">
        <f>+B21</f>
        <v>0.68</v>
      </c>
      <c r="AD21" s="32">
        <f>+E21</f>
        <v>291454</v>
      </c>
      <c r="AE21" s="32"/>
      <c r="AF21" s="32" t="s">
        <v>149</v>
      </c>
      <c r="AG21" s="35">
        <f>-AD24/(2*AC24)</f>
        <v>0.54212477779762847</v>
      </c>
      <c r="AH21" s="35"/>
      <c r="AJ21" s="31">
        <f>+B22</f>
        <v>0.68</v>
      </c>
      <c r="AK21" s="32">
        <f>+E22</f>
        <v>291454</v>
      </c>
      <c r="AL21" s="32"/>
      <c r="AM21" s="32" t="s">
        <v>149</v>
      </c>
      <c r="AN21" s="35">
        <f>-AK24/(2*AJ24)</f>
        <v>0.51969163057066237</v>
      </c>
      <c r="AO21" s="35"/>
      <c r="AQ21" s="31">
        <f>+B23</f>
        <v>0.77</v>
      </c>
      <c r="AR21" s="32">
        <f>+E23</f>
        <v>291454</v>
      </c>
      <c r="AS21" s="32"/>
      <c r="AT21" s="32" t="s">
        <v>149</v>
      </c>
      <c r="AU21" s="35">
        <f>-AR24/(2*AQ24)</f>
        <v>0.5809327620303214</v>
      </c>
      <c r="AV21" s="35"/>
      <c r="AX21" s="31">
        <f>+B24</f>
        <v>0.71</v>
      </c>
      <c r="AY21" s="32">
        <f>+E24</f>
        <v>291454</v>
      </c>
      <c r="AZ21" s="32"/>
      <c r="BA21" s="32" t="s">
        <v>149</v>
      </c>
      <c r="BB21" s="35">
        <f>-AY24/(2*AX24)</f>
        <v>0.42675889919234705</v>
      </c>
      <c r="BC21" s="35"/>
      <c r="BE21" s="31">
        <f>+B25</f>
        <v>0.77</v>
      </c>
      <c r="BF21" s="32">
        <f>+E25</f>
        <v>291454</v>
      </c>
      <c r="BH21" s="32" t="s">
        <v>149</v>
      </c>
      <c r="BI21" s="35">
        <f>-BF24/(2*BE24)</f>
        <v>0.5809327620303214</v>
      </c>
      <c r="BL21" s="31">
        <f>+B26</f>
        <v>0.71</v>
      </c>
      <c r="BM21" s="32">
        <f>+E26</f>
        <v>291454</v>
      </c>
      <c r="BO21" s="32" t="s">
        <v>149</v>
      </c>
      <c r="BP21" s="35">
        <f>-BM24/(2*BL24)</f>
        <v>2.1496551724136612</v>
      </c>
    </row>
    <row r="22" spans="1:83" x14ac:dyDescent="0.25">
      <c r="A22" s="7" t="s">
        <v>29</v>
      </c>
      <c r="B22" s="11">
        <f>+'ICER Table 5pt3'!B17</f>
        <v>0.68</v>
      </c>
      <c r="C22" s="11">
        <f>+'ICER Fig 5pt3'!D7</f>
        <v>0.55000000000000004</v>
      </c>
      <c r="D22" s="11">
        <f>+'ICER Fig 5pt3'!E7</f>
        <v>0.8</v>
      </c>
      <c r="E22" s="12">
        <f t="shared" si="7"/>
        <v>291454</v>
      </c>
      <c r="F22" s="12">
        <f>+'ICER Fig 5pt3'!B7</f>
        <v>225429</v>
      </c>
      <c r="G22" s="12">
        <f>+'ICER Fig 5pt3'!C7</f>
        <v>432333</v>
      </c>
      <c r="H22" s="16">
        <v>0.4</v>
      </c>
      <c r="I22" s="16">
        <v>0.5</v>
      </c>
      <c r="J22" s="12">
        <f>+AO22</f>
        <v>88657.551172707754</v>
      </c>
      <c r="K22" s="12">
        <f>+AO23</f>
        <v>170976.0266524519</v>
      </c>
      <c r="L22" s="13">
        <f t="shared" si="8"/>
        <v>0.59305521597926325</v>
      </c>
      <c r="M22" s="36" t="str">
        <f t="shared" si="9"/>
        <v>YES</v>
      </c>
      <c r="N22" s="36" t="str">
        <f t="shared" si="9"/>
        <v>YES</v>
      </c>
      <c r="P22" s="42">
        <f t="shared" si="10"/>
        <v>88657.551172707754</v>
      </c>
      <c r="Q22" s="42">
        <f t="shared" si="11"/>
        <v>170976.0266524519</v>
      </c>
      <c r="R22" s="42">
        <f t="shared" si="12"/>
        <v>291454</v>
      </c>
      <c r="S22" s="14">
        <f t="shared" si="13"/>
        <v>0.59305521597926325</v>
      </c>
      <c r="T22" t="b">
        <f t="shared" si="14"/>
        <v>0</v>
      </c>
      <c r="U22" s="14" t="b">
        <f t="shared" si="15"/>
        <v>0</v>
      </c>
      <c r="V22" t="b">
        <f t="shared" si="16"/>
        <v>0</v>
      </c>
      <c r="W22" s="14" t="b">
        <f t="shared" si="17"/>
        <v>0</v>
      </c>
      <c r="X22" s="12" t="b">
        <f t="shared" si="18"/>
        <v>1</v>
      </c>
      <c r="Y22" s="12" t="b">
        <f t="shared" si="19"/>
        <v>1</v>
      </c>
      <c r="AA22" s="12" t="s">
        <v>164</v>
      </c>
      <c r="AC22" s="31">
        <f>+C21</f>
        <v>0.55000000000000004</v>
      </c>
      <c r="AD22" s="32">
        <f>+F21</f>
        <v>193009</v>
      </c>
      <c r="AE22" s="32"/>
      <c r="AF22" s="32" t="s">
        <v>150</v>
      </c>
      <c r="AG22" s="35">
        <f>+H21</f>
        <v>0.4</v>
      </c>
      <c r="AH22" s="32">
        <f>+AC26*AG22^2+AD26*AG22+AE26</f>
        <v>-38729.946695095976</v>
      </c>
      <c r="AJ22" s="31">
        <f>+C22</f>
        <v>0.55000000000000004</v>
      </c>
      <c r="AK22" s="32">
        <f>+F22</f>
        <v>225429</v>
      </c>
      <c r="AL22" s="32"/>
      <c r="AM22" s="32" t="s">
        <v>150</v>
      </c>
      <c r="AN22" s="35">
        <f>+H22</f>
        <v>0.4</v>
      </c>
      <c r="AO22" s="32">
        <f>+AJ26*AN22^2+AK26*AN22+AL26</f>
        <v>88657.551172707754</v>
      </c>
      <c r="AQ22" s="31">
        <f>+C23</f>
        <v>0.72</v>
      </c>
      <c r="AR22" s="32">
        <f>+F23</f>
        <v>266565</v>
      </c>
      <c r="AS22" s="32"/>
      <c r="AT22" s="32" t="s">
        <v>150</v>
      </c>
      <c r="AU22" s="35">
        <f>+H23</f>
        <v>0.72</v>
      </c>
      <c r="AV22" s="32">
        <f>+AQ26*AU22^2+AR26*AU22+AS26</f>
        <v>266565</v>
      </c>
      <c r="AX22" s="31">
        <f>+C24</f>
        <v>0.66</v>
      </c>
      <c r="AY22" s="32">
        <f>+F24</f>
        <v>274188</v>
      </c>
      <c r="AZ22" s="32"/>
      <c r="BA22" s="32" t="s">
        <v>150</v>
      </c>
      <c r="BB22" s="35">
        <f>+H24</f>
        <v>0.72</v>
      </c>
      <c r="BC22" s="32">
        <f>+AX26*BB22^2+AY26*BB22+AZ26</f>
        <v>295308.36</v>
      </c>
      <c r="BE22" s="31">
        <f>+C25</f>
        <v>0.72</v>
      </c>
      <c r="BF22" s="32">
        <f>+F25</f>
        <v>266565</v>
      </c>
      <c r="BH22" s="32" t="s">
        <v>150</v>
      </c>
      <c r="BI22" s="35">
        <f>+H25</f>
        <v>0.72</v>
      </c>
      <c r="BJ22" s="32">
        <f>+BE26*BI22^2+BF26*BI22+BG26</f>
        <v>266565</v>
      </c>
      <c r="BL22" s="31">
        <f>+C26</f>
        <v>0.66</v>
      </c>
      <c r="BM22" s="32">
        <f>+F26</f>
        <v>289755</v>
      </c>
      <c r="BO22" s="32" t="s">
        <v>150</v>
      </c>
      <c r="BP22" s="35">
        <f>+H26</f>
        <v>0.72</v>
      </c>
      <c r="BQ22" s="32">
        <f>+BL26*BP22^2+BM26*BP22+BN26</f>
        <v>291786.84000000003</v>
      </c>
    </row>
    <row r="23" spans="1:83" x14ac:dyDescent="0.25">
      <c r="A23" s="7" t="s">
        <v>30</v>
      </c>
      <c r="B23" s="11">
        <f>+'ICER Table 5pt3'!B12</f>
        <v>0.77</v>
      </c>
      <c r="C23" s="11">
        <f>+'ICER Fig 5pt3'!D9</f>
        <v>0.72</v>
      </c>
      <c r="D23" s="11">
        <f>+'ICER Fig 5pt3'!E9</f>
        <v>0.82</v>
      </c>
      <c r="E23" s="12">
        <f t="shared" si="7"/>
        <v>291454</v>
      </c>
      <c r="F23" s="12">
        <f>+'ICER Fig 5pt3'!B9</f>
        <v>266565</v>
      </c>
      <c r="G23" s="12">
        <f>+'ICER Fig 5pt3'!C9</f>
        <v>323928</v>
      </c>
      <c r="H23" s="11">
        <v>0.72</v>
      </c>
      <c r="I23" s="16">
        <v>0.6</v>
      </c>
      <c r="J23" s="12">
        <f>+AV22</f>
        <v>266565</v>
      </c>
      <c r="K23" s="12">
        <f>+AV23</f>
        <v>237778.1999999996</v>
      </c>
      <c r="L23" s="13">
        <f t="shared" si="8"/>
        <v>0.10068050944422635</v>
      </c>
      <c r="M23" s="36" t="str">
        <f t="shared" si="9"/>
        <v>NO</v>
      </c>
      <c r="N23" s="36" t="str">
        <f t="shared" si="9"/>
        <v>NO</v>
      </c>
      <c r="P23" s="42">
        <f t="shared" si="10"/>
        <v>237778.1999999996</v>
      </c>
      <c r="Q23" s="42">
        <f t="shared" si="11"/>
        <v>266565</v>
      </c>
      <c r="R23" s="42">
        <f t="shared" si="12"/>
        <v>291454</v>
      </c>
      <c r="S23" s="14">
        <f t="shared" si="13"/>
        <v>0.10068050944422635</v>
      </c>
      <c r="T23" t="b">
        <f t="shared" si="14"/>
        <v>0</v>
      </c>
      <c r="U23" s="14" t="b">
        <f t="shared" si="15"/>
        <v>1</v>
      </c>
      <c r="V23" t="b">
        <f t="shared" si="16"/>
        <v>0</v>
      </c>
      <c r="W23" s="14" t="b">
        <f t="shared" si="17"/>
        <v>1</v>
      </c>
      <c r="X23" s="12" t="b">
        <f t="shared" si="18"/>
        <v>0</v>
      </c>
      <c r="Y23" s="12" t="b">
        <f t="shared" si="19"/>
        <v>0</v>
      </c>
      <c r="AA23" s="12" t="s">
        <v>165</v>
      </c>
      <c r="AC23" s="31">
        <f>+D21</f>
        <v>0.8</v>
      </c>
      <c r="AD23" s="32">
        <f>+G21</f>
        <v>538196</v>
      </c>
      <c r="AE23" s="32"/>
      <c r="AF23" s="32" t="s">
        <v>151</v>
      </c>
      <c r="AG23" s="35">
        <f>+I21</f>
        <v>0.5</v>
      </c>
      <c r="AH23" s="32">
        <f>+AC26*AG23^2+AD26*AG23+AE26</f>
        <v>98480.756929637399</v>
      </c>
      <c r="AJ23" s="31">
        <f>+D22</f>
        <v>0.8</v>
      </c>
      <c r="AK23" s="32">
        <f>+G22</f>
        <v>432333</v>
      </c>
      <c r="AL23" s="32"/>
      <c r="AM23" s="32" t="s">
        <v>151</v>
      </c>
      <c r="AN23" s="35">
        <f>+I22</f>
        <v>0.5</v>
      </c>
      <c r="AO23" s="32">
        <f>+AJ26*AN23^2+AK26*AN23+AL26</f>
        <v>170976.0266524519</v>
      </c>
      <c r="AQ23" s="31">
        <f>+D23</f>
        <v>0.82</v>
      </c>
      <c r="AR23" s="32">
        <f>+G23</f>
        <v>323928</v>
      </c>
      <c r="AS23" s="32"/>
      <c r="AT23" s="32" t="s">
        <v>151</v>
      </c>
      <c r="AU23" s="35">
        <f>+I23</f>
        <v>0.6</v>
      </c>
      <c r="AV23" s="32">
        <f>+AQ26*AU23^2+AR26*AU23+AS26</f>
        <v>237778.1999999996</v>
      </c>
      <c r="AX23" s="31">
        <f>+D24</f>
        <v>0.76</v>
      </c>
      <c r="AY23" s="32">
        <f>+G24</f>
        <v>312063</v>
      </c>
      <c r="AZ23" s="32"/>
      <c r="BA23" s="32" t="s">
        <v>151</v>
      </c>
      <c r="BB23" s="35">
        <f>+I24</f>
        <v>0.72</v>
      </c>
      <c r="BC23" s="32">
        <f>+AX26*BB23^2+AY26*BB23+AZ26</f>
        <v>295308.36</v>
      </c>
      <c r="BE23" s="31">
        <f>+D25</f>
        <v>0.82</v>
      </c>
      <c r="BF23" s="32">
        <f>+G25</f>
        <v>323928</v>
      </c>
      <c r="BH23" s="32" t="s">
        <v>151</v>
      </c>
      <c r="BI23" s="35">
        <f>+I25</f>
        <v>0.6</v>
      </c>
      <c r="BJ23" s="32">
        <f>+BE26*BI23^2+BF26*BI23+BG26</f>
        <v>237778.1999999996</v>
      </c>
      <c r="BL23" s="31">
        <f>+D26</f>
        <v>0.76</v>
      </c>
      <c r="BM23" s="32">
        <f>+G26</f>
        <v>293095</v>
      </c>
      <c r="BO23" s="32" t="s">
        <v>151</v>
      </c>
      <c r="BP23" s="35">
        <f>+I26</f>
        <v>0.72</v>
      </c>
      <c r="BQ23" s="32">
        <f>+BL26*BP23^2+BM26*BP23+BN26</f>
        <v>291786.84000000003</v>
      </c>
    </row>
    <row r="24" spans="1:83" x14ac:dyDescent="0.25">
      <c r="A24" s="7" t="s">
        <v>31</v>
      </c>
      <c r="B24" s="11">
        <f>+'ICER Table 5pt3'!B15</f>
        <v>0.71</v>
      </c>
      <c r="C24" s="11">
        <f>+'ICER Fig 5pt3'!D10</f>
        <v>0.66</v>
      </c>
      <c r="D24" s="11">
        <f>+'ICER Fig 5pt3'!E10</f>
        <v>0.76</v>
      </c>
      <c r="E24" s="12">
        <f t="shared" si="7"/>
        <v>291454</v>
      </c>
      <c r="F24" s="12">
        <f>+'ICER Fig 5pt3'!B10</f>
        <v>274188</v>
      </c>
      <c r="G24" s="12">
        <f>+'ICER Fig 5pt3'!C10</f>
        <v>312063</v>
      </c>
      <c r="H24" s="16">
        <v>0.72</v>
      </c>
      <c r="I24" s="16">
        <v>0.72</v>
      </c>
      <c r="J24" s="12">
        <f>+BC22</f>
        <v>295308.36</v>
      </c>
      <c r="K24" s="12">
        <f>+BC23</f>
        <v>295308.36</v>
      </c>
      <c r="L24" s="13">
        <f t="shared" si="8"/>
        <v>6.5259920172933581E-3</v>
      </c>
      <c r="M24" s="36" t="str">
        <f t="shared" si="9"/>
        <v>NO</v>
      </c>
      <c r="N24" s="36" t="str">
        <f t="shared" si="9"/>
        <v>NO</v>
      </c>
      <c r="P24" s="42">
        <f t="shared" si="10"/>
        <v>291454</v>
      </c>
      <c r="Q24" s="42">
        <f t="shared" si="11"/>
        <v>295308.36</v>
      </c>
      <c r="R24" s="42">
        <f t="shared" si="12"/>
        <v>295308.36</v>
      </c>
      <c r="S24" s="14">
        <f t="shared" si="13"/>
        <v>6.5259920172933581E-3</v>
      </c>
      <c r="T24" t="b">
        <f t="shared" si="14"/>
        <v>0</v>
      </c>
      <c r="U24" s="14" t="b">
        <f t="shared" si="15"/>
        <v>1</v>
      </c>
      <c r="V24" t="b">
        <f t="shared" si="16"/>
        <v>0</v>
      </c>
      <c r="W24" s="14" t="b">
        <f t="shared" si="17"/>
        <v>1</v>
      </c>
      <c r="X24" s="12" t="b">
        <f t="shared" si="18"/>
        <v>0</v>
      </c>
      <c r="Y24" s="12" t="b">
        <f t="shared" si="19"/>
        <v>0</v>
      </c>
      <c r="AA24" s="12" t="s">
        <v>166</v>
      </c>
      <c r="AC24" s="34" cm="1">
        <f t="array" ref="AC24:AE24">+LINEST(AD21:AD23,AC21:AC23^{1,2})</f>
        <v>5195656.4102564212</v>
      </c>
      <c r="AD24" s="34">
        <v>-5633388.1538461726</v>
      </c>
      <c r="AE24" s="34">
        <v>1719686.4205128285</v>
      </c>
      <c r="AG24" s="33">
        <f>+OR(AG21=MIN(AG21:AG23,AC21:AC23),AG21=MAX(AG21:AG23,AC21:AC23))*1</f>
        <v>0</v>
      </c>
      <c r="AJ24" s="34" cm="1">
        <f t="array" ref="AJ24:AL24">+LINEST(AK21:AK23,AJ21:AJ23^{1,2})</f>
        <v>2664428.2051282111</v>
      </c>
      <c r="AK24" s="34">
        <v>-2769362.0769230863</v>
      </c>
      <c r="AL24" s="34">
        <v>942588.6102564137</v>
      </c>
      <c r="AM24" s="34"/>
      <c r="AN24" s="33">
        <f>+OR(AN21=MIN(AN21:AN23,AJ21:AJ23),AN21=MAX(AN21:AN23,AJ21:AJ23))*1</f>
        <v>0</v>
      </c>
      <c r="AQ24" s="34" cm="1">
        <f t="array" ref="AQ24:AS24">+LINEST(AR21:AR23,AQ21:AQ23^{1,2})</f>
        <v>1516999.9999999893</v>
      </c>
      <c r="AR24" s="34">
        <v>-1762549.9999999825</v>
      </c>
      <c r="AS24" s="34">
        <v>749188.19999999297</v>
      </c>
      <c r="AT24" s="34"/>
      <c r="AU24" s="33">
        <f>+OR(AU21=MIN(AU21:AU23,AQ21:AQ23),AU21=MAX(AU21:AU23,AQ21:AQ23))*1</f>
        <v>1</v>
      </c>
      <c r="AX24" s="34" cm="1">
        <f t="array" ref="AX24:AZ24">+LINEST(AY21:AY23,AX21:AX23^{1,2})</f>
        <v>668600.00000001187</v>
      </c>
      <c r="AY24" s="34">
        <v>-570662.00000001665</v>
      </c>
      <c r="AZ24" s="34">
        <v>359582.76000000577</v>
      </c>
      <c r="BA24" s="34"/>
      <c r="BB24" s="33">
        <f>+OR(BB21=MIN(BB21:BB23,AX21:AX23),BB21=MAX(BB21:BB23,AX21:AX23))*1</f>
        <v>1</v>
      </c>
      <c r="BE24" s="34" cm="1">
        <f t="array" ref="BE24:BG24">+LINEST(BF21:BF23,BE21:BE23^{1,2})</f>
        <v>1516999.9999999893</v>
      </c>
      <c r="BF24" s="34">
        <v>-1762549.9999999825</v>
      </c>
      <c r="BG24" s="34">
        <v>749188.19999999297</v>
      </c>
      <c r="BI24" s="33">
        <f>+OR(BI21=MIN(BI21:BI23,BE21:BE23),BI21=MAX(BI21:BI23,BE21:BE23))*1</f>
        <v>1</v>
      </c>
      <c r="BL24" s="34" cm="1">
        <f t="array" ref="BL24:BN24">+LINEST(BM21:BM23,BL21:BL23^{1,2})</f>
        <v>-11600.000000001068</v>
      </c>
      <c r="BM24" s="34">
        <v>49872.000000001528</v>
      </c>
      <c r="BN24" s="34">
        <v>261892.43999999948</v>
      </c>
      <c r="BP24" s="33">
        <f>+OR(BP21=MIN(BP21:BP23,BL21:BL23),BP21=MAX(BP21:BP23,BL21:BL23))*1</f>
        <v>1</v>
      </c>
    </row>
    <row r="25" spans="1:83" x14ac:dyDescent="0.25">
      <c r="A25" s="7" t="s">
        <v>32</v>
      </c>
      <c r="B25" s="11">
        <f>+'ICER Table 5pt3'!B12</f>
        <v>0.77</v>
      </c>
      <c r="C25" s="11">
        <f>+'ICER Fig 5pt3'!D9</f>
        <v>0.72</v>
      </c>
      <c r="D25" s="11">
        <f>+'ICER Fig 5pt3'!E9</f>
        <v>0.82</v>
      </c>
      <c r="E25" s="12">
        <f t="shared" si="7"/>
        <v>291454</v>
      </c>
      <c r="F25" s="12">
        <f>+'ICER Fig 5pt3'!B9</f>
        <v>266565</v>
      </c>
      <c r="G25" s="12">
        <f>+'ICER Fig 5pt3'!C9</f>
        <v>323928</v>
      </c>
      <c r="H25" s="16">
        <v>0.72</v>
      </c>
      <c r="I25" s="16">
        <v>0.6</v>
      </c>
      <c r="J25" s="12">
        <f>+BJ22</f>
        <v>266565</v>
      </c>
      <c r="K25" s="12">
        <f>+BJ23</f>
        <v>237778.1999999996</v>
      </c>
      <c r="L25" s="13">
        <f t="shared" ref="L25:L26" si="20">+S25</f>
        <v>0.10068050944422635</v>
      </c>
      <c r="M25" s="36" t="str">
        <f t="shared" si="9"/>
        <v>NO</v>
      </c>
      <c r="N25" s="36" t="str">
        <f t="shared" si="9"/>
        <v>NO</v>
      </c>
      <c r="P25" s="42">
        <f t="shared" si="10"/>
        <v>237778.1999999996</v>
      </c>
      <c r="Q25" s="42">
        <f t="shared" si="11"/>
        <v>266565</v>
      </c>
      <c r="R25" s="42">
        <f t="shared" si="12"/>
        <v>291454</v>
      </c>
      <c r="S25" s="14">
        <f t="shared" ref="S25:S26" si="21">+AVERAGE((Q25-P25)/Q25,(R25-Q25)/Q25)</f>
        <v>0.10068050944422635</v>
      </c>
      <c r="T25" t="b">
        <f t="shared" si="14"/>
        <v>0</v>
      </c>
      <c r="U25" s="14" t="b">
        <f t="shared" si="15"/>
        <v>1</v>
      </c>
      <c r="V25" t="b">
        <f t="shared" si="16"/>
        <v>0</v>
      </c>
      <c r="W25" s="14" t="b">
        <f t="shared" si="17"/>
        <v>1</v>
      </c>
      <c r="X25" s="12" t="b">
        <f t="shared" si="18"/>
        <v>0</v>
      </c>
      <c r="Y25" s="12" t="b">
        <f t="shared" si="19"/>
        <v>0</v>
      </c>
      <c r="AA25" s="12" t="s">
        <v>167</v>
      </c>
      <c r="AD25" s="34" cm="1">
        <f t="array" ref="AD25:AE25">+LINEST(AD21:AD23,AC21:AC23^{1})</f>
        <v>1372107.0362473344</v>
      </c>
      <c r="AE25" s="34">
        <v>-587572.76119402982</v>
      </c>
      <c r="AG25" s="33">
        <f>+NOT(AG24)*1</f>
        <v>1</v>
      </c>
      <c r="AK25" s="34" cm="1">
        <f t="array" ref="AK25:AL25">+LINEST(AK21:AK23,AJ21:AJ23^{1})</f>
        <v>823184.75479744142</v>
      </c>
      <c r="AL25" s="34">
        <v>-240616.35074626881</v>
      </c>
      <c r="AM25" s="34"/>
      <c r="AN25" s="33">
        <f>+NOT(AN24)*1</f>
        <v>1</v>
      </c>
      <c r="AR25" s="34" cm="1">
        <f t="array" ref="AR25:AS25">+LINEST(AR21:AR23,AQ21:AQ23^{1})</f>
        <v>573630.00000000035</v>
      </c>
      <c r="AS25" s="34">
        <v>-147712.76666666695</v>
      </c>
      <c r="AT25" s="34"/>
      <c r="AU25" s="33">
        <f>+NOT(AU24)*1</f>
        <v>0</v>
      </c>
      <c r="AY25" s="34" cm="1">
        <f t="array" ref="AY25:AZ25">+LINEST(AY21:AY23,AX21:AX23^{1})</f>
        <v>378750.00000000023</v>
      </c>
      <c r="AZ25" s="34">
        <v>23655.833333333139</v>
      </c>
      <c r="BA25" s="34"/>
      <c r="BB25" s="33">
        <f>+NOT(BB24)*1</f>
        <v>0</v>
      </c>
      <c r="BF25" s="34" cm="1">
        <f t="array" ref="BF25:BG25">+LINEST(BF21:BF23,BE21:BE23^{1})</f>
        <v>573630.00000000035</v>
      </c>
      <c r="BG25" s="34">
        <v>-147712.76666666695</v>
      </c>
      <c r="BI25" s="33">
        <f>+NOT(BI24)*1</f>
        <v>0</v>
      </c>
      <c r="BM25" s="34" cm="1">
        <f t="array" ref="BM25:BN25">+LINEST(BM21:BM23,BL21:BL23^{1})</f>
        <v>33400.000000000015</v>
      </c>
      <c r="BN25" s="34">
        <v>267720.66666666669</v>
      </c>
      <c r="BP25" s="33">
        <f>+NOT(BP24)*1</f>
        <v>0</v>
      </c>
    </row>
    <row r="26" spans="1:83" x14ac:dyDescent="0.25">
      <c r="A26" s="7" t="s">
        <v>33</v>
      </c>
      <c r="B26" s="11">
        <f>+'ICER Table 5pt3'!B15</f>
        <v>0.71</v>
      </c>
      <c r="C26" s="11">
        <f>+'ICER Fig 5pt3'!D16</f>
        <v>0.66</v>
      </c>
      <c r="D26" s="11">
        <f>+'ICER Fig 5pt3'!E16</f>
        <v>0.76</v>
      </c>
      <c r="E26" s="12">
        <f t="shared" si="7"/>
        <v>291454</v>
      </c>
      <c r="F26" s="12">
        <f>+'ICER Fig 5pt3'!B16</f>
        <v>289755</v>
      </c>
      <c r="G26" s="12">
        <f>+'ICER Fig 5pt3'!C16</f>
        <v>293095</v>
      </c>
      <c r="H26" s="11">
        <v>0.72</v>
      </c>
      <c r="I26" s="16">
        <v>0.72</v>
      </c>
      <c r="J26" s="12">
        <f>+BQ22</f>
        <v>291786.84000000003</v>
      </c>
      <c r="K26" s="12">
        <f>+BQ23</f>
        <v>291786.84000000003</v>
      </c>
      <c r="L26" s="13">
        <f t="shared" si="20"/>
        <v>5.7034786078773397E-4</v>
      </c>
      <c r="M26" s="36" t="str">
        <f t="shared" si="9"/>
        <v>NO</v>
      </c>
      <c r="N26" s="36" t="str">
        <f t="shared" si="9"/>
        <v>NO</v>
      </c>
      <c r="P26" s="42">
        <f t="shared" si="10"/>
        <v>291454</v>
      </c>
      <c r="Q26" s="42">
        <f t="shared" si="11"/>
        <v>291786.84000000003</v>
      </c>
      <c r="R26" s="42">
        <f t="shared" si="12"/>
        <v>291786.84000000003</v>
      </c>
      <c r="S26" s="14">
        <f t="shared" si="21"/>
        <v>5.7034786078773397E-4</v>
      </c>
      <c r="T26" t="b">
        <f t="shared" si="14"/>
        <v>0</v>
      </c>
      <c r="U26" s="14" t="b">
        <f t="shared" si="15"/>
        <v>1</v>
      </c>
      <c r="V26" t="b">
        <f t="shared" si="16"/>
        <v>0</v>
      </c>
      <c r="W26" s="14" t="b">
        <f t="shared" si="17"/>
        <v>1</v>
      </c>
      <c r="X26" s="12" t="b">
        <f t="shared" si="18"/>
        <v>0</v>
      </c>
      <c r="Y26" s="12" t="b">
        <f t="shared" si="19"/>
        <v>0</v>
      </c>
      <c r="AA26" s="12" t="s">
        <v>168</v>
      </c>
      <c r="AC26" s="34">
        <f>+SUMPRODUCT(AC24:AC25,AG24:AG25)</f>
        <v>0</v>
      </c>
      <c r="AD26" s="34">
        <f>+SUMPRODUCT(AD24:AD25,AG24:AG25)</f>
        <v>1372107.0362473344</v>
      </c>
      <c r="AE26" s="34">
        <f>+SUMPRODUCT(AE24:AE25,AG24:AG25)</f>
        <v>-587572.76119402982</v>
      </c>
      <c r="AJ26" s="34">
        <f>+SUMPRODUCT(AJ24:AJ25,AN24:AN25)</f>
        <v>0</v>
      </c>
      <c r="AK26" s="34">
        <f>+SUMPRODUCT(AK24:AK25,AN24:AN25)</f>
        <v>823184.75479744142</v>
      </c>
      <c r="AL26" s="34">
        <f>+SUMPRODUCT(AL24:AL25,AN24:AN25)</f>
        <v>-240616.35074626881</v>
      </c>
      <c r="AQ26" s="34">
        <f>+SUMPRODUCT(AQ24:AQ25,AU24:AU25)</f>
        <v>1516999.9999999893</v>
      </c>
      <c r="AR26" s="34">
        <f>+SUMPRODUCT(AR24:AR25,AU24:AU25)</f>
        <v>-1762549.9999999825</v>
      </c>
      <c r="AS26" s="34">
        <f>+SUMPRODUCT(AS24:AS25,AU24:AU25)</f>
        <v>749188.19999999297</v>
      </c>
      <c r="AV26" s="4"/>
      <c r="AX26" s="34">
        <f>+SUMPRODUCT(AX24:AX25,BB24:BB25)</f>
        <v>668600.00000001187</v>
      </c>
      <c r="AY26" s="34">
        <f>+SUMPRODUCT(AY24:AY25,BB24:BB25)</f>
        <v>-570662.00000001665</v>
      </c>
      <c r="AZ26" s="34">
        <f>+SUMPRODUCT(AZ24:AZ25,BB24:BB25)</f>
        <v>359582.76000000577</v>
      </c>
      <c r="BE26" s="34">
        <f>+SUMPRODUCT(BE24:BE25,BI24:BI25)</f>
        <v>1516999.9999999893</v>
      </c>
      <c r="BF26" s="34">
        <f>+SUMPRODUCT(BF24:BF25,BI24:BI25)</f>
        <v>-1762549.9999999825</v>
      </c>
      <c r="BG26" s="34">
        <f>+SUMPRODUCT(BG24:BG25,BI24:BI25)</f>
        <v>749188.19999999297</v>
      </c>
      <c r="BL26" s="34">
        <f>+SUMPRODUCT(BL24:BL25,BP24:BP25)</f>
        <v>-11600.000000001068</v>
      </c>
      <c r="BM26" s="34">
        <f>+SUMPRODUCT(BM24:BM25,BP24:BP25)</f>
        <v>49872.000000001528</v>
      </c>
      <c r="BN26" s="34">
        <f>+SUMPRODUCT(BN24:BN25,BP24:BP25)</f>
        <v>261892.43999999948</v>
      </c>
    </row>
    <row r="27" spans="1:83" x14ac:dyDescent="0.25">
      <c r="A27" s="7"/>
      <c r="B27" s="11"/>
      <c r="C27" s="11"/>
      <c r="D27" s="15"/>
      <c r="E27" s="7"/>
      <c r="F27" s="7"/>
      <c r="G27" s="7"/>
      <c r="H27" s="11"/>
      <c r="I27" s="11"/>
      <c r="J27" s="7"/>
      <c r="K27" s="7"/>
      <c r="L27" s="7"/>
      <c r="X27" s="7"/>
      <c r="Y27" s="7"/>
      <c r="AA27" s="12"/>
    </row>
    <row r="28" spans="1:83" x14ac:dyDescent="0.25">
      <c r="A28" s="7"/>
      <c r="B28" s="11"/>
      <c r="C28" s="11"/>
      <c r="D28" s="15"/>
      <c r="E28" s="7"/>
      <c r="F28" s="7"/>
      <c r="G28" s="7"/>
      <c r="H28" s="11"/>
      <c r="I28" s="11"/>
      <c r="J28" s="7"/>
      <c r="K28" s="7"/>
      <c r="L28" s="7"/>
      <c r="X28" s="7"/>
      <c r="Y28" s="7"/>
      <c r="AA28" s="12"/>
    </row>
    <row r="29" spans="1:83" x14ac:dyDescent="0.25">
      <c r="A29" s="7"/>
      <c r="B29" s="11"/>
      <c r="C29" s="11"/>
      <c r="D29" s="15"/>
      <c r="E29" s="7"/>
      <c r="F29" s="7"/>
      <c r="G29" s="7"/>
      <c r="H29" s="11"/>
      <c r="I29" s="11"/>
      <c r="J29" s="7"/>
      <c r="K29" s="7"/>
      <c r="L29" s="7"/>
      <c r="X29" s="7"/>
      <c r="Y29" s="7"/>
      <c r="AA29" s="12"/>
    </row>
    <row r="30" spans="1:83" x14ac:dyDescent="0.25">
      <c r="A30" s="7" t="s">
        <v>134</v>
      </c>
      <c r="B30" s="11"/>
      <c r="C30" s="11"/>
      <c r="D30" s="15"/>
      <c r="E30" s="7"/>
      <c r="F30" s="7"/>
      <c r="G30" s="7"/>
      <c r="H30" s="11"/>
      <c r="I30" s="11"/>
      <c r="J30" s="7"/>
      <c r="K30" s="7"/>
      <c r="L30" s="7"/>
      <c r="X30" s="7"/>
      <c r="Y30" s="7"/>
      <c r="AA30" s="12"/>
    </row>
    <row r="31" spans="1:83" x14ac:dyDescent="0.25">
      <c r="A31" s="10" t="s">
        <v>218</v>
      </c>
      <c r="B31" s="11"/>
      <c r="C31" s="11"/>
      <c r="D31" s="15"/>
      <c r="E31" s="7"/>
      <c r="F31" s="7"/>
      <c r="G31" s="7"/>
      <c r="H31" s="11"/>
      <c r="I31" s="11"/>
      <c r="J31" s="7"/>
      <c r="K31" s="7"/>
      <c r="L31" s="7"/>
      <c r="X31" s="7"/>
      <c r="Y31" s="7"/>
      <c r="AA31" s="12"/>
      <c r="AC31" s="94" t="str">
        <f>+A32</f>
        <v>Prog disease on 2nd therapy Olaparib/placebo</v>
      </c>
      <c r="AD31" s="94"/>
      <c r="AE31" s="94"/>
      <c r="AF31" s="94"/>
      <c r="AG31" s="94"/>
      <c r="AH31" s="94"/>
      <c r="AJ31" s="94" t="str">
        <f>+A33</f>
        <v>Prog disease on 2nd therapy Olaparib</v>
      </c>
      <c r="AK31" s="94"/>
      <c r="AL31" s="94"/>
      <c r="AM31" s="94"/>
      <c r="AN31" s="94"/>
      <c r="AO31" s="94"/>
      <c r="AQ31" s="94" t="str">
        <f>+A34</f>
        <v>Prog-free disease on Olaparib</v>
      </c>
      <c r="AR31" s="94"/>
      <c r="AS31" s="94"/>
      <c r="AT31" s="94"/>
      <c r="AU31" s="94"/>
      <c r="AV31" s="94"/>
      <c r="AX31" s="94" t="str">
        <f>+A35</f>
        <v>Prog disease on 1st therapy Olaparib/placebo</v>
      </c>
      <c r="AY31" s="94"/>
      <c r="AZ31" s="94"/>
      <c r="BA31" s="94"/>
      <c r="BB31" s="94"/>
      <c r="BC31" s="94"/>
      <c r="BE31" s="94" t="str">
        <f>+A36</f>
        <v>Prog disease on 1st therapy Olaparib</v>
      </c>
      <c r="BF31" s="94"/>
      <c r="BG31" s="94"/>
      <c r="BH31" s="94"/>
      <c r="BI31" s="94"/>
      <c r="BJ31" s="94"/>
      <c r="BL31" s="94" t="str">
        <f>+A37</f>
        <v>Prog-free disease off Olaparib</v>
      </c>
      <c r="BM31" s="94"/>
      <c r="BN31" s="94"/>
      <c r="BO31" s="94"/>
      <c r="BP31" s="94"/>
      <c r="BQ31" s="94"/>
      <c r="BS31" s="94" t="str">
        <f>+A38</f>
        <v>Prog-free disease on Olaparib/placebo</v>
      </c>
      <c r="BT31" s="94"/>
      <c r="BU31" s="94"/>
      <c r="BV31" s="94"/>
      <c r="BW31" s="94"/>
      <c r="BX31" s="94"/>
      <c r="BZ31" s="94" t="str">
        <f>+A39</f>
        <v>Prog-free disease off Olaparib/placebo</v>
      </c>
      <c r="CA31" s="94"/>
      <c r="CB31" s="94"/>
      <c r="CC31" s="94"/>
      <c r="CD31" s="94"/>
      <c r="CE31" s="94"/>
    </row>
    <row r="32" spans="1:83" x14ac:dyDescent="0.25">
      <c r="A32" s="7" t="s">
        <v>35</v>
      </c>
      <c r="B32" s="11">
        <f>+'ICER Table 5pt3'!B20</f>
        <v>0.65</v>
      </c>
      <c r="C32" s="11">
        <f>+'ICER Fig E2'!D6</f>
        <v>0.52</v>
      </c>
      <c r="D32" s="11">
        <f>+'ICER Fig E2'!E6</f>
        <v>0.77</v>
      </c>
      <c r="E32" s="12">
        <f t="shared" ref="E32:E39" si="22">+CE_BC_olaparib_Platinum</f>
        <v>324116</v>
      </c>
      <c r="F32" s="12">
        <f>+'ICER Fig E2'!B6</f>
        <v>226093</v>
      </c>
      <c r="G32" s="12">
        <f>+'ICER Fig E2'!C6</f>
        <v>538641</v>
      </c>
      <c r="H32" s="16">
        <v>0.4</v>
      </c>
      <c r="I32" s="16">
        <v>0.5</v>
      </c>
      <c r="J32" s="12">
        <f>+AH33</f>
        <v>56265.520255863608</v>
      </c>
      <c r="K32" s="12">
        <f>+AH34</f>
        <v>180597.06609808106</v>
      </c>
      <c r="L32" s="13">
        <f t="shared" ref="L32:L39" si="23">+S32</f>
        <v>0.74156929990952514</v>
      </c>
      <c r="M32" s="36" t="str">
        <f t="shared" ref="M32:N39" si="24">+IF(X32,"YES","NO")</f>
        <v>YES</v>
      </c>
      <c r="N32" s="36" t="str">
        <f t="shared" si="24"/>
        <v>YES</v>
      </c>
      <c r="P32" s="42">
        <f t="shared" ref="P32:P39" si="25">+MIN(E32,J32,K32)</f>
        <v>56265.520255863608</v>
      </c>
      <c r="Q32" s="42">
        <f t="shared" ref="Q32:Q39" si="26">+MEDIAN(E32,J32,K32)</f>
        <v>180597.06609808106</v>
      </c>
      <c r="R32" s="42">
        <f t="shared" ref="R32:R39" si="27">+MAX(E32,J32,K32)</f>
        <v>324116</v>
      </c>
      <c r="S32" s="14">
        <f t="shared" ref="S32:S39" si="28">+AVERAGE((Q32-P32)/Q32,(R32-Q32)/Q32)</f>
        <v>0.74156929990952514</v>
      </c>
      <c r="T32" t="b">
        <f t="shared" ref="T32:T39" si="29">+AND(E32&lt;=Benchmark1,J32&lt;=Benchmark1,K32&lt;=Benchmark1)</f>
        <v>0</v>
      </c>
      <c r="U32" s="14" t="b">
        <f t="shared" ref="U32:U39" si="30">+AND(E32&gt;Benchmark1,J32&gt;Benchmark1,K32&gt;Benchmark1)</f>
        <v>0</v>
      </c>
      <c r="V32" t="b">
        <f t="shared" ref="V32:V39" si="31">+AND(E32&lt;=Benchmark2,J32&lt;=Benchmark2,K32&lt;=Benchmark2)</f>
        <v>0</v>
      </c>
      <c r="W32" s="14" t="b">
        <f t="shared" ref="W32:W39" si="32">+AND(E32&gt;Benchmark2,J32&gt;Benchmark2,K32&gt;Benchmark2)</f>
        <v>0</v>
      </c>
      <c r="X32" s="12" t="b">
        <f t="shared" ref="X32:X39" si="33">+AND(NOT(T32),NOT(U32))</f>
        <v>1</v>
      </c>
      <c r="Y32" s="12" t="b">
        <f t="shared" ref="Y32:Y39" si="34">+AND(NOT(V32),NOT(W32))</f>
        <v>1</v>
      </c>
      <c r="AA32" s="12" t="s">
        <v>169</v>
      </c>
      <c r="AC32" s="31">
        <f>+B32</f>
        <v>0.65</v>
      </c>
      <c r="AD32" s="32">
        <f>+E32</f>
        <v>324116</v>
      </c>
      <c r="AF32" s="32" t="s">
        <v>149</v>
      </c>
      <c r="AG32" s="35">
        <f>-AD35/(2*AC35)</f>
        <v>0.49381858473758022</v>
      </c>
      <c r="AH32" s="35"/>
      <c r="AJ32" s="31">
        <f>+B33</f>
        <v>0.65</v>
      </c>
      <c r="AK32" s="32">
        <f>+E33</f>
        <v>324116</v>
      </c>
      <c r="AM32" s="32" t="s">
        <v>149</v>
      </c>
      <c r="AN32" s="35">
        <f>-AK35/(2*AJ35)</f>
        <v>0.46197772469180953</v>
      </c>
      <c r="AQ32" s="31">
        <f>+B34</f>
        <v>0.77</v>
      </c>
      <c r="AR32" s="32">
        <f>+E34</f>
        <v>324116</v>
      </c>
      <c r="AT32" s="32" t="s">
        <v>149</v>
      </c>
      <c r="AU32" s="35">
        <f>-AR35/(2*AQ35)</f>
        <v>0.58765840669492309</v>
      </c>
      <c r="AX32" s="31">
        <f>+B35</f>
        <v>0.72</v>
      </c>
      <c r="AY32" s="32">
        <f>+E35</f>
        <v>324116</v>
      </c>
      <c r="BA32" s="32" t="s">
        <v>149</v>
      </c>
      <c r="BB32" s="35">
        <f>-AY35/(2*AX35)</f>
        <v>0.11723391614327081</v>
      </c>
      <c r="BE32" s="31">
        <f>+B36</f>
        <v>0.72</v>
      </c>
      <c r="BF32" s="32">
        <f>+E36</f>
        <v>324116</v>
      </c>
      <c r="BH32" s="32" t="s">
        <v>149</v>
      </c>
      <c r="BI32" s="35">
        <f>-BF35/(2*BE35)</f>
        <v>0.44828330285553525</v>
      </c>
      <c r="BL32" s="31">
        <f>+B37</f>
        <v>0.71</v>
      </c>
      <c r="BM32" s="32">
        <f>+E37</f>
        <v>324116</v>
      </c>
      <c r="BO32" s="32" t="s">
        <v>149</v>
      </c>
      <c r="BP32" s="35">
        <f>-BM35/(2*BL35)</f>
        <v>0.42036585365854073</v>
      </c>
      <c r="BS32" s="31">
        <f>+B38</f>
        <v>0.77</v>
      </c>
      <c r="BT32" s="32">
        <f>+E38</f>
        <v>324116</v>
      </c>
      <c r="BV32" s="32" t="s">
        <v>149</v>
      </c>
      <c r="BW32" s="35">
        <f>-BT35/(2*BS35)</f>
        <v>0.34876230639471612</v>
      </c>
      <c r="BZ32" s="31">
        <f>+B39</f>
        <v>0.71</v>
      </c>
      <c r="CA32" s="32">
        <f>+E39</f>
        <v>324116</v>
      </c>
      <c r="CC32" s="32" t="s">
        <v>149</v>
      </c>
      <c r="CD32" s="35">
        <f>-CA35/(2*BZ35)</f>
        <v>2.2793749999998409</v>
      </c>
    </row>
    <row r="33" spans="1:83" x14ac:dyDescent="0.25">
      <c r="A33" s="7" t="s">
        <v>36</v>
      </c>
      <c r="B33" s="11">
        <f>+'ICER Table 5pt3'!B20</f>
        <v>0.65</v>
      </c>
      <c r="C33" s="11">
        <f>+'ICER Fig E2'!D7</f>
        <v>0.52</v>
      </c>
      <c r="D33" s="11">
        <f>+'ICER Fig E2'!E7</f>
        <v>0.77</v>
      </c>
      <c r="E33" s="12">
        <f t="shared" si="22"/>
        <v>324116</v>
      </c>
      <c r="F33" s="12">
        <f>+'ICER Fig E2'!B7</f>
        <v>259709</v>
      </c>
      <c r="G33" s="12">
        <f>+'ICER Fig E2'!C7</f>
        <v>443977</v>
      </c>
      <c r="H33" s="16">
        <v>0.4</v>
      </c>
      <c r="I33" s="16">
        <v>0.5</v>
      </c>
      <c r="J33" s="12">
        <f>+AO33</f>
        <v>161615.62686567171</v>
      </c>
      <c r="K33" s="12">
        <f>+AO34</f>
        <v>234987.94029850751</v>
      </c>
      <c r="L33" s="13">
        <f t="shared" si="23"/>
        <v>0.34576321858879744</v>
      </c>
      <c r="M33" s="36" t="str">
        <f t="shared" si="24"/>
        <v>NO</v>
      </c>
      <c r="N33" s="36" t="str">
        <f t="shared" si="24"/>
        <v>NO</v>
      </c>
      <c r="P33" s="42">
        <f t="shared" si="25"/>
        <v>161615.62686567171</v>
      </c>
      <c r="Q33" s="42">
        <f t="shared" si="26"/>
        <v>234987.94029850751</v>
      </c>
      <c r="R33" s="42">
        <f t="shared" si="27"/>
        <v>324116</v>
      </c>
      <c r="S33" s="14">
        <f t="shared" si="28"/>
        <v>0.34576321858879744</v>
      </c>
      <c r="T33" t="b">
        <f t="shared" si="29"/>
        <v>0</v>
      </c>
      <c r="U33" s="14" t="b">
        <f t="shared" si="30"/>
        <v>1</v>
      </c>
      <c r="V33" t="b">
        <f t="shared" si="31"/>
        <v>0</v>
      </c>
      <c r="W33" s="14" t="b">
        <f t="shared" si="32"/>
        <v>1</v>
      </c>
      <c r="X33" s="12" t="b">
        <f t="shared" si="33"/>
        <v>0</v>
      </c>
      <c r="Y33" s="12" t="b">
        <f t="shared" si="34"/>
        <v>0</v>
      </c>
      <c r="AA33" s="12" t="s">
        <v>170</v>
      </c>
      <c r="AC33" s="31">
        <f>+C32</f>
        <v>0.52</v>
      </c>
      <c r="AD33" s="32">
        <f>+F32</f>
        <v>226093</v>
      </c>
      <c r="AF33" s="32" t="s">
        <v>150</v>
      </c>
      <c r="AG33" s="35">
        <f>+H32</f>
        <v>0.4</v>
      </c>
      <c r="AH33" s="32">
        <f>+AC37*AG33^2+AD37*AG33+AE37</f>
        <v>56265.520255863608</v>
      </c>
      <c r="AJ33" s="31">
        <f>+C33</f>
        <v>0.52</v>
      </c>
      <c r="AK33" s="32">
        <f>+F33</f>
        <v>259709</v>
      </c>
      <c r="AM33" s="32" t="s">
        <v>150</v>
      </c>
      <c r="AN33" s="35">
        <f>+H33</f>
        <v>0.4</v>
      </c>
      <c r="AO33" s="32">
        <f>+AJ37*AN33^2+AK37*AN33+AL37</f>
        <v>161615.62686567171</v>
      </c>
      <c r="AQ33" s="31">
        <f>+C34</f>
        <v>0.72</v>
      </c>
      <c r="AR33" s="32">
        <f>+F34</f>
        <v>295162</v>
      </c>
      <c r="AT33" s="32" t="s">
        <v>150</v>
      </c>
      <c r="AU33" s="35">
        <f>+H34</f>
        <v>0.72</v>
      </c>
      <c r="AV33" s="32">
        <f>+AQ37*AU33^2+AR37*AU33+AS37</f>
        <v>295162.00000000023</v>
      </c>
      <c r="AX33" s="31">
        <f>+C35</f>
        <v>0.57999999999999996</v>
      </c>
      <c r="AY33" s="32">
        <f>+F35</f>
        <v>291926</v>
      </c>
      <c r="BA33" s="32" t="s">
        <v>150</v>
      </c>
      <c r="BB33" s="35">
        <f>+H35</f>
        <v>0.4</v>
      </c>
      <c r="BC33" s="32">
        <f>+AX37*BB33^2+AY37*BB33+AZ37</f>
        <v>262968.21978021978</v>
      </c>
      <c r="BE33" s="31">
        <f>+C36</f>
        <v>0.57999999999999996</v>
      </c>
      <c r="BF33" s="32">
        <f>+F36</f>
        <v>296539</v>
      </c>
      <c r="BH33" s="32" t="s">
        <v>150</v>
      </c>
      <c r="BI33" s="35">
        <f>+H36</f>
        <v>0.4</v>
      </c>
      <c r="BJ33" s="32">
        <f>+BE37*BI33^2+BF37*BI33+BG37</f>
        <v>248308.24803149613</v>
      </c>
      <c r="BL33" s="31">
        <f>+C37</f>
        <v>0.66</v>
      </c>
      <c r="BM33" s="32">
        <f>+F37</f>
        <v>305454</v>
      </c>
      <c r="BO33" s="32" t="s">
        <v>150</v>
      </c>
      <c r="BP33" s="35">
        <f>+H37</f>
        <v>0.72</v>
      </c>
      <c r="BQ33" s="32">
        <f>+BL37*BP33^2+BM37*BP33+BN37</f>
        <v>328271.51999999996</v>
      </c>
      <c r="BS33" s="31">
        <f>+C38</f>
        <v>0.73</v>
      </c>
      <c r="BT33" s="32">
        <f>+F38</f>
        <v>309992</v>
      </c>
      <c r="BV33" s="32" t="s">
        <v>150</v>
      </c>
      <c r="BW33" s="35">
        <f>+H38</f>
        <v>0.72</v>
      </c>
      <c r="BX33" s="32">
        <f>+BS37*BW33^2+BT37*BW33+BU37</f>
        <v>306681.00674763834</v>
      </c>
      <c r="BZ33" s="31">
        <f>+C39</f>
        <v>0.66</v>
      </c>
      <c r="CA33" s="32">
        <f>+F39</f>
        <v>321565</v>
      </c>
      <c r="CC33" s="32" t="s">
        <v>150</v>
      </c>
      <c r="CD33" s="35">
        <f>+H39</f>
        <v>0.72</v>
      </c>
      <c r="CE33" s="32">
        <f>+BZ37*CD33^2+CA37*CD33+CB37</f>
        <v>324616.59999999998</v>
      </c>
    </row>
    <row r="34" spans="1:83" x14ac:dyDescent="0.25">
      <c r="A34" s="7" t="s">
        <v>22</v>
      </c>
      <c r="B34" s="11">
        <f>+'ICER Table 5pt3'!B11</f>
        <v>0.77</v>
      </c>
      <c r="C34" s="11">
        <f>+'ICER Fig E2'!D9</f>
        <v>0.72</v>
      </c>
      <c r="D34" s="11">
        <f>+'ICER Fig E2'!E9</f>
        <v>0.82</v>
      </c>
      <c r="E34" s="12">
        <f t="shared" si="22"/>
        <v>324116</v>
      </c>
      <c r="F34" s="12">
        <f>+'ICER Fig E2'!B9</f>
        <v>295162</v>
      </c>
      <c r="G34" s="12">
        <f>+'ICER Fig E2'!C9</f>
        <v>362271</v>
      </c>
      <c r="H34" s="11">
        <v>0.72</v>
      </c>
      <c r="I34" s="16">
        <v>0.6</v>
      </c>
      <c r="J34" s="12">
        <f>+AV33</f>
        <v>295162.00000000023</v>
      </c>
      <c r="K34" s="12">
        <f>+AV34</f>
        <v>263212.47999999986</v>
      </c>
      <c r="L34" s="13">
        <f t="shared" si="23"/>
        <v>0.10316964920958674</v>
      </c>
      <c r="M34" s="36" t="str">
        <f t="shared" si="24"/>
        <v>NO</v>
      </c>
      <c r="N34" s="36" t="str">
        <f t="shared" si="24"/>
        <v>NO</v>
      </c>
      <c r="P34" s="42">
        <f t="shared" si="25"/>
        <v>263212.47999999986</v>
      </c>
      <c r="Q34" s="42">
        <f t="shared" si="26"/>
        <v>295162.00000000023</v>
      </c>
      <c r="R34" s="42">
        <f t="shared" si="27"/>
        <v>324116</v>
      </c>
      <c r="S34" s="14">
        <f t="shared" si="28"/>
        <v>0.10316964920958674</v>
      </c>
      <c r="T34" t="b">
        <f t="shared" si="29"/>
        <v>0</v>
      </c>
      <c r="U34" s="14" t="b">
        <f t="shared" si="30"/>
        <v>1</v>
      </c>
      <c r="V34" t="b">
        <f t="shared" si="31"/>
        <v>0</v>
      </c>
      <c r="W34" s="14" t="b">
        <f t="shared" si="32"/>
        <v>1</v>
      </c>
      <c r="X34" s="12" t="b">
        <f t="shared" si="33"/>
        <v>0</v>
      </c>
      <c r="Y34" s="12" t="b">
        <f t="shared" si="34"/>
        <v>0</v>
      </c>
      <c r="AA34" s="12" t="s">
        <v>171</v>
      </c>
      <c r="AC34" s="31">
        <f>+D32</f>
        <v>0.77</v>
      </c>
      <c r="AD34" s="32">
        <f>+G32</f>
        <v>538641</v>
      </c>
      <c r="AF34" s="32" t="s">
        <v>151</v>
      </c>
      <c r="AG34" s="35">
        <f>+I32</f>
        <v>0.5</v>
      </c>
      <c r="AH34" s="32">
        <f>+AC37*AG34^2+AD37*AG34+AE37</f>
        <v>180597.06609808106</v>
      </c>
      <c r="AJ34" s="31">
        <f>+D33</f>
        <v>0.77</v>
      </c>
      <c r="AK34" s="32">
        <f>+G33</f>
        <v>443977</v>
      </c>
      <c r="AM34" s="32" t="s">
        <v>151</v>
      </c>
      <c r="AN34" s="35">
        <f>+I33</f>
        <v>0.5</v>
      </c>
      <c r="AO34" s="32">
        <f>+AJ37*AN34^2+AK37*AN34+AL37</f>
        <v>234987.94029850751</v>
      </c>
      <c r="AQ34" s="31">
        <f>+D34</f>
        <v>0.82</v>
      </c>
      <c r="AR34" s="32">
        <f>+G34</f>
        <v>362271</v>
      </c>
      <c r="AT34" s="32" t="s">
        <v>151</v>
      </c>
      <c r="AU34" s="35">
        <f>+I34</f>
        <v>0.6</v>
      </c>
      <c r="AV34" s="32">
        <f>+AQ37*AU34^2+AR37*AU34+AS37</f>
        <v>263212.47999999986</v>
      </c>
      <c r="AX34" s="31">
        <f>+D35</f>
        <v>0.84</v>
      </c>
      <c r="AY34" s="32">
        <f>+G35</f>
        <v>358440</v>
      </c>
      <c r="BA34" s="32" t="s">
        <v>151</v>
      </c>
      <c r="BB34" s="35">
        <f>+I35</f>
        <v>0.5</v>
      </c>
      <c r="BC34" s="32">
        <f>+AX37*BB34^2+AY37*BB34+AZ37</f>
        <v>277329.57509157504</v>
      </c>
      <c r="BE34" s="31">
        <f>+D36</f>
        <v>0.84</v>
      </c>
      <c r="BF34" s="32">
        <f>+G36</f>
        <v>362987</v>
      </c>
      <c r="BH34" s="32" t="s">
        <v>151</v>
      </c>
      <c r="BI34" s="35">
        <f>+I36</f>
        <v>0.5</v>
      </c>
      <c r="BJ34" s="32">
        <f>+BE37*BI34^2+BF37*BI34+BG37</f>
        <v>273703.70078740164</v>
      </c>
      <c r="BL34" s="31">
        <f>+D37</f>
        <v>0.76</v>
      </c>
      <c r="BM34" s="32">
        <f>+G37</f>
        <v>346304</v>
      </c>
      <c r="BO34" s="32" t="s">
        <v>151</v>
      </c>
      <c r="BP34" s="35">
        <f>+I37</f>
        <v>0.72</v>
      </c>
      <c r="BQ34" s="32">
        <f>+BL37*BP34^2+BM37*BP34+BN37</f>
        <v>328271.51999999996</v>
      </c>
      <c r="BS34" s="31">
        <f>+D38</f>
        <v>0.80800000000000005</v>
      </c>
      <c r="BT34" s="32">
        <f>+G38</f>
        <v>338838</v>
      </c>
      <c r="BV34" s="32" t="s">
        <v>151</v>
      </c>
      <c r="BW34" s="35">
        <f>+I38</f>
        <v>0.6</v>
      </c>
      <c r="BX34" s="32">
        <f>+BS37*BW34^2+BT37*BW34+BU37</f>
        <v>273813.29824561393</v>
      </c>
      <c r="BZ34" s="31">
        <f>+D39</f>
        <v>0.76</v>
      </c>
      <c r="CA34" s="32">
        <f>+G39</f>
        <v>326587</v>
      </c>
      <c r="CC34" s="32" t="s">
        <v>151</v>
      </c>
      <c r="CD34" s="35">
        <f>+I39</f>
        <v>0.72</v>
      </c>
      <c r="CE34" s="32">
        <f>+BZ37*CD34^2+CA37*CD34+CB37</f>
        <v>324616.59999999998</v>
      </c>
    </row>
    <row r="35" spans="1:83" x14ac:dyDescent="0.25">
      <c r="A35" s="7" t="s">
        <v>37</v>
      </c>
      <c r="B35" s="11">
        <f>+'ICER Table 5pt3'!B19</f>
        <v>0.72</v>
      </c>
      <c r="C35" s="11">
        <f>+'ICER Fig E2'!D10</f>
        <v>0.57999999999999996</v>
      </c>
      <c r="D35" s="11">
        <f>+'ICER Fig E2'!E10</f>
        <v>0.84</v>
      </c>
      <c r="E35" s="12">
        <f t="shared" si="22"/>
        <v>324116</v>
      </c>
      <c r="F35" s="12">
        <f>+'ICER Fig E2'!B10</f>
        <v>291926</v>
      </c>
      <c r="G35" s="12">
        <f>+'ICER Fig E2'!C10</f>
        <v>358440</v>
      </c>
      <c r="H35" s="16">
        <v>0.4</v>
      </c>
      <c r="I35" s="16">
        <v>0.5</v>
      </c>
      <c r="J35" s="12">
        <f>+BC33</f>
        <v>262968.21978021978</v>
      </c>
      <c r="K35" s="12">
        <f>+BC34</f>
        <v>277329.57509157504</v>
      </c>
      <c r="L35" s="13">
        <f t="shared" si="23"/>
        <v>0.11024388617692334</v>
      </c>
      <c r="M35" s="36" t="str">
        <f t="shared" si="24"/>
        <v>NO</v>
      </c>
      <c r="N35" s="36" t="str">
        <f t="shared" si="24"/>
        <v>NO</v>
      </c>
      <c r="P35" s="42">
        <f t="shared" si="25"/>
        <v>262968.21978021978</v>
      </c>
      <c r="Q35" s="42">
        <f t="shared" si="26"/>
        <v>277329.57509157504</v>
      </c>
      <c r="R35" s="42">
        <f t="shared" si="27"/>
        <v>324116</v>
      </c>
      <c r="S35" s="14">
        <f t="shared" si="28"/>
        <v>0.11024388617692334</v>
      </c>
      <c r="T35" t="b">
        <f t="shared" si="29"/>
        <v>0</v>
      </c>
      <c r="U35" s="14" t="b">
        <f t="shared" si="30"/>
        <v>1</v>
      </c>
      <c r="V35" t="b">
        <f t="shared" si="31"/>
        <v>0</v>
      </c>
      <c r="W35" s="14" t="b">
        <f t="shared" si="32"/>
        <v>1</v>
      </c>
      <c r="X35" s="12" t="b">
        <f t="shared" si="33"/>
        <v>0</v>
      </c>
      <c r="Y35" s="12" t="b">
        <f t="shared" si="34"/>
        <v>0</v>
      </c>
      <c r="AA35" s="12" t="s">
        <v>172</v>
      </c>
      <c r="AC35" s="34" cm="1">
        <f t="array" ref="AC35:AE35">+LINEST(AD32:AD34,AC32:AC34^{1,2})</f>
        <v>4134741.025641032</v>
      </c>
      <c r="AD35" s="34">
        <v>-4083623.9230769305</v>
      </c>
      <c r="AE35" s="34">
        <v>1231543.4666666682</v>
      </c>
      <c r="AG35" s="33">
        <f>+OR(AG32=MIN(AG32:AG34,AC32:AC34),AG32=MAX(AG32:AG34,AC32:AC34))*1</f>
        <v>0</v>
      </c>
      <c r="AJ35" s="34" cm="1">
        <f t="array" ref="AJ35:AL35">+LINEST(AK32:AK34,AJ32:AJ34^{1,2})</f>
        <v>2013612.8205128233</v>
      </c>
      <c r="AK35" s="34">
        <v>-1860488.5384615422</v>
      </c>
      <c r="AL35" s="34">
        <v>682682.13333333435</v>
      </c>
      <c r="AN35" s="33">
        <f>+OR(AN32=MIN(AN32:AN34,AJ32:AJ34),AN32=MAX(AN32:AN34,AJ32:AJ34))*1</f>
        <v>0</v>
      </c>
      <c r="AQ35" s="34" cm="1">
        <f t="array" ref="AQ35:AS35">+LINEST(AR32:AR34,AQ32:AQ34^{1,2})</f>
        <v>1840199.9999999874</v>
      </c>
      <c r="AR35" s="34">
        <v>-2162817.99999998</v>
      </c>
      <c r="AS35" s="34">
        <v>898431.27999999234</v>
      </c>
      <c r="AU35" s="33">
        <f>+OR(AU32=MIN(AU32:AU34,AQ32:AQ34),AU32=MAX(AU32:AU34,AQ32:AQ34))*1</f>
        <v>1</v>
      </c>
      <c r="AX35" s="34" cm="1">
        <f t="array" ref="AX35:AZ35">+LINEST(AY32:AY34,AX32:AX34^{1,2})</f>
        <v>215787.54578754635</v>
      </c>
      <c r="AY35" s="34">
        <v>-50595.238095238834</v>
      </c>
      <c r="AZ35" s="34">
        <v>248680.30769230789</v>
      </c>
      <c r="BB35" s="33">
        <f>+OR(BB32=MIN(BB32:BB34,AX32:AX34),BB32=MAX(BB32:BB34,AX32:AX34))*1</f>
        <v>1</v>
      </c>
      <c r="BE35" s="34" cm="1">
        <f t="array" ref="BE35:BG35">+LINEST(BF32:BF34,BE32:BE34^{1,2})</f>
        <v>488255.49450549518</v>
      </c>
      <c r="BF35" s="34">
        <v>-437753.57142857206</v>
      </c>
      <c r="BG35" s="34">
        <v>386186.92307692318</v>
      </c>
      <c r="BI35" s="33">
        <f>+OR(BI32=MIN(BI32:BI34,BE32:BE34),BI32=MAX(BI32:BI34,BE32:BE34))*1</f>
        <v>0</v>
      </c>
      <c r="BL35" s="34" cm="1">
        <f t="array" ref="BL35:BN35">+LINEST(BM32:BM34,BL32:BL34^{1,2})</f>
        <v>705200.00000001059</v>
      </c>
      <c r="BM35" s="34">
        <v>-592884.00000001478</v>
      </c>
      <c r="BN35" s="34">
        <v>389572.32000000513</v>
      </c>
      <c r="BP35" s="33">
        <f>+OR(BP32=MIN(BP32:BP34,BL32:BL34),BP32=MAX(BP32:BP34,BL32:BL34))*1</f>
        <v>1</v>
      </c>
      <c r="BS35" s="34" cm="1">
        <f t="array" ref="BS35:BU35">+LINEST(BT32:BT34,BS32:BS34^{1,2})</f>
        <v>440013.49527664325</v>
      </c>
      <c r="BT35" s="34">
        <v>-306920.24291496526</v>
      </c>
      <c r="BU35" s="34">
        <v>299560.58569500147</v>
      </c>
      <c r="BW35" s="33">
        <f>+OR(BW32=MIN(BW32:BW34,BS32:BS34),BW32=MAX(BW32:BW34,BS32:BS34))*1</f>
        <v>1</v>
      </c>
      <c r="BZ35" s="34" cm="1">
        <f t="array" ref="BZ35:CB35">+LINEST(CA32:CA34,BZ32:BZ34^{1,2})</f>
        <v>-16000.000000001621</v>
      </c>
      <c r="CA35" s="34">
        <v>72940.000000002299</v>
      </c>
      <c r="CB35" s="34">
        <v>280394.19999999914</v>
      </c>
      <c r="CD35" s="33">
        <f>+OR(CD32=MIN(CD32:CD34,BZ32:BZ34),CD32=MAX(CD32:CD34,BZ32:BZ34))*1</f>
        <v>1</v>
      </c>
    </row>
    <row r="36" spans="1:83" x14ac:dyDescent="0.25">
      <c r="A36" s="7" t="s">
        <v>38</v>
      </c>
      <c r="B36" s="11">
        <f>+'ICER Table 5pt3'!B19</f>
        <v>0.72</v>
      </c>
      <c r="C36" s="11">
        <f>+'ICER Fig E2'!D11</f>
        <v>0.57999999999999996</v>
      </c>
      <c r="D36" s="11">
        <f>+'ICER Fig E2'!E11</f>
        <v>0.84</v>
      </c>
      <c r="E36" s="12">
        <f t="shared" si="22"/>
        <v>324116</v>
      </c>
      <c r="F36" s="12">
        <f>+'ICER Fig E2'!B11</f>
        <v>296539</v>
      </c>
      <c r="G36" s="12">
        <f>+'ICER Fig E2'!C11</f>
        <v>362987</v>
      </c>
      <c r="H36" s="16">
        <v>0.4</v>
      </c>
      <c r="I36" s="16">
        <v>0.5</v>
      </c>
      <c r="J36" s="12">
        <f>+BJ33</f>
        <v>248308.24803149613</v>
      </c>
      <c r="K36" s="12">
        <f>+BJ34</f>
        <v>273703.70078740164</v>
      </c>
      <c r="L36" s="13">
        <f t="shared" si="23"/>
        <v>0.13848506934765062</v>
      </c>
      <c r="M36" s="36" t="str">
        <f t="shared" si="24"/>
        <v>NO</v>
      </c>
      <c r="N36" s="36" t="str">
        <f t="shared" si="24"/>
        <v>NO</v>
      </c>
      <c r="P36" s="42">
        <f t="shared" si="25"/>
        <v>248308.24803149613</v>
      </c>
      <c r="Q36" s="42">
        <f t="shared" si="26"/>
        <v>273703.70078740164</v>
      </c>
      <c r="R36" s="42">
        <f t="shared" si="27"/>
        <v>324116</v>
      </c>
      <c r="S36" s="14">
        <f t="shared" si="28"/>
        <v>0.13848506934765062</v>
      </c>
      <c r="T36" t="b">
        <f t="shared" si="29"/>
        <v>0</v>
      </c>
      <c r="U36" s="14" t="b">
        <f t="shared" si="30"/>
        <v>1</v>
      </c>
      <c r="V36" t="b">
        <f t="shared" si="31"/>
        <v>0</v>
      </c>
      <c r="W36" s="14" t="b">
        <f t="shared" si="32"/>
        <v>1</v>
      </c>
      <c r="X36" s="12" t="b">
        <f t="shared" si="33"/>
        <v>0</v>
      </c>
      <c r="Y36" s="12" t="b">
        <f t="shared" si="34"/>
        <v>0</v>
      </c>
      <c r="AA36" s="12" t="s">
        <v>173</v>
      </c>
      <c r="AD36" s="34" cm="1">
        <f t="array" ref="AD36:AE36">+LINEST(AD32:AD34,AC32:AC34^{1})</f>
        <v>1243315.4584221747</v>
      </c>
      <c r="AE36" s="34">
        <v>-441060.66311300627</v>
      </c>
      <c r="AG36" s="33">
        <f>+NOT(AG35)*1</f>
        <v>1</v>
      </c>
      <c r="AK36" s="34" cm="1">
        <f t="array" ref="AK36:AL36">+LINEST(AK32:AK34,AJ32:AJ34^{1})</f>
        <v>733723.13432835822</v>
      </c>
      <c r="AL36" s="34">
        <v>-131873.6268656716</v>
      </c>
      <c r="AN36" s="33">
        <f>+NOT(AN35)*1</f>
        <v>1</v>
      </c>
      <c r="AR36" s="34" cm="1">
        <f t="array" ref="AR36:AS36">+LINEST(AR32:AR34,AQ32:AQ34^{1})</f>
        <v>671090</v>
      </c>
      <c r="AS36" s="34">
        <v>-189556.3</v>
      </c>
      <c r="AU36" s="33">
        <f>+NOT(AU35)*1</f>
        <v>0</v>
      </c>
      <c r="AY36" s="34" cm="1">
        <f t="array" ref="AY36:AZ36">+LINEST(AY32:AY34,AX32:AX34^{1})</f>
        <v>255109.4488188976</v>
      </c>
      <c r="AZ36" s="34">
        <v>142849.25984251971</v>
      </c>
      <c r="BB36" s="33">
        <f>+NOT(BB35)*1</f>
        <v>0</v>
      </c>
      <c r="BF36" s="34" cm="1">
        <f t="array" ref="BF36:BG36">+LINEST(BF32:BF34,BE32:BE34^{1})</f>
        <v>253954.5275590551</v>
      </c>
      <c r="BG36" s="34">
        <v>146726.43700787408</v>
      </c>
      <c r="BI36" s="33">
        <f>+NOT(BI35)*1</f>
        <v>1</v>
      </c>
      <c r="BM36" s="34" cm="1">
        <f t="array" ref="BM36:BN36">+LINEST(BM32:BM34,BL32:BL34^{1})</f>
        <v>408500.00000000017</v>
      </c>
      <c r="BN36" s="34">
        <v>35256.333333333198</v>
      </c>
      <c r="BP36" s="33">
        <f>+NOT(BP35)*1</f>
        <v>0</v>
      </c>
      <c r="BT36" s="34" cm="1">
        <f t="array" ref="BT36:BU36">+LINEST(BT32:BT34,BS32:BS34^{1})</f>
        <v>369673.97020157735</v>
      </c>
      <c r="BU36" s="34">
        <v>39912.825591586472</v>
      </c>
      <c r="BW36" s="33">
        <f>+NOT(BW35)*1</f>
        <v>0</v>
      </c>
      <c r="CA36" s="34" cm="1">
        <f t="array" ref="CA36:CB36">+LINEST(CA32:CA34,BZ32:BZ34^{1})</f>
        <v>50220.000000000015</v>
      </c>
      <c r="CB36" s="34">
        <v>288433.1333333333</v>
      </c>
      <c r="CD36" s="33">
        <f>+NOT(CD35)*1</f>
        <v>0</v>
      </c>
    </row>
    <row r="37" spans="1:83" x14ac:dyDescent="0.25">
      <c r="A37" s="7" t="s">
        <v>39</v>
      </c>
      <c r="B37" s="11">
        <f>+'ICER Table 5pt3'!B14</f>
        <v>0.71</v>
      </c>
      <c r="C37" s="11">
        <f>+'ICER Fig E2'!D12</f>
        <v>0.66</v>
      </c>
      <c r="D37" s="11">
        <f>+'ICER Fig E2'!E12</f>
        <v>0.76</v>
      </c>
      <c r="E37" s="12">
        <f t="shared" si="22"/>
        <v>324116</v>
      </c>
      <c r="F37" s="12">
        <f>+'ICER Fig E2'!B12</f>
        <v>305454</v>
      </c>
      <c r="G37" s="12">
        <f>+'ICER Fig E2'!C12</f>
        <v>346304</v>
      </c>
      <c r="H37" s="16">
        <v>0.72</v>
      </c>
      <c r="I37" s="16">
        <v>0.72</v>
      </c>
      <c r="J37" s="12">
        <f>+BQ33</f>
        <v>328271.51999999996</v>
      </c>
      <c r="K37" s="12">
        <f>+BQ34</f>
        <v>328271.51999999996</v>
      </c>
      <c r="L37" s="13">
        <f t="shared" si="23"/>
        <v>6.3293946425811796E-3</v>
      </c>
      <c r="M37" s="36" t="str">
        <f t="shared" si="24"/>
        <v>NO</v>
      </c>
      <c r="N37" s="36" t="str">
        <f t="shared" si="24"/>
        <v>NO</v>
      </c>
      <c r="P37" s="42">
        <f t="shared" si="25"/>
        <v>324116</v>
      </c>
      <c r="Q37" s="42">
        <f t="shared" si="26"/>
        <v>328271.51999999996</v>
      </c>
      <c r="R37" s="42">
        <f t="shared" si="27"/>
        <v>328271.51999999996</v>
      </c>
      <c r="S37" s="14">
        <f t="shared" si="28"/>
        <v>6.3293946425811796E-3</v>
      </c>
      <c r="T37" t="b">
        <f t="shared" si="29"/>
        <v>0</v>
      </c>
      <c r="U37" s="14" t="b">
        <f t="shared" si="30"/>
        <v>1</v>
      </c>
      <c r="V37" t="b">
        <f t="shared" si="31"/>
        <v>0</v>
      </c>
      <c r="W37" s="14" t="b">
        <f t="shared" si="32"/>
        <v>1</v>
      </c>
      <c r="X37" s="12" t="b">
        <f t="shared" si="33"/>
        <v>0</v>
      </c>
      <c r="Y37" s="12" t="b">
        <f t="shared" si="34"/>
        <v>0</v>
      </c>
      <c r="AA37" s="12" t="s">
        <v>174</v>
      </c>
      <c r="AC37" s="34">
        <f>+SUMPRODUCT(AC35:AC36,AG35:AG36)</f>
        <v>0</v>
      </c>
      <c r="AD37" s="34">
        <f>+SUMPRODUCT(AD35:AD36,AG35:AG36)</f>
        <v>1243315.4584221747</v>
      </c>
      <c r="AE37" s="34">
        <f>+SUMPRODUCT(AE35:AE36,AG35:AG36)</f>
        <v>-441060.66311300627</v>
      </c>
      <c r="AJ37" s="34">
        <f>+SUMPRODUCT(AJ35:AJ36,AN35:AN36)</f>
        <v>0</v>
      </c>
      <c r="AK37" s="34">
        <f>+SUMPRODUCT(AK35:AK36,AN35:AN36)</f>
        <v>733723.13432835822</v>
      </c>
      <c r="AL37" s="34">
        <f>+SUMPRODUCT(AL35:AL36,AN35:AN36)</f>
        <v>-131873.6268656716</v>
      </c>
      <c r="AQ37" s="34">
        <f>+SUMPRODUCT(AQ35:AQ36,AU35:AU36)</f>
        <v>1840199.9999999874</v>
      </c>
      <c r="AR37" s="34">
        <f>+SUMPRODUCT(AR35:AR36,AU35:AU36)</f>
        <v>-2162817.99999998</v>
      </c>
      <c r="AS37" s="34">
        <f>+SUMPRODUCT(AS35:AS36,AU35:AU36)</f>
        <v>898431.27999999234</v>
      </c>
      <c r="AX37" s="34">
        <f>+SUMPRODUCT(AX35:AX36,BB35:BB36)</f>
        <v>215787.54578754635</v>
      </c>
      <c r="AY37" s="34">
        <f>+SUMPRODUCT(AY35:AY36,BB35:BB36)</f>
        <v>-50595.238095238834</v>
      </c>
      <c r="AZ37" s="34">
        <f>+SUMPRODUCT(AZ35:AZ36,BB35:BB36)</f>
        <v>248680.30769230789</v>
      </c>
      <c r="BE37" s="34">
        <f>+SUMPRODUCT(BE35:BE36,BI35:BI36)</f>
        <v>0</v>
      </c>
      <c r="BF37" s="34">
        <f>+SUMPRODUCT(BF35:BF36,BI35:BI36)</f>
        <v>253954.5275590551</v>
      </c>
      <c r="BG37" s="34">
        <f>+SUMPRODUCT(BG35:BG36,BI35:BI36)</f>
        <v>146726.43700787408</v>
      </c>
      <c r="BL37" s="34">
        <f>+SUMPRODUCT(BL35:BL36,BP35:BP36)</f>
        <v>705200.00000001059</v>
      </c>
      <c r="BM37" s="34">
        <f>+SUMPRODUCT(BM35:BM36,BP35:BP36)</f>
        <v>-592884.00000001478</v>
      </c>
      <c r="BN37" s="34">
        <f>+SUMPRODUCT(BN35:BN36,BP35:BP36)</f>
        <v>389572.32000000513</v>
      </c>
      <c r="BS37" s="34">
        <f>+SUMPRODUCT(BS35:BS36,BW35:BW36)</f>
        <v>440013.49527664325</v>
      </c>
      <c r="BT37" s="34">
        <f>+SUMPRODUCT(BT35:BT36,BW35:BW36)</f>
        <v>-306920.24291496526</v>
      </c>
      <c r="BU37" s="34">
        <f>+SUMPRODUCT(BU35:BU36,BW35:BW36)</f>
        <v>299560.58569500147</v>
      </c>
      <c r="BZ37" s="34">
        <f>+SUMPRODUCT(BZ35:BZ36,CD35:CD36)</f>
        <v>-16000.000000001621</v>
      </c>
      <c r="CA37" s="34">
        <f>+SUMPRODUCT(CA35:CA36,CD35:CD36)</f>
        <v>72940.000000002299</v>
      </c>
      <c r="CB37" s="34">
        <f>+SUMPRODUCT(CB35:CB36,CD35:CD36)</f>
        <v>280394.19999999914</v>
      </c>
    </row>
    <row r="38" spans="1:83" x14ac:dyDescent="0.25">
      <c r="A38" s="7" t="s">
        <v>40</v>
      </c>
      <c r="B38" s="11">
        <f>+'ICER Table 5pt3'!B11</f>
        <v>0.77</v>
      </c>
      <c r="C38" s="11">
        <f>+'ICER Table 5pt3'!C11</f>
        <v>0.73</v>
      </c>
      <c r="D38" s="11">
        <f>+'ICER Table 5pt3'!D11</f>
        <v>0.80800000000000005</v>
      </c>
      <c r="E38" s="12">
        <f t="shared" si="22"/>
        <v>324116</v>
      </c>
      <c r="F38" s="12">
        <f>+'ICER Fig E2'!B13</f>
        <v>309992</v>
      </c>
      <c r="G38" s="12">
        <f>+'ICER Fig E2'!C13</f>
        <v>338838</v>
      </c>
      <c r="H38" s="11">
        <v>0.72</v>
      </c>
      <c r="I38" s="16">
        <v>0.6</v>
      </c>
      <c r="J38" s="12">
        <f>+BX33</f>
        <v>306681.00674763834</v>
      </c>
      <c r="K38" s="12">
        <f>+BX34</f>
        <v>273813.29824561393</v>
      </c>
      <c r="L38" s="13">
        <f t="shared" si="23"/>
        <v>8.2011439651655957E-2</v>
      </c>
      <c r="M38" s="36" t="str">
        <f t="shared" si="24"/>
        <v>NO</v>
      </c>
      <c r="N38" s="36" t="str">
        <f t="shared" si="24"/>
        <v>NO</v>
      </c>
      <c r="P38" s="42">
        <f t="shared" si="25"/>
        <v>273813.29824561393</v>
      </c>
      <c r="Q38" s="42">
        <f t="shared" si="26"/>
        <v>306681.00674763834</v>
      </c>
      <c r="R38" s="42">
        <f t="shared" si="27"/>
        <v>324116</v>
      </c>
      <c r="S38" s="14">
        <f t="shared" si="28"/>
        <v>8.2011439651655957E-2</v>
      </c>
      <c r="T38" t="b">
        <f t="shared" si="29"/>
        <v>0</v>
      </c>
      <c r="U38" s="14" t="b">
        <f t="shared" si="30"/>
        <v>1</v>
      </c>
      <c r="V38" t="b">
        <f t="shared" si="31"/>
        <v>0</v>
      </c>
      <c r="W38" s="14" t="b">
        <f t="shared" si="32"/>
        <v>1</v>
      </c>
      <c r="X38" s="12" t="b">
        <f t="shared" si="33"/>
        <v>0</v>
      </c>
      <c r="Y38" s="12" t="b">
        <f t="shared" si="34"/>
        <v>0</v>
      </c>
      <c r="AA38" s="12" t="s">
        <v>175</v>
      </c>
    </row>
    <row r="39" spans="1:83" x14ac:dyDescent="0.25">
      <c r="A39" s="7" t="s">
        <v>41</v>
      </c>
      <c r="B39" s="11">
        <f>+'ICER Table 5pt3'!B14</f>
        <v>0.71</v>
      </c>
      <c r="C39" s="11">
        <f>+'ICER Fig E2'!D14</f>
        <v>0.66</v>
      </c>
      <c r="D39" s="11">
        <f>+'ICER Fig E2'!E14</f>
        <v>0.76</v>
      </c>
      <c r="E39" s="12">
        <f t="shared" si="22"/>
        <v>324116</v>
      </c>
      <c r="F39" s="12">
        <f>+'ICER Fig E2'!B14</f>
        <v>321565</v>
      </c>
      <c r="G39" s="12">
        <f>+'ICER Fig E2'!C14</f>
        <v>326587</v>
      </c>
      <c r="H39" s="16">
        <v>0.72</v>
      </c>
      <c r="I39" s="16">
        <v>0.72</v>
      </c>
      <c r="J39" s="12">
        <f>+CE33</f>
        <v>324616.59999999998</v>
      </c>
      <c r="K39" s="12">
        <f>+CE34</f>
        <v>324616.59999999998</v>
      </c>
      <c r="L39" s="13">
        <f t="shared" si="23"/>
        <v>7.7106346379078692E-4</v>
      </c>
      <c r="M39" s="36" t="str">
        <f t="shared" si="24"/>
        <v>NO</v>
      </c>
      <c r="N39" s="36" t="str">
        <f t="shared" si="24"/>
        <v>NO</v>
      </c>
      <c r="P39" s="42">
        <f t="shared" si="25"/>
        <v>324116</v>
      </c>
      <c r="Q39" s="42">
        <f t="shared" si="26"/>
        <v>324616.59999999998</v>
      </c>
      <c r="R39" s="42">
        <f t="shared" si="27"/>
        <v>324616.59999999998</v>
      </c>
      <c r="S39" s="14">
        <f t="shared" si="28"/>
        <v>7.7106346379078692E-4</v>
      </c>
      <c r="T39" t="b">
        <f t="shared" si="29"/>
        <v>0</v>
      </c>
      <c r="U39" s="14" t="b">
        <f t="shared" si="30"/>
        <v>1</v>
      </c>
      <c r="V39" t="b">
        <f t="shared" si="31"/>
        <v>0</v>
      </c>
      <c r="W39" s="14" t="b">
        <f t="shared" si="32"/>
        <v>1</v>
      </c>
      <c r="X39" s="12" t="b">
        <f t="shared" si="33"/>
        <v>0</v>
      </c>
      <c r="Y39" s="12" t="b">
        <f t="shared" si="34"/>
        <v>0</v>
      </c>
      <c r="AA39" s="12" t="s">
        <v>176</v>
      </c>
    </row>
    <row r="40" spans="1:83" x14ac:dyDescent="0.25">
      <c r="A40" s="7"/>
      <c r="B40" s="11"/>
      <c r="C40" s="11"/>
      <c r="D40" s="11"/>
      <c r="E40" s="12"/>
      <c r="F40" s="12"/>
      <c r="G40" s="12"/>
      <c r="H40" s="16"/>
      <c r="I40" s="16"/>
      <c r="J40" s="12"/>
      <c r="K40" s="12"/>
      <c r="L40" s="13"/>
      <c r="M40" s="36"/>
      <c r="N40" s="36"/>
      <c r="P40" s="42"/>
      <c r="Q40" s="42"/>
      <c r="R40" s="42"/>
      <c r="S40" s="14"/>
      <c r="U40" s="14"/>
      <c r="W40" s="14"/>
      <c r="X40" s="12"/>
      <c r="Y40" s="12"/>
      <c r="AA40" s="12"/>
    </row>
    <row r="41" spans="1:83" x14ac:dyDescent="0.25">
      <c r="A41" s="7"/>
      <c r="B41" s="11"/>
      <c r="C41" s="11"/>
      <c r="D41" s="11"/>
      <c r="E41" s="12"/>
      <c r="F41" s="12"/>
      <c r="G41" s="12"/>
      <c r="H41" s="16"/>
      <c r="I41" s="16"/>
      <c r="J41" s="12"/>
      <c r="K41" s="12"/>
      <c r="L41" s="13"/>
      <c r="M41" s="36"/>
      <c r="N41" s="36"/>
      <c r="P41" s="42"/>
      <c r="Q41" s="42"/>
      <c r="R41" s="42"/>
      <c r="S41" s="14"/>
      <c r="U41" s="14"/>
      <c r="W41" s="14"/>
      <c r="X41" s="12"/>
      <c r="Y41" s="12"/>
      <c r="AA41" s="12"/>
    </row>
    <row r="42" spans="1:83" x14ac:dyDescent="0.25">
      <c r="A42" s="7"/>
      <c r="B42" s="11"/>
      <c r="C42" s="11"/>
      <c r="D42" s="11"/>
      <c r="E42" s="12"/>
      <c r="F42" s="12"/>
      <c r="G42" s="12"/>
      <c r="H42" s="16"/>
      <c r="I42" s="16"/>
      <c r="J42" s="12"/>
      <c r="K42" s="12"/>
      <c r="L42" s="13"/>
      <c r="M42" s="36"/>
      <c r="N42" s="36"/>
      <c r="P42" s="42"/>
      <c r="Q42" s="42"/>
      <c r="R42" s="42"/>
      <c r="S42" s="14"/>
      <c r="U42" s="14"/>
      <c r="W42" s="14"/>
      <c r="X42" s="12"/>
      <c r="Y42" s="12"/>
      <c r="AA42" s="12"/>
    </row>
    <row r="43" spans="1:83" x14ac:dyDescent="0.25">
      <c r="A43" s="7" t="s">
        <v>144</v>
      </c>
      <c r="B43" s="7"/>
      <c r="C43" s="7"/>
      <c r="D43" s="7"/>
      <c r="E43" s="7"/>
      <c r="F43" s="7"/>
      <c r="G43" s="7"/>
      <c r="H43" s="11"/>
      <c r="I43" s="11"/>
      <c r="J43" s="7"/>
      <c r="K43" s="7"/>
      <c r="L43" s="7"/>
      <c r="X43" s="7"/>
      <c r="Y43" s="7"/>
      <c r="AA43" s="12"/>
    </row>
    <row r="44" spans="1:83" x14ac:dyDescent="0.25">
      <c r="A44" s="10" t="s">
        <v>219</v>
      </c>
      <c r="B44" s="7"/>
      <c r="C44" s="7"/>
      <c r="D44" s="7"/>
      <c r="E44" s="7"/>
      <c r="F44" s="7"/>
      <c r="G44" s="7"/>
      <c r="H44" s="11"/>
      <c r="I44" s="11"/>
      <c r="J44" s="7"/>
      <c r="K44" s="7"/>
      <c r="L44" s="7"/>
      <c r="X44" s="7"/>
      <c r="Y44" s="7"/>
      <c r="AA44" s="12"/>
      <c r="AC44" s="94" t="str">
        <f>+A45</f>
        <v>Prog disease on Rucaparib/placebo</v>
      </c>
      <c r="AD44" s="94"/>
      <c r="AE44" s="94"/>
      <c r="AF44" s="94"/>
      <c r="AG44" s="94"/>
      <c r="AH44" s="94"/>
      <c r="AJ44" s="94" t="str">
        <f>+A46</f>
        <v>Prog disease on Rucaparib</v>
      </c>
      <c r="AK44" s="94"/>
      <c r="AL44" s="94"/>
      <c r="AM44" s="94"/>
      <c r="AN44" s="94"/>
      <c r="AO44" s="94"/>
      <c r="AQ44" s="94" t="str">
        <f>+A47</f>
        <v>Prog-free disease on Rucaparib</v>
      </c>
      <c r="AR44" s="94"/>
      <c r="AS44" s="94"/>
      <c r="AT44" s="94"/>
      <c r="AU44" s="94"/>
      <c r="AV44" s="94"/>
      <c r="AX44" s="94" t="str">
        <f>+A48</f>
        <v>Prog-free disease off Rucaparib</v>
      </c>
      <c r="AY44" s="94"/>
      <c r="AZ44" s="94"/>
      <c r="BA44" s="94"/>
      <c r="BB44" s="94"/>
      <c r="BC44" s="94"/>
      <c r="BE44" s="94" t="str">
        <f>+A49</f>
        <v>Prog-free disease on Rucaparib/placebo</v>
      </c>
      <c r="BF44" s="94"/>
      <c r="BG44" s="94"/>
      <c r="BH44" s="94"/>
      <c r="BI44" s="94"/>
      <c r="BJ44" s="94"/>
      <c r="BL44" s="94" t="str">
        <f>+A50</f>
        <v>Prog-free disease off Rucaparib/placebo</v>
      </c>
      <c r="BM44" s="94"/>
      <c r="BN44" s="94"/>
      <c r="BO44" s="94"/>
      <c r="BP44" s="94"/>
      <c r="BQ44" s="94"/>
    </row>
    <row r="45" spans="1:83" x14ac:dyDescent="0.25">
      <c r="A45" s="7" t="s">
        <v>43</v>
      </c>
      <c r="B45" s="11">
        <f>+'ICER Table 5pt3'!B18</f>
        <v>0.68</v>
      </c>
      <c r="C45" s="11">
        <f>+'ICER Fig E3'!D6</f>
        <v>0.55000000000000004</v>
      </c>
      <c r="D45" s="11">
        <f>+'ICER Fig E3'!E6</f>
        <v>0.8</v>
      </c>
      <c r="E45" s="12">
        <f t="shared" ref="E45:E50" si="35">+CE_BC_rucaparib_Platinum</f>
        <v>369175</v>
      </c>
      <c r="F45" s="12">
        <f>+'ICER Fig E3'!B6</f>
        <v>216897</v>
      </c>
      <c r="G45" s="46">
        <f>+'ICER Fig E3'!C6</f>
        <v>1000613</v>
      </c>
      <c r="H45" s="16">
        <v>0.4</v>
      </c>
      <c r="I45" s="16">
        <v>0.5</v>
      </c>
      <c r="J45" s="12">
        <f>+MAX(0,AH46)</f>
        <v>0</v>
      </c>
      <c r="K45" s="12">
        <f>+MAX(0,AH47)</f>
        <v>0</v>
      </c>
      <c r="L45" s="13" t="e">
        <f t="shared" ref="L45:L49" si="36">+S45</f>
        <v>#DIV/0!</v>
      </c>
      <c r="M45" s="36" t="str">
        <f t="shared" ref="M45:N50" si="37">+IF(X45,"YES","NO")</f>
        <v>YES</v>
      </c>
      <c r="N45" s="36" t="str">
        <f t="shared" si="37"/>
        <v>YES</v>
      </c>
      <c r="O45" s="2"/>
      <c r="P45" s="42">
        <f t="shared" ref="P45:P50" si="38">+MIN(E45,J45,K45)</f>
        <v>0</v>
      </c>
      <c r="Q45" s="42">
        <f t="shared" ref="Q45:Q50" si="39">+MEDIAN(E45,J45,K45)</f>
        <v>0</v>
      </c>
      <c r="R45" s="42">
        <f t="shared" ref="R45:R50" si="40">+MAX(E45,J45,K45)</f>
        <v>369175</v>
      </c>
      <c r="S45" s="14" t="e">
        <f t="shared" ref="S45:S49" si="41">+AVERAGE((Q45-P45)/Q45,(R45-Q45)/Q45)</f>
        <v>#DIV/0!</v>
      </c>
      <c r="T45" t="b">
        <f t="shared" ref="T45:T50" si="42">+AND(E45&lt;=Benchmark1,J45&lt;=Benchmark1,K45&lt;=Benchmark1)</f>
        <v>0</v>
      </c>
      <c r="U45" s="14" t="b">
        <f t="shared" ref="U45:U50" si="43">+AND(E45&gt;Benchmark1,J45&gt;Benchmark1,K45&gt;Benchmark1)</f>
        <v>0</v>
      </c>
      <c r="V45" t="b">
        <f t="shared" ref="V45:V50" si="44">+AND(E45&lt;=Benchmark2,J45&lt;=Benchmark2,K45&lt;=Benchmark2)</f>
        <v>0</v>
      </c>
      <c r="W45" s="14" t="b">
        <f t="shared" ref="W45:W50" si="45">+AND(E45&gt;Benchmark2,J45&gt;Benchmark2,K45&gt;Benchmark2)</f>
        <v>0</v>
      </c>
      <c r="X45" s="12" t="b">
        <f t="shared" ref="X45:X50" si="46">+AND(NOT(T45),NOT(U45))</f>
        <v>1</v>
      </c>
      <c r="Y45" s="12" t="b">
        <f t="shared" ref="Y45:Y50" si="47">+AND(NOT(V45),NOT(W45))</f>
        <v>1</v>
      </c>
      <c r="AA45" s="12" t="s">
        <v>44</v>
      </c>
      <c r="AC45" s="31">
        <f>+B45</f>
        <v>0.68</v>
      </c>
      <c r="AD45" s="32">
        <f>+E45</f>
        <v>369175</v>
      </c>
      <c r="AF45" s="32" t="s">
        <v>149</v>
      </c>
      <c r="AG45" s="35">
        <f>-AD48/(2*AC48)</f>
        <v>0.57920558131983857</v>
      </c>
      <c r="AJ45" s="31">
        <f>+B46</f>
        <v>0.68</v>
      </c>
      <c r="AK45" s="32">
        <f>+E46</f>
        <v>369175</v>
      </c>
      <c r="AM45" s="32" t="s">
        <v>149</v>
      </c>
      <c r="AN45" s="35">
        <f>-AK48/(2*AJ48)</f>
        <v>0.5657068834476815</v>
      </c>
      <c r="AQ45" s="31">
        <f>+B47</f>
        <v>0.77</v>
      </c>
      <c r="AR45" s="32">
        <f>+E47</f>
        <v>369175</v>
      </c>
      <c r="AT45" s="32" t="s">
        <v>149</v>
      </c>
      <c r="AU45" s="35">
        <f>-AR48/(2*AQ48)</f>
        <v>0.59977714748784294</v>
      </c>
      <c r="AX45" s="31">
        <f>+B48</f>
        <v>0.71</v>
      </c>
      <c r="AY45" s="32">
        <f>+E48</f>
        <v>369175</v>
      </c>
      <c r="BA45" s="32" t="s">
        <v>149</v>
      </c>
      <c r="BB45" s="35">
        <f>-AY48/(2*AX48)</f>
        <v>0.43030355097365897</v>
      </c>
      <c r="BE45" s="31">
        <f>+B49</f>
        <v>0.77</v>
      </c>
      <c r="BF45" s="32">
        <f>+E49</f>
        <v>369175</v>
      </c>
      <c r="BH45" s="32" t="s">
        <v>149</v>
      </c>
      <c r="BI45" s="35">
        <f>-BF48/(2*BE48)</f>
        <v>0.71899991326011814</v>
      </c>
      <c r="BL45" s="31">
        <f>+B50</f>
        <v>0.71</v>
      </c>
      <c r="BM45" s="32">
        <f>+E50</f>
        <v>369175</v>
      </c>
      <c r="BO45" s="32" t="s">
        <v>149</v>
      </c>
      <c r="BP45" s="35">
        <f>-BM48/(2*BL48)</f>
        <v>2.2512921348313029</v>
      </c>
    </row>
    <row r="46" spans="1:83" x14ac:dyDescent="0.25">
      <c r="A46" s="7" t="s">
        <v>24</v>
      </c>
      <c r="B46" s="11">
        <f>+'ICER Table 5pt3'!B18</f>
        <v>0.68</v>
      </c>
      <c r="C46" s="11">
        <f>+'ICER Fig E3'!D7</f>
        <v>0.55000000000000004</v>
      </c>
      <c r="D46" s="11">
        <f>+'ICER Fig E3'!E7</f>
        <v>0.8</v>
      </c>
      <c r="E46" s="12">
        <f t="shared" si="35"/>
        <v>369175</v>
      </c>
      <c r="F46" s="12">
        <f>+'ICER Fig E3'!B7</f>
        <v>253990</v>
      </c>
      <c r="G46" s="12">
        <f>+'ICER Fig E3'!C7</f>
        <v>745123</v>
      </c>
      <c r="H46" s="16">
        <v>0.4</v>
      </c>
      <c r="I46" s="16">
        <v>0.5</v>
      </c>
      <c r="J46" s="12">
        <f>+MAX(0,AO46)</f>
        <v>0</v>
      </c>
      <c r="K46" s="12">
        <f>+AO47</f>
        <v>111669.34115138568</v>
      </c>
      <c r="L46" s="13">
        <f t="shared" si="36"/>
        <v>1.6529827981143193</v>
      </c>
      <c r="M46" s="36" t="str">
        <f t="shared" si="37"/>
        <v>YES</v>
      </c>
      <c r="N46" s="36" t="str">
        <f t="shared" si="37"/>
        <v>YES</v>
      </c>
      <c r="O46" s="2"/>
      <c r="P46" s="42">
        <f t="shared" si="38"/>
        <v>0</v>
      </c>
      <c r="Q46" s="42">
        <f t="shared" si="39"/>
        <v>111669.34115138568</v>
      </c>
      <c r="R46" s="42">
        <f t="shared" si="40"/>
        <v>369175</v>
      </c>
      <c r="S46" s="14">
        <f t="shared" si="41"/>
        <v>1.6529827981143193</v>
      </c>
      <c r="T46" t="b">
        <f t="shared" si="42"/>
        <v>0</v>
      </c>
      <c r="U46" s="14" t="b">
        <f t="shared" si="43"/>
        <v>0</v>
      </c>
      <c r="V46" t="b">
        <f t="shared" si="44"/>
        <v>0</v>
      </c>
      <c r="W46" s="14" t="b">
        <f t="shared" si="45"/>
        <v>0</v>
      </c>
      <c r="X46" s="12" t="b">
        <f t="shared" si="46"/>
        <v>1</v>
      </c>
      <c r="Y46" s="12" t="b">
        <f t="shared" si="47"/>
        <v>1</v>
      </c>
      <c r="AA46" s="12" t="s">
        <v>45</v>
      </c>
      <c r="AC46" s="31">
        <f>+C45</f>
        <v>0.55000000000000004</v>
      </c>
      <c r="AD46" s="32">
        <f>+F45</f>
        <v>216897</v>
      </c>
      <c r="AF46" s="32" t="s">
        <v>150</v>
      </c>
      <c r="AG46" s="35">
        <f>+H45</f>
        <v>0.4</v>
      </c>
      <c r="AH46" s="32">
        <f>+AC50*AG46^2+AD50*AG46+AE50</f>
        <v>-330888.55010661017</v>
      </c>
      <c r="AJ46" s="31">
        <f>+C46</f>
        <v>0.55000000000000004</v>
      </c>
      <c r="AK46" s="32">
        <f>+F46</f>
        <v>253990</v>
      </c>
      <c r="AM46" s="32" t="s">
        <v>150</v>
      </c>
      <c r="AN46" s="35">
        <f>+H46</f>
        <v>0.4</v>
      </c>
      <c r="AO46" s="32">
        <f>+AJ50*AN46^2+AK50*AN46+AL50</f>
        <v>-83289.144989339169</v>
      </c>
      <c r="AQ46" s="31">
        <f>+C47</f>
        <v>0.72</v>
      </c>
      <c r="AR46" s="32">
        <f>+F47</f>
        <v>333334</v>
      </c>
      <c r="AT46" s="32" t="s">
        <v>150</v>
      </c>
      <c r="AU46" s="35">
        <f>+H47</f>
        <v>0.72</v>
      </c>
      <c r="AV46" s="32">
        <f>+AQ50*AU46^2+AR50*AU46+AS50</f>
        <v>333334.00000000023</v>
      </c>
      <c r="AX46" s="31">
        <f>+C48</f>
        <v>0.66</v>
      </c>
      <c r="AY46" s="32">
        <f>+F48</f>
        <v>346940</v>
      </c>
      <c r="BA46" s="32" t="s">
        <v>150</v>
      </c>
      <c r="BB46" s="35">
        <f>+H48</f>
        <v>0.72</v>
      </c>
      <c r="BC46" s="32">
        <f>+AX50*BB46^2+AY50*BB46+AZ50</f>
        <v>374145.79999999993</v>
      </c>
      <c r="BE46" s="31">
        <f>+C49</f>
        <v>0.66</v>
      </c>
      <c r="BF46" s="32">
        <f>+F49</f>
        <v>352574</v>
      </c>
      <c r="BH46" s="32" t="s">
        <v>150</v>
      </c>
      <c r="BI46" s="35">
        <f>+H49</f>
        <v>0.72</v>
      </c>
      <c r="BJ46" s="32">
        <f>+BE50*BI46^2+BF50*BI46+BG50</f>
        <v>367152.68018018018</v>
      </c>
      <c r="BL46" s="31">
        <f>+C50</f>
        <v>0.66</v>
      </c>
      <c r="BM46" s="32">
        <f>+F50</f>
        <v>366387</v>
      </c>
      <c r="BO46" s="32" t="s">
        <v>150</v>
      </c>
      <c r="BP46" s="35">
        <f>+H50</f>
        <v>0.72</v>
      </c>
      <c r="BQ46" s="32">
        <f>+BL50*BP46^2+BM50*BP46+BN50</f>
        <v>369721.92</v>
      </c>
    </row>
    <row r="47" spans="1:83" x14ac:dyDescent="0.25">
      <c r="A47" s="7" t="s">
        <v>25</v>
      </c>
      <c r="B47" s="11">
        <f>+'ICER Table 5pt3'!B13</f>
        <v>0.77</v>
      </c>
      <c r="C47" s="11">
        <f>+'ICER Fig E3'!D9</f>
        <v>0.72</v>
      </c>
      <c r="D47" s="11">
        <f>+'ICER Fig E3'!E9</f>
        <v>0.82</v>
      </c>
      <c r="E47" s="12">
        <f t="shared" si="35"/>
        <v>369175</v>
      </c>
      <c r="F47" s="12">
        <f>+'ICER Fig E3'!B9</f>
        <v>333334</v>
      </c>
      <c r="G47" s="12">
        <f>+'ICER Fig E3'!C9</f>
        <v>417356</v>
      </c>
      <c r="H47" s="11">
        <v>0.72</v>
      </c>
      <c r="I47" s="16">
        <v>0.6</v>
      </c>
      <c r="J47" s="12">
        <f>+AV46</f>
        <v>333334.00000000023</v>
      </c>
      <c r="K47" s="12">
        <f>+AV47</f>
        <v>297662.79999999981</v>
      </c>
      <c r="L47" s="13">
        <f t="shared" si="36"/>
        <v>0.10726808546382928</v>
      </c>
      <c r="M47" s="36" t="str">
        <f t="shared" si="37"/>
        <v>NO</v>
      </c>
      <c r="N47" s="36" t="str">
        <f t="shared" si="37"/>
        <v>NO</v>
      </c>
      <c r="P47" s="42">
        <f t="shared" si="38"/>
        <v>297662.79999999981</v>
      </c>
      <c r="Q47" s="42">
        <f t="shared" si="39"/>
        <v>333334.00000000023</v>
      </c>
      <c r="R47" s="42">
        <f t="shared" si="40"/>
        <v>369175</v>
      </c>
      <c r="S47" s="14">
        <f t="shared" si="41"/>
        <v>0.10726808546382928</v>
      </c>
      <c r="T47" t="b">
        <f t="shared" si="42"/>
        <v>0</v>
      </c>
      <c r="U47" s="14" t="b">
        <f t="shared" si="43"/>
        <v>1</v>
      </c>
      <c r="V47" t="b">
        <f t="shared" si="44"/>
        <v>0</v>
      </c>
      <c r="W47" s="14" t="b">
        <f t="shared" si="45"/>
        <v>1</v>
      </c>
      <c r="X47" s="12" t="b">
        <f t="shared" si="46"/>
        <v>0</v>
      </c>
      <c r="Y47" s="12" t="b">
        <f t="shared" si="47"/>
        <v>0</v>
      </c>
      <c r="AA47" s="12" t="s">
        <v>46</v>
      </c>
      <c r="AC47" s="31">
        <f>+D45</f>
        <v>0.8</v>
      </c>
      <c r="AD47" s="32">
        <f>+G45</f>
        <v>1000613</v>
      </c>
      <c r="AF47" s="32" t="s">
        <v>151</v>
      </c>
      <c r="AG47" s="35">
        <f>+I45</f>
        <v>0.5</v>
      </c>
      <c r="AH47" s="32">
        <f>+AC50*AG47^2+AD50*AG47+AE50</f>
        <v>-20123.411513859639</v>
      </c>
      <c r="AJ47" s="31">
        <f>+D46</f>
        <v>0.8</v>
      </c>
      <c r="AK47" s="32">
        <f>+G46</f>
        <v>745123</v>
      </c>
      <c r="AM47" s="32" t="s">
        <v>151</v>
      </c>
      <c r="AN47" s="35">
        <f>+I46</f>
        <v>0.5</v>
      </c>
      <c r="AO47" s="32">
        <f>+AJ50*AN47^2+AK50*AN47+AL50</f>
        <v>111669.34115138568</v>
      </c>
      <c r="AQ47" s="31">
        <f>+D47</f>
        <v>0.82</v>
      </c>
      <c r="AR47" s="32">
        <f>+G47</f>
        <v>417356</v>
      </c>
      <c r="AT47" s="32" t="s">
        <v>151</v>
      </c>
      <c r="AU47" s="35">
        <f>+I47</f>
        <v>0.6</v>
      </c>
      <c r="AV47" s="32">
        <f>+AQ50*AU47^2+AR50*AU47+AS50</f>
        <v>297662.79999999981</v>
      </c>
      <c r="AX47" s="31">
        <f>+D48</f>
        <v>0.76</v>
      </c>
      <c r="AY47" s="32">
        <f>+G48</f>
        <v>395775</v>
      </c>
      <c r="BA47" s="32" t="s">
        <v>151</v>
      </c>
      <c r="BB47" s="35">
        <f>+I48</f>
        <v>0.72</v>
      </c>
      <c r="BC47" s="32">
        <f>+AX50*BB47^2+AY50*BB47+AZ50</f>
        <v>374145.79999999993</v>
      </c>
      <c r="BE47" s="31">
        <f>+D49</f>
        <v>0.76</v>
      </c>
      <c r="BF47" s="32">
        <f>+G49</f>
        <v>386531</v>
      </c>
      <c r="BH47" s="32" t="s">
        <v>151</v>
      </c>
      <c r="BI47" s="35">
        <f>+I49</f>
        <v>0.6</v>
      </c>
      <c r="BJ47" s="32">
        <f>+BE50*BI47^2+BF50*BI47+BG50</f>
        <v>339864.84234234237</v>
      </c>
      <c r="BL47" s="31">
        <f>+D50</f>
        <v>0.76</v>
      </c>
      <c r="BM47" s="32">
        <f>+G50</f>
        <v>371874</v>
      </c>
      <c r="BO47" s="32" t="s">
        <v>151</v>
      </c>
      <c r="BP47" s="35">
        <f>+I50</f>
        <v>0.72</v>
      </c>
      <c r="BQ47" s="32">
        <f>+BL50*BP47^2+BM50*BP47+BN50</f>
        <v>369721.92</v>
      </c>
    </row>
    <row r="48" spans="1:83" x14ac:dyDescent="0.25">
      <c r="A48" s="7" t="s">
        <v>47</v>
      </c>
      <c r="B48" s="11">
        <f>+'ICER Table 5pt3'!B16</f>
        <v>0.71</v>
      </c>
      <c r="C48" s="11">
        <f>+'ICER Fig E3'!D10</f>
        <v>0.66</v>
      </c>
      <c r="D48" s="11">
        <f>+'ICER Fig E3'!E10</f>
        <v>0.76</v>
      </c>
      <c r="E48" s="12">
        <f t="shared" si="35"/>
        <v>369175</v>
      </c>
      <c r="F48" s="12">
        <f>+'ICER Fig E3'!B10</f>
        <v>346940</v>
      </c>
      <c r="G48" s="12">
        <f>+'ICER Fig E3'!C10</f>
        <v>395775</v>
      </c>
      <c r="H48" s="16">
        <v>0.72</v>
      </c>
      <c r="I48" s="16">
        <v>0.72</v>
      </c>
      <c r="J48" s="12">
        <f>+BC46</f>
        <v>374145.79999999993</v>
      </c>
      <c r="K48" s="12">
        <f>+BC47</f>
        <v>374145.79999999993</v>
      </c>
      <c r="L48" s="13">
        <f t="shared" si="36"/>
        <v>6.642864893846104E-3</v>
      </c>
      <c r="M48" s="36" t="str">
        <f t="shared" si="37"/>
        <v>NO</v>
      </c>
      <c r="N48" s="36" t="str">
        <f t="shared" si="37"/>
        <v>NO</v>
      </c>
      <c r="P48" s="42">
        <f t="shared" si="38"/>
        <v>369175</v>
      </c>
      <c r="Q48" s="42">
        <f t="shared" si="39"/>
        <v>374145.79999999993</v>
      </c>
      <c r="R48" s="42">
        <f t="shared" si="40"/>
        <v>374145.79999999993</v>
      </c>
      <c r="S48" s="14">
        <f t="shared" si="41"/>
        <v>6.642864893846104E-3</v>
      </c>
      <c r="T48" t="b">
        <f t="shared" si="42"/>
        <v>0</v>
      </c>
      <c r="U48" s="14" t="b">
        <f t="shared" si="43"/>
        <v>1</v>
      </c>
      <c r="V48" t="b">
        <f t="shared" si="44"/>
        <v>0</v>
      </c>
      <c r="W48" s="14" t="b">
        <f t="shared" si="45"/>
        <v>1</v>
      </c>
      <c r="X48" s="12" t="b">
        <f t="shared" si="46"/>
        <v>0</v>
      </c>
      <c r="Y48" s="12" t="b">
        <f t="shared" si="47"/>
        <v>0</v>
      </c>
      <c r="AA48" s="12" t="s">
        <v>48</v>
      </c>
      <c r="AC48" s="34" cm="1">
        <f t="array" ref="AC48:AE48">+LINEST(AD45:AD47,AC45:AC47^{1,2})</f>
        <v>16362456.410256442</v>
      </c>
      <c r="AD48" s="34">
        <v>-18954452.153846204</v>
      </c>
      <c r="AE48" s="34">
        <v>5692202.6205128403</v>
      </c>
      <c r="AG48" s="33">
        <f>+OR(AG45=MIN(AG45:AG47,AC45:AC47),AG45=MAX(AG45:AG47,AC45:AC47))*1</f>
        <v>0</v>
      </c>
      <c r="AJ48" s="34" cm="1">
        <f t="array" ref="AJ48:AL48">+LINEST(AK45:AK47,AJ45:AJ47^{1,2})</f>
        <v>8987446.1538461726</v>
      </c>
      <c r="AK48" s="34">
        <v>-10168520.30769234</v>
      </c>
      <c r="AL48" s="34">
        <v>3127973.7076923205</v>
      </c>
      <c r="AN48" s="33">
        <f>+OR(AN45=MIN(AN45:AN47,AJ45:AJ47),AN45=MAX(AN45:AN47,AJ45:AJ47))*1</f>
        <v>0</v>
      </c>
      <c r="AQ48" s="34" cm="1">
        <f t="array" ref="AQ48:AS48">+LINEST(AR45:AR47,AQ45:AQ47^{1,2})</f>
        <v>2467999.9999999818</v>
      </c>
      <c r="AR48" s="34">
        <v>-2960499.9999999711</v>
      </c>
      <c r="AS48" s="34">
        <v>1185482.7999999889</v>
      </c>
      <c r="AU48" s="33">
        <f>+OR(AU45=MIN(AU45:AU47,AQ45:AQ47),AU45=MAX(AU45:AU47,AQ45:AQ47))*1</f>
        <v>1</v>
      </c>
      <c r="AX48" s="34" cm="1">
        <f t="array" ref="AX48:AZ48">+LINEST(AY45:AY47,AX45:AX47^{1,2})</f>
        <v>873000.0000000156</v>
      </c>
      <c r="AY48" s="34">
        <v>-751310.000000022</v>
      </c>
      <c r="AZ48" s="34">
        <v>462525.80000000767</v>
      </c>
      <c r="BB48" s="33">
        <f>+OR(BB45=MIN(BB45:BB47,AX45:AX47),BB45=MAX(BB45:BB47,AX45:AX47))*1</f>
        <v>1</v>
      </c>
      <c r="BE48" s="47" cm="1">
        <f t="array" ref="BE48:BG48">+LINEST(BF45:BF47,BE45:BE47^{1,2})</f>
        <v>-18865181.818182345</v>
      </c>
      <c r="BF48" s="34">
        <v>27128128.181818929</v>
      </c>
      <c r="BG48" s="34">
        <v>-9334317.4000002649</v>
      </c>
      <c r="BI48" s="33">
        <f>+OR(BI45=MIN(BI45:BI47,BE45:BE47),BI45=MAX(BI45:BI47,BE45:BE47))*1</f>
        <v>0</v>
      </c>
      <c r="BL48" s="34" cm="1">
        <f t="array" ref="BL48:BN48">+LINEST(BM45:BM47,BL45:BL47^{1,2})</f>
        <v>-17800.000000001823</v>
      </c>
      <c r="BM48" s="34">
        <v>80146.00000000259</v>
      </c>
      <c r="BN48" s="34">
        <v>321244.31999999908</v>
      </c>
      <c r="BP48" s="33">
        <f>+OR(BP45=MIN(BP45:BP47,BL45:BL47),BP45=MAX(BP45:BP47,BL45:BL47))*1</f>
        <v>1</v>
      </c>
    </row>
    <row r="49" spans="1:68" x14ac:dyDescent="0.25">
      <c r="A49" s="7" t="s">
        <v>49</v>
      </c>
      <c r="B49" s="11">
        <f>+'ICER Table 5pt3'!B13</f>
        <v>0.77</v>
      </c>
      <c r="C49" s="11">
        <f>+'ICER Fig E3'!D11</f>
        <v>0.66</v>
      </c>
      <c r="D49" s="11">
        <f>+'ICER Fig E3'!E11</f>
        <v>0.76</v>
      </c>
      <c r="E49" s="12">
        <f t="shared" si="35"/>
        <v>369175</v>
      </c>
      <c r="F49" s="12">
        <f>+'ICER Fig E3'!B11</f>
        <v>352574</v>
      </c>
      <c r="G49" s="12">
        <f>+'ICER Fig E3'!C11</f>
        <v>386531</v>
      </c>
      <c r="H49" s="11">
        <v>0.72</v>
      </c>
      <c r="I49" s="16">
        <v>0.6</v>
      </c>
      <c r="J49" s="12">
        <f>+BJ46</f>
        <v>367152.68018018018</v>
      </c>
      <c r="K49" s="12">
        <f>+BJ47</f>
        <v>339864.84234234237</v>
      </c>
      <c r="L49" s="13">
        <f t="shared" si="36"/>
        <v>3.9915489168257844E-2</v>
      </c>
      <c r="M49" s="36" t="str">
        <f t="shared" si="37"/>
        <v>NO</v>
      </c>
      <c r="N49" s="36" t="str">
        <f t="shared" si="37"/>
        <v>NO</v>
      </c>
      <c r="P49" s="42">
        <f t="shared" si="38"/>
        <v>339864.84234234237</v>
      </c>
      <c r="Q49" s="42">
        <f t="shared" si="39"/>
        <v>367152.68018018018</v>
      </c>
      <c r="R49" s="42">
        <f t="shared" si="40"/>
        <v>369175</v>
      </c>
      <c r="S49" s="14">
        <f t="shared" si="41"/>
        <v>3.9915489168257844E-2</v>
      </c>
      <c r="T49" t="b">
        <f t="shared" si="42"/>
        <v>0</v>
      </c>
      <c r="U49" s="14" t="b">
        <f t="shared" si="43"/>
        <v>1</v>
      </c>
      <c r="V49" t="b">
        <f t="shared" si="44"/>
        <v>0</v>
      </c>
      <c r="W49" s="14" t="b">
        <f t="shared" si="45"/>
        <v>1</v>
      </c>
      <c r="X49" s="12" t="b">
        <f t="shared" si="46"/>
        <v>0</v>
      </c>
      <c r="Y49" s="12" t="b">
        <f t="shared" si="47"/>
        <v>0</v>
      </c>
      <c r="AA49" s="12" t="s">
        <v>50</v>
      </c>
      <c r="AD49" s="34" cm="1">
        <f t="array" ref="AD49:AE49">+LINEST(AD45:AD47,AC45:AC47^{1})</f>
        <v>3107651.3859275053</v>
      </c>
      <c r="AE49" s="34">
        <v>-1573949.1044776123</v>
      </c>
      <c r="AG49" s="33">
        <f>+NOT(AG48)*1</f>
        <v>1</v>
      </c>
      <c r="AK49" s="34" cm="1">
        <f t="array" ref="AK49:AL49">+LINEST(AK45:AK47,AJ45:AJ47^{1})</f>
        <v>1949584.8614072495</v>
      </c>
      <c r="AL49" s="34">
        <v>-863123.08955223905</v>
      </c>
      <c r="AN49" s="33">
        <f>+NOT(AN48)*1</f>
        <v>1</v>
      </c>
      <c r="AR49" s="34" cm="1">
        <f t="array" ref="AR49:AS49">+LINEST(AR45:AR47,AQ45:AQ47^{1})</f>
        <v>840220.00000000035</v>
      </c>
      <c r="AS49" s="34">
        <v>-273681.06666666694</v>
      </c>
      <c r="AU49" s="33">
        <f>+NOT(AU48)*1</f>
        <v>0</v>
      </c>
      <c r="AY49" s="34" cm="1">
        <f t="array" ref="AY49:AZ49">+LINEST(AY45:AY47,AX45:AX47^{1})</f>
        <v>488350.00000000029</v>
      </c>
      <c r="AZ49" s="34">
        <v>23901.499999999825</v>
      </c>
      <c r="BB49" s="33">
        <f>+NOT(BB48)*1</f>
        <v>0</v>
      </c>
      <c r="BF49" s="34" cm="1">
        <f t="array" ref="BF49:BG49">+LINEST(BF45:BF47,BE45:BE47^{1})</f>
        <v>227398.64864864867</v>
      </c>
      <c r="BG49" s="34">
        <v>203425.65315315314</v>
      </c>
      <c r="BI49" s="33">
        <f>+NOT(BI48)*1</f>
        <v>1</v>
      </c>
      <c r="BM49" s="34" cm="1">
        <f t="array" ref="BM49:BN49">+LINEST(BM45:BM47,BL45:BL47^{1})</f>
        <v>54870.000000000029</v>
      </c>
      <c r="BN49" s="34">
        <v>330187.6333333333</v>
      </c>
      <c r="BP49" s="33">
        <f>+NOT(BP48)*1</f>
        <v>0</v>
      </c>
    </row>
    <row r="50" spans="1:68" x14ac:dyDescent="0.25">
      <c r="A50" s="7" t="s">
        <v>51</v>
      </c>
      <c r="B50" s="11">
        <f>+'ICER Table 5pt3'!B16</f>
        <v>0.71</v>
      </c>
      <c r="C50" s="11">
        <f>+'ICER Fig E3'!D15</f>
        <v>0.66</v>
      </c>
      <c r="D50" s="11">
        <f>+'ICER Fig E3'!E15</f>
        <v>0.76</v>
      </c>
      <c r="E50" s="12">
        <f t="shared" si="35"/>
        <v>369175</v>
      </c>
      <c r="F50" s="12">
        <f>+'ICER Fig E3'!B15</f>
        <v>366387</v>
      </c>
      <c r="G50" s="12">
        <f>+'ICER Fig E3'!C15</f>
        <v>371874</v>
      </c>
      <c r="H50" s="16">
        <v>0.72</v>
      </c>
      <c r="I50" s="16">
        <v>0.72</v>
      </c>
      <c r="J50" s="12">
        <f>+BQ46</f>
        <v>369721.92</v>
      </c>
      <c r="K50" s="12">
        <f>+BQ47</f>
        <v>369721.92</v>
      </c>
      <c r="L50" s="13">
        <f t="shared" ref="L50" si="48">+S50</f>
        <v>7.3963696823816088E-4</v>
      </c>
      <c r="M50" s="36" t="str">
        <f t="shared" si="37"/>
        <v>NO</v>
      </c>
      <c r="N50" s="36" t="str">
        <f t="shared" si="37"/>
        <v>NO</v>
      </c>
      <c r="P50" s="42">
        <f t="shared" si="38"/>
        <v>369175</v>
      </c>
      <c r="Q50" s="42">
        <f t="shared" si="39"/>
        <v>369721.92</v>
      </c>
      <c r="R50" s="42">
        <f t="shared" si="40"/>
        <v>369721.92</v>
      </c>
      <c r="S50" s="14">
        <f t="shared" ref="S50" si="49">+AVERAGE((Q50-P50)/Q50,(R50-Q50)/Q50)</f>
        <v>7.3963696823816088E-4</v>
      </c>
      <c r="T50" t="b">
        <f t="shared" si="42"/>
        <v>0</v>
      </c>
      <c r="U50" s="14" t="b">
        <f t="shared" si="43"/>
        <v>1</v>
      </c>
      <c r="V50" t="b">
        <f t="shared" si="44"/>
        <v>0</v>
      </c>
      <c r="W50" s="14" t="b">
        <f t="shared" si="45"/>
        <v>1</v>
      </c>
      <c r="X50" s="12" t="b">
        <f t="shared" si="46"/>
        <v>0</v>
      </c>
      <c r="Y50" s="12" t="b">
        <f t="shared" si="47"/>
        <v>0</v>
      </c>
      <c r="AA50" s="12" t="s">
        <v>52</v>
      </c>
      <c r="AC50" s="34">
        <f>+SUMPRODUCT(AC48:AC49,AG48:AG49)</f>
        <v>0</v>
      </c>
      <c r="AD50" s="34">
        <f>+SUMPRODUCT(AD48:AD49,AG48:AG49)</f>
        <v>3107651.3859275053</v>
      </c>
      <c r="AE50" s="34">
        <f>+SUMPRODUCT(AE48:AE49,AG48:AG49)</f>
        <v>-1573949.1044776123</v>
      </c>
      <c r="AJ50" s="34">
        <f>+SUMPRODUCT(AJ48:AJ49,AN48:AN49)</f>
        <v>0</v>
      </c>
      <c r="AK50" s="34">
        <f>+SUMPRODUCT(AK48:AK49,AN48:AN49)</f>
        <v>1949584.8614072495</v>
      </c>
      <c r="AL50" s="34">
        <f>+SUMPRODUCT(AL48:AL49,AN48:AN49)</f>
        <v>-863123.08955223905</v>
      </c>
      <c r="AQ50" s="34">
        <f>+SUMPRODUCT(AQ48:AQ49,AU48:AU49)</f>
        <v>2467999.9999999818</v>
      </c>
      <c r="AR50" s="34">
        <f>+SUMPRODUCT(AR48:AR49,AU48:AU49)</f>
        <v>-2960499.9999999711</v>
      </c>
      <c r="AS50" s="34">
        <f>+SUMPRODUCT(AS48:AS49,AU48:AU49)</f>
        <v>1185482.7999999889</v>
      </c>
      <c r="AX50" s="34">
        <f>+SUMPRODUCT(AX48:AX49,BB48:BB49)</f>
        <v>873000.0000000156</v>
      </c>
      <c r="AY50" s="34">
        <f>+SUMPRODUCT(AY48:AY49,BB48:BB49)</f>
        <v>-751310.000000022</v>
      </c>
      <c r="AZ50" s="34">
        <f>+SUMPRODUCT(AZ48:AZ49,BB48:BB49)</f>
        <v>462525.80000000767</v>
      </c>
      <c r="BE50" s="34">
        <f>+SUMPRODUCT(BE48:BE49,BI48:BI49)</f>
        <v>0</v>
      </c>
      <c r="BF50" s="34">
        <f>+SUMPRODUCT(BF48:BF49,BI48:BI49)</f>
        <v>227398.64864864867</v>
      </c>
      <c r="BG50" s="34">
        <f>+SUMPRODUCT(BG48:BG49,BI48:BI49)</f>
        <v>203425.65315315314</v>
      </c>
      <c r="BL50" s="34">
        <f>+SUMPRODUCT(BL48:BL49,BP48:BP49)</f>
        <v>-17800.000000001823</v>
      </c>
      <c r="BM50" s="34">
        <f>+SUMPRODUCT(BM48:BM49,BP48:BP49)</f>
        <v>80146.00000000259</v>
      </c>
      <c r="BN50" s="34">
        <f>+SUMPRODUCT(BN48:BN49,BP48:BP49)</f>
        <v>321244.31999999908</v>
      </c>
    </row>
    <row r="51" spans="1:68" x14ac:dyDescent="0.25">
      <c r="AA51" s="12"/>
    </row>
    <row r="52" spans="1:68" x14ac:dyDescent="0.25">
      <c r="E52" s="1"/>
      <c r="F52" s="1"/>
      <c r="G52" s="1"/>
      <c r="X52" s="1">
        <v>1000</v>
      </c>
      <c r="Y52" s="1">
        <v>1000</v>
      </c>
      <c r="AA52" s="12"/>
    </row>
    <row r="53" spans="1:68" x14ac:dyDescent="0.25">
      <c r="A53" t="s">
        <v>53</v>
      </c>
      <c r="B53" s="45">
        <v>100000</v>
      </c>
      <c r="AA53" s="12"/>
    </row>
    <row r="54" spans="1:68" x14ac:dyDescent="0.25">
      <c r="A54" t="s">
        <v>54</v>
      </c>
      <c r="B54" s="45">
        <v>150000</v>
      </c>
      <c r="AA54" s="12"/>
    </row>
    <row r="55" spans="1:68" x14ac:dyDescent="0.25">
      <c r="AA55" s="12"/>
    </row>
    <row r="56" spans="1:68" x14ac:dyDescent="0.25">
      <c r="A56" t="s">
        <v>105</v>
      </c>
      <c r="B56">
        <v>1000</v>
      </c>
      <c r="AA56" s="12"/>
    </row>
    <row r="57" spans="1:68" x14ac:dyDescent="0.25">
      <c r="A57" t="s">
        <v>106</v>
      </c>
      <c r="B57">
        <v>0</v>
      </c>
      <c r="AA57" s="12"/>
    </row>
    <row r="58" spans="1:68" x14ac:dyDescent="0.25">
      <c r="AA58" s="12"/>
    </row>
    <row r="59" spans="1:68" x14ac:dyDescent="0.25">
      <c r="B59" s="17"/>
      <c r="C59" s="17"/>
      <c r="E59" s="17"/>
      <c r="F59" s="17"/>
      <c r="AA59" s="12"/>
    </row>
    <row r="60" spans="1:68" x14ac:dyDescent="0.25">
      <c r="B60" s="18"/>
      <c r="C60" s="18"/>
      <c r="AA60" s="12"/>
    </row>
    <row r="61" spans="1:68" x14ac:dyDescent="0.25">
      <c r="AA61" s="12"/>
    </row>
    <row r="62" spans="1:68" x14ac:dyDescent="0.25">
      <c r="AA62" s="12"/>
    </row>
    <row r="63" spans="1:68" x14ac:dyDescent="0.25">
      <c r="AA63" s="12"/>
    </row>
    <row r="64" spans="1:68" x14ac:dyDescent="0.25">
      <c r="B64" s="17"/>
      <c r="C64" s="17"/>
      <c r="E64" s="17"/>
      <c r="F64" s="17"/>
      <c r="AA64" s="12"/>
    </row>
    <row r="68" spans="2:7" x14ac:dyDescent="0.25">
      <c r="B68" s="17"/>
      <c r="C68" s="17"/>
      <c r="F68" s="17"/>
      <c r="G68" s="17"/>
    </row>
    <row r="90" spans="1:9" x14ac:dyDescent="0.25">
      <c r="A90" s="3"/>
    </row>
    <row r="91" spans="1:9" x14ac:dyDescent="0.25">
      <c r="B91" s="17"/>
      <c r="C91" s="17"/>
      <c r="D91" s="2"/>
      <c r="E91" s="2"/>
      <c r="F91" s="17"/>
      <c r="G91" s="17"/>
      <c r="H91" s="14"/>
      <c r="I91" s="14"/>
    </row>
    <row r="94" spans="1:9" x14ac:dyDescent="0.25">
      <c r="A94" s="3"/>
    </row>
    <row r="95" spans="1:9" x14ac:dyDescent="0.25">
      <c r="B95" s="17"/>
      <c r="C95" s="17"/>
      <c r="D95" s="2"/>
      <c r="E95" s="2"/>
      <c r="F95" s="17"/>
      <c r="G95" s="17"/>
      <c r="H95" s="14"/>
      <c r="I95" s="14"/>
    </row>
  </sheetData>
  <mergeCells count="33">
    <mergeCell ref="B1:D1"/>
    <mergeCell ref="E1:G1"/>
    <mergeCell ref="H1:I1"/>
    <mergeCell ref="J1:K1"/>
    <mergeCell ref="L1:N1"/>
    <mergeCell ref="BS31:BX31"/>
    <mergeCell ref="BZ31:CE31"/>
    <mergeCell ref="AC44:AH44"/>
    <mergeCell ref="AJ44:AO44"/>
    <mergeCell ref="AX44:BC44"/>
    <mergeCell ref="AQ44:AV44"/>
    <mergeCell ref="BE44:BJ44"/>
    <mergeCell ref="BL44:BQ44"/>
    <mergeCell ref="BL20:BQ20"/>
    <mergeCell ref="AC31:AH31"/>
    <mergeCell ref="AJ31:AO31"/>
    <mergeCell ref="AQ31:AV31"/>
    <mergeCell ref="AX31:BC31"/>
    <mergeCell ref="BE31:BJ31"/>
    <mergeCell ref="BL31:BQ31"/>
    <mergeCell ref="AC20:AH20"/>
    <mergeCell ref="AJ20:AO20"/>
    <mergeCell ref="AQ20:AV20"/>
    <mergeCell ref="AX20:BC20"/>
    <mergeCell ref="BE20:BJ20"/>
    <mergeCell ref="AC2:AH2"/>
    <mergeCell ref="AJ2:AO2"/>
    <mergeCell ref="AQ2:AV2"/>
    <mergeCell ref="AX2:BC2"/>
    <mergeCell ref="AC11:AH11"/>
    <mergeCell ref="AJ11:AO11"/>
    <mergeCell ref="AQ11:AV11"/>
    <mergeCell ref="AX11:BC11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714A-8223-4590-9249-F987912DE990}">
  <sheetPr>
    <tabColor rgb="FFFFFF00"/>
  </sheetPr>
  <dimension ref="A1:CE95"/>
  <sheetViews>
    <sheetView topLeftCell="A16" workbookViewId="0">
      <selection activeCell="F40" sqref="F40"/>
    </sheetView>
  </sheetViews>
  <sheetFormatPr defaultRowHeight="15" x14ac:dyDescent="0.25"/>
  <cols>
    <col min="1" max="1" width="34.42578125" customWidth="1"/>
    <col min="2" max="2" width="8.140625" customWidth="1"/>
    <col min="3" max="3" width="6.140625" bestFit="1" customWidth="1"/>
    <col min="4" max="4" width="8.28515625" customWidth="1"/>
    <col min="5" max="5" width="9.28515625" bestFit="1" customWidth="1"/>
    <col min="6" max="6" width="8.85546875" customWidth="1"/>
    <col min="7" max="7" width="8.5703125" customWidth="1"/>
    <col min="8" max="8" width="8.140625" customWidth="1"/>
    <col min="9" max="9" width="8.28515625" customWidth="1"/>
    <col min="10" max="10" width="8.85546875" customWidth="1"/>
    <col min="11" max="11" width="9.42578125" customWidth="1"/>
    <col min="12" max="14" width="8.140625" customWidth="1"/>
    <col min="15" max="15" width="3.140625" customWidth="1"/>
    <col min="16" max="18" width="8.7109375" customWidth="1"/>
    <col min="19" max="23" width="10.7109375" customWidth="1"/>
    <col min="24" max="24" width="11.42578125" customWidth="1"/>
    <col min="25" max="25" width="9.7109375" customWidth="1"/>
    <col min="26" max="26" width="4" customWidth="1"/>
    <col min="27" max="27" width="50.28515625" hidden="1" customWidth="1"/>
    <col min="28" max="28" width="3.42578125" hidden="1" customWidth="1"/>
    <col min="30" max="30" width="10" bestFit="1" customWidth="1"/>
    <col min="31" max="32" width="10" customWidth="1"/>
    <col min="35" max="35" width="2.7109375" customWidth="1"/>
    <col min="37" max="37" width="10" bestFit="1" customWidth="1"/>
    <col min="38" max="39" width="10" customWidth="1"/>
    <col min="42" max="42" width="3.85546875" customWidth="1"/>
    <col min="44" max="44" width="10" bestFit="1" customWidth="1"/>
    <col min="45" max="46" width="10" customWidth="1"/>
    <col min="49" max="49" width="3" customWidth="1"/>
    <col min="51" max="51" width="10" bestFit="1" customWidth="1"/>
    <col min="52" max="53" width="10" customWidth="1"/>
    <col min="56" max="56" width="3.140625" customWidth="1"/>
    <col min="57" max="57" width="8.7109375" customWidth="1"/>
    <col min="58" max="58" width="10" bestFit="1" customWidth="1"/>
    <col min="63" max="63" width="3.42578125" customWidth="1"/>
    <col min="64" max="64" width="9.140625" customWidth="1"/>
    <col min="65" max="65" width="10" bestFit="1" customWidth="1"/>
    <col min="66" max="66" width="9.5703125" customWidth="1"/>
    <col min="70" max="70" width="4" customWidth="1"/>
    <col min="77" max="77" width="3.42578125" customWidth="1"/>
  </cols>
  <sheetData>
    <row r="1" spans="1:66" ht="39.75" customHeight="1" x14ac:dyDescent="0.25">
      <c r="A1" s="3"/>
      <c r="B1" s="95" t="s">
        <v>226</v>
      </c>
      <c r="C1" s="95"/>
      <c r="D1" s="95"/>
      <c r="E1" s="95" t="s">
        <v>228</v>
      </c>
      <c r="F1" s="95"/>
      <c r="G1" s="95"/>
      <c r="H1" s="95" t="s">
        <v>227</v>
      </c>
      <c r="I1" s="95"/>
      <c r="J1" s="95" t="s">
        <v>156</v>
      </c>
      <c r="K1" s="95"/>
      <c r="L1" s="95" t="s">
        <v>157</v>
      </c>
      <c r="M1" s="95"/>
      <c r="N1" s="95"/>
      <c r="O1" s="3"/>
      <c r="X1" s="6" t="s">
        <v>8</v>
      </c>
      <c r="Y1" s="6" t="s">
        <v>9</v>
      </c>
    </row>
    <row r="2" spans="1:66" ht="36" customHeight="1" x14ac:dyDescent="0.25">
      <c r="A2" s="7" t="s">
        <v>133</v>
      </c>
      <c r="B2" s="8" t="s">
        <v>1</v>
      </c>
      <c r="C2" s="8" t="s">
        <v>3</v>
      </c>
      <c r="D2" s="8" t="s">
        <v>4</v>
      </c>
      <c r="E2" s="8" t="s">
        <v>1</v>
      </c>
      <c r="F2" s="8" t="s">
        <v>152</v>
      </c>
      <c r="G2" s="8" t="s">
        <v>153</v>
      </c>
      <c r="H2" s="8" t="s">
        <v>154</v>
      </c>
      <c r="I2" s="8" t="s">
        <v>155</v>
      </c>
      <c r="J2" s="8" t="s">
        <v>154</v>
      </c>
      <c r="K2" s="8" t="s">
        <v>155</v>
      </c>
      <c r="L2" s="8" t="s">
        <v>10</v>
      </c>
      <c r="M2" s="8" t="s">
        <v>11</v>
      </c>
      <c r="N2" s="8" t="s">
        <v>12</v>
      </c>
      <c r="P2" s="36" t="s">
        <v>5</v>
      </c>
      <c r="Q2" s="36" t="s">
        <v>6</v>
      </c>
      <c r="R2" s="36" t="s">
        <v>7</v>
      </c>
      <c r="S2" s="9" t="s">
        <v>10</v>
      </c>
      <c r="T2" s="9" t="s">
        <v>13</v>
      </c>
      <c r="U2" s="9" t="s">
        <v>14</v>
      </c>
      <c r="V2" s="9" t="s">
        <v>15</v>
      </c>
      <c r="W2" s="9" t="s">
        <v>16</v>
      </c>
      <c r="X2" s="9" t="s">
        <v>17</v>
      </c>
      <c r="Y2" s="9" t="s">
        <v>18</v>
      </c>
      <c r="AC2" s="93" t="str">
        <f>+A4</f>
        <v>Duration of Treatment (Median Months) PLD+C</v>
      </c>
      <c r="AD2" s="93"/>
      <c r="AE2" s="93"/>
      <c r="AF2" s="93"/>
      <c r="AG2" s="93"/>
      <c r="AH2" s="93"/>
      <c r="AJ2" s="93">
        <f>+A5</f>
        <v>0</v>
      </c>
      <c r="AK2" s="93"/>
      <c r="AL2" s="93"/>
      <c r="AM2" s="93"/>
      <c r="AN2" s="93"/>
      <c r="AO2" s="93"/>
      <c r="AQ2" s="93">
        <f>+A6</f>
        <v>0</v>
      </c>
      <c r="AR2" s="93"/>
      <c r="AS2" s="93"/>
      <c r="AT2" s="93"/>
      <c r="AU2" s="93"/>
      <c r="AV2" s="93"/>
      <c r="AX2" s="93">
        <f>+A7</f>
        <v>0</v>
      </c>
      <c r="AY2" s="93"/>
      <c r="AZ2" s="93"/>
      <c r="BA2" s="93"/>
      <c r="BB2" s="93"/>
      <c r="BC2" s="93"/>
    </row>
    <row r="3" spans="1:66" x14ac:dyDescent="0.25">
      <c r="A3" s="10" t="s">
        <v>222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P3" s="33"/>
      <c r="Q3" s="33"/>
      <c r="R3" s="33"/>
      <c r="BN3" s="2"/>
    </row>
    <row r="4" spans="1:66" x14ac:dyDescent="0.25">
      <c r="A4" s="7" t="s">
        <v>21</v>
      </c>
      <c r="B4" s="11">
        <f>+C4+((E4-F4)/(G4-F4))*(D4-C4)</f>
        <v>5.3065921030333847</v>
      </c>
      <c r="C4" s="11">
        <f>+'ICER Fig 5pt2'!D10</f>
        <v>2.1</v>
      </c>
      <c r="D4" s="11">
        <f>+'ICER Fig 5pt2'!E10</f>
        <v>10.76</v>
      </c>
      <c r="E4" s="12">
        <f>CE_BC_olaparib_BRCA</f>
        <v>146210</v>
      </c>
      <c r="F4" s="12">
        <f>+'ICER Fig 5pt2'!B10</f>
        <v>139655</v>
      </c>
      <c r="G4" s="12">
        <f>+'ICER Fig 5pt2'!C10</f>
        <v>157358</v>
      </c>
      <c r="H4" s="11">
        <v>5.3</v>
      </c>
      <c r="I4" s="11">
        <v>8.1999999999999993</v>
      </c>
      <c r="J4" s="12">
        <f>+AH5</f>
        <v>146196.52424942263</v>
      </c>
      <c r="K4" s="12">
        <f>+AH6</f>
        <v>152124.78060046191</v>
      </c>
      <c r="L4" s="13">
        <f>+S4</f>
        <v>2.0273087856642089E-2</v>
      </c>
      <c r="M4" s="36" t="str">
        <f t="shared" ref="M4:N4" si="0">+IF(X4,"YES","NO")</f>
        <v>NO</v>
      </c>
      <c r="N4" s="36" t="str">
        <f t="shared" si="0"/>
        <v>YES</v>
      </c>
      <c r="P4" s="42">
        <f>+MIN(E4,J4,K4)</f>
        <v>146196.52424942263</v>
      </c>
      <c r="Q4" s="42">
        <f>+MEDIAN(E4,J4,K4)</f>
        <v>146210</v>
      </c>
      <c r="R4" s="42">
        <f>+MAX(E4,J4,K4)</f>
        <v>152124.78060046191</v>
      </c>
      <c r="S4" s="14">
        <f>+AVERAGE((Q4-P4)/Q4,(R4-Q4)/Q4)</f>
        <v>2.0273087856642089E-2</v>
      </c>
      <c r="T4" t="b">
        <f>+AND(E4&lt;=Benchmark1,J4&lt;=Benchmark1,K4&lt;=Benchmark1)</f>
        <v>0</v>
      </c>
      <c r="U4" s="14" t="b">
        <f>+AND(E4&gt;Benchmark1,J4&gt;Benchmark1,K4&gt;Benchmark1)</f>
        <v>1</v>
      </c>
      <c r="V4" t="b">
        <f>+AND(E4&lt;=Benchmark2,J4&lt;=Benchmark2,K4&lt;=Benchmark2)</f>
        <v>0</v>
      </c>
      <c r="W4" s="14" t="b">
        <f>+AND(E4&gt;Benchmark2,J4&gt;Benchmark2,K4&gt;Benchmark2)</f>
        <v>0</v>
      </c>
      <c r="X4" s="12" t="b">
        <f>+AND(NOT(T4),NOT(U4))</f>
        <v>0</v>
      </c>
      <c r="Y4" s="12" t="b">
        <f>+AND(NOT(V4),NOT(W4))</f>
        <v>1</v>
      </c>
      <c r="AA4" s="12" t="s">
        <v>158</v>
      </c>
      <c r="AC4" s="31">
        <f>+B4</f>
        <v>5.3065921030333847</v>
      </c>
      <c r="AD4" s="32">
        <f>+E4</f>
        <v>146210</v>
      </c>
      <c r="AE4" s="32"/>
      <c r="AF4" s="32" t="s">
        <v>149</v>
      </c>
      <c r="AG4" s="11">
        <f>-AD7/(2*AC7)</f>
        <v>1.5537468738895512E+16</v>
      </c>
      <c r="AH4" s="35"/>
      <c r="AJ4" s="31">
        <f>+B5</f>
        <v>0</v>
      </c>
      <c r="AK4" s="32">
        <f>+E5</f>
        <v>0</v>
      </c>
      <c r="AL4" s="32"/>
      <c r="AM4" s="32" t="s">
        <v>149</v>
      </c>
      <c r="AN4" s="35" t="e">
        <f>-AK7/(2*AJ7)</f>
        <v>#DIV/0!</v>
      </c>
      <c r="AO4" s="35"/>
      <c r="AQ4" s="31">
        <f>+B6</f>
        <v>0</v>
      </c>
      <c r="AR4" s="32">
        <f>+E6</f>
        <v>0</v>
      </c>
      <c r="AS4" s="32"/>
      <c r="AT4" s="32" t="s">
        <v>149</v>
      </c>
      <c r="AU4" s="35" t="e">
        <f>-AR7/(2*AQ7)</f>
        <v>#DIV/0!</v>
      </c>
      <c r="AV4" s="35"/>
      <c r="AX4" s="31">
        <f>+B7</f>
        <v>0</v>
      </c>
      <c r="AY4" s="32">
        <f>+E7</f>
        <v>0</v>
      </c>
      <c r="AZ4" s="32"/>
      <c r="BA4" s="32" t="s">
        <v>149</v>
      </c>
      <c r="BB4" s="35" t="e">
        <f>-AY7/(2*AX7)</f>
        <v>#DIV/0!</v>
      </c>
      <c r="BC4" s="35"/>
      <c r="BN4" s="2"/>
    </row>
    <row r="5" spans="1:66" x14ac:dyDescent="0.25">
      <c r="A5" s="7"/>
      <c r="B5" s="11"/>
      <c r="C5" s="11"/>
      <c r="D5" s="51"/>
      <c r="E5" s="12"/>
      <c r="F5" s="12"/>
      <c r="G5" s="12"/>
      <c r="H5" s="11"/>
      <c r="I5" s="11"/>
      <c r="J5" s="12"/>
      <c r="K5" s="12"/>
      <c r="L5" s="13"/>
      <c r="M5" s="36"/>
      <c r="N5" s="36"/>
      <c r="P5" s="42"/>
      <c r="Q5" s="42"/>
      <c r="R5" s="42"/>
      <c r="S5" s="14"/>
      <c r="U5" s="14"/>
      <c r="W5" s="14"/>
      <c r="X5" s="12"/>
      <c r="Y5" s="12"/>
      <c r="AA5" s="12" t="s">
        <v>159</v>
      </c>
      <c r="AC5" s="31">
        <f>+C4</f>
        <v>2.1</v>
      </c>
      <c r="AD5" s="32">
        <f>+F4</f>
        <v>139655</v>
      </c>
      <c r="AE5" s="32"/>
      <c r="AF5" s="32" t="s">
        <v>150</v>
      </c>
      <c r="AG5" s="11">
        <f>+H4</f>
        <v>5.3</v>
      </c>
      <c r="AH5" s="32">
        <f>IF(ISNUMBER(AG5),+AC8*AG5^2+AD8*AG5+AE8,"")</f>
        <v>146196.52424942263</v>
      </c>
      <c r="AJ5" s="31">
        <f>+C5</f>
        <v>0</v>
      </c>
      <c r="AK5" s="32">
        <f>+F5</f>
        <v>0</v>
      </c>
      <c r="AL5" s="32"/>
      <c r="AM5" s="32" t="s">
        <v>150</v>
      </c>
      <c r="AN5" s="35">
        <f>+H5</f>
        <v>0</v>
      </c>
      <c r="AO5" s="32">
        <f>IF(ISNUMBER(AN5),+AJ8*AN5^2+AK8*AN5+AL8,"")</f>
        <v>0</v>
      </c>
      <c r="AQ5" s="31">
        <f>+C6</f>
        <v>0</v>
      </c>
      <c r="AR5" s="32">
        <f>+F6</f>
        <v>0</v>
      </c>
      <c r="AS5" s="32"/>
      <c r="AT5" s="32" t="s">
        <v>150</v>
      </c>
      <c r="AU5" s="35">
        <f>+H6</f>
        <v>0</v>
      </c>
      <c r="AV5" s="32" t="e">
        <f>+AQ9*AU5^2+AR9*AU5+AS9</f>
        <v>#DIV/0!</v>
      </c>
      <c r="AX5" s="31">
        <f>+C7</f>
        <v>0</v>
      </c>
      <c r="AY5" s="32">
        <f>+F7</f>
        <v>0</v>
      </c>
      <c r="AZ5" s="32"/>
      <c r="BA5" s="32" t="s">
        <v>150</v>
      </c>
      <c r="BB5" s="35">
        <f>+H7</f>
        <v>0</v>
      </c>
      <c r="BC5" s="32" t="e">
        <f>+AX9*BB5^2+AY9*BB5+AZ9</f>
        <v>#DIV/0!</v>
      </c>
      <c r="BN5" s="2"/>
    </row>
    <row r="6" spans="1:66" x14ac:dyDescent="0.25">
      <c r="A6" s="7"/>
      <c r="B6" s="11"/>
      <c r="C6" s="11"/>
      <c r="D6" s="11"/>
      <c r="E6" s="12"/>
      <c r="F6" s="12"/>
      <c r="G6" s="12"/>
      <c r="H6" s="11"/>
      <c r="I6" s="11"/>
      <c r="J6" s="12"/>
      <c r="K6" s="12"/>
      <c r="L6" s="13"/>
      <c r="M6" s="36"/>
      <c r="N6" s="36"/>
      <c r="P6" s="42"/>
      <c r="Q6" s="42"/>
      <c r="R6" s="42"/>
      <c r="S6" s="14"/>
      <c r="U6" s="14"/>
      <c r="W6" s="14"/>
      <c r="X6" s="12"/>
      <c r="Y6" s="12"/>
      <c r="AA6" s="12" t="s">
        <v>160</v>
      </c>
      <c r="AC6" s="31">
        <f>+D4</f>
        <v>10.76</v>
      </c>
      <c r="AD6" s="32">
        <f>+G4</f>
        <v>157358</v>
      </c>
      <c r="AE6" s="32"/>
      <c r="AF6" s="32" t="s">
        <v>151</v>
      </c>
      <c r="AG6" s="11">
        <f>+I4</f>
        <v>8.1999999999999993</v>
      </c>
      <c r="AH6" s="32">
        <f>IF(ISNUMBER(AG6),+AC9*AG6^2+AD9*AG6+AE9,"")</f>
        <v>152124.78060046191</v>
      </c>
      <c r="AJ6" s="31">
        <f>+D5</f>
        <v>0</v>
      </c>
      <c r="AK6" s="32">
        <f>+G5</f>
        <v>0</v>
      </c>
      <c r="AL6" s="32"/>
      <c r="AM6" s="32" t="s">
        <v>151</v>
      </c>
      <c r="AN6" s="35">
        <f>+I5</f>
        <v>0</v>
      </c>
      <c r="AO6" s="32" t="e">
        <f>IF(ISNUMBER(AN6),+AJ9*AN6^2+AK9*AN6+AL9,"")</f>
        <v>#DIV/0!</v>
      </c>
      <c r="AQ6" s="31">
        <f>+D6</f>
        <v>0</v>
      </c>
      <c r="AR6" s="32">
        <f>+G6</f>
        <v>0</v>
      </c>
      <c r="AS6" s="32"/>
      <c r="AT6" s="32" t="s">
        <v>151</v>
      </c>
      <c r="AU6" s="35">
        <f>+I6</f>
        <v>0</v>
      </c>
      <c r="AV6" s="32" t="e">
        <f>+AQ9*AU6^2+AR9*AU6+AS9</f>
        <v>#DIV/0!</v>
      </c>
      <c r="AX6" s="31">
        <f>+D7</f>
        <v>0</v>
      </c>
      <c r="AY6" s="32">
        <f>+G7</f>
        <v>0</v>
      </c>
      <c r="AZ6" s="32"/>
      <c r="BA6" s="32" t="s">
        <v>151</v>
      </c>
      <c r="BB6" s="35">
        <f>+I7</f>
        <v>0</v>
      </c>
      <c r="BC6" s="32" t="e">
        <f>+AX9*BB6^2+AY9*BB6+AZ9</f>
        <v>#DIV/0!</v>
      </c>
      <c r="BN6" s="2"/>
    </row>
    <row r="7" spans="1:66" x14ac:dyDescent="0.25">
      <c r="A7" s="7"/>
      <c r="B7" s="11"/>
      <c r="C7" s="11"/>
      <c r="D7" s="11"/>
      <c r="E7" s="12"/>
      <c r="F7" s="12"/>
      <c r="G7" s="12"/>
      <c r="H7" s="11"/>
      <c r="I7" s="11"/>
      <c r="J7" s="12"/>
      <c r="K7" s="12"/>
      <c r="L7" s="13"/>
      <c r="M7" s="36"/>
      <c r="N7" s="36"/>
      <c r="P7" s="42"/>
      <c r="Q7" s="42"/>
      <c r="R7" s="42"/>
      <c r="S7" s="14"/>
      <c r="U7" s="14"/>
      <c r="W7" s="14"/>
      <c r="X7" s="12"/>
      <c r="Y7" s="12"/>
      <c r="AA7" s="12" t="s">
        <v>161</v>
      </c>
      <c r="AC7" s="34" cm="1">
        <f t="array" ref="AC7:AE7">+LINEST(AD4:AD6,AC4:AC6^{1,2})</f>
        <v>-6.5783763182325441E-14</v>
      </c>
      <c r="AD7" s="34">
        <v>2044.2263279445742</v>
      </c>
      <c r="AE7" s="34">
        <v>135362.1247113164</v>
      </c>
      <c r="AG7" s="33">
        <f>+OR(AG4=MIN(AG4:AG6,AC4:AC6),AG4=MAX(AG4:AG6,AC4:AC6))*1</f>
        <v>1</v>
      </c>
      <c r="AI7" s="5"/>
      <c r="AJ7" s="34" cm="1">
        <f t="array" ref="AJ7:AL7">+LINEST(AK4:AK6,AJ4:AJ6^{1,2})</f>
        <v>0</v>
      </c>
      <c r="AK7" s="34">
        <v>0</v>
      </c>
      <c r="AL7" s="34">
        <v>0</v>
      </c>
      <c r="AM7" s="34"/>
      <c r="AN7" s="33" t="e">
        <f>+OR(AN4=MIN(AN4:AN6,AJ4:AJ6),AN4=MAX(AN4:AN6,AJ4:AJ6))*1</f>
        <v>#DIV/0!</v>
      </c>
      <c r="AQ7" s="34" cm="1">
        <f t="array" ref="AQ7:AS7">+LINEST(AR4:AR6,AQ4:AQ6^{1,2})</f>
        <v>0</v>
      </c>
      <c r="AR7" s="34">
        <v>0</v>
      </c>
      <c r="AS7" s="34">
        <v>0</v>
      </c>
      <c r="AT7" s="34"/>
      <c r="AU7" s="33" t="e">
        <f>+OR(AU4=MIN(AU4:AU6,AQ4:AQ6),AU4=MAX(AU4:AU6,AQ4:AQ6))*1</f>
        <v>#DIV/0!</v>
      </c>
      <c r="AX7" s="34" cm="1">
        <f t="array" ref="AX7:AZ7">+LINEST(AY4:AY6,AX4:AX6^{1,2})</f>
        <v>0</v>
      </c>
      <c r="AY7" s="34">
        <v>0</v>
      </c>
      <c r="AZ7" s="34">
        <v>0</v>
      </c>
      <c r="BA7" s="34"/>
      <c r="BB7" s="33" t="e">
        <f>+OR(BB4=MIN(BB4:BB6,AX4:AX6),BB4=MAX(BB4:BB6,AX4:AX6))*1</f>
        <v>#DIV/0!</v>
      </c>
      <c r="BN7" s="2"/>
    </row>
    <row r="8" spans="1:66" x14ac:dyDescent="0.25">
      <c r="A8" s="7"/>
      <c r="B8" s="11"/>
      <c r="C8" s="11"/>
      <c r="D8" s="15"/>
      <c r="E8" s="7"/>
      <c r="F8" s="7"/>
      <c r="G8" s="7"/>
      <c r="H8" s="11"/>
      <c r="I8" s="11"/>
      <c r="J8" s="7"/>
      <c r="K8" s="7"/>
      <c r="L8" s="7"/>
      <c r="P8" s="33"/>
      <c r="Q8" s="33"/>
      <c r="R8" s="33"/>
      <c r="X8" s="7"/>
      <c r="Y8" s="7"/>
      <c r="AA8" s="12"/>
      <c r="AD8" s="34" cm="1">
        <f t="array" ref="AD8:AE8">+LINEST(AD4:AD6,AC4:AC6^{1})</f>
        <v>2044.2263279445724</v>
      </c>
      <c r="AE8" s="34">
        <v>135362.1247113164</v>
      </c>
      <c r="AG8" s="33">
        <f>+NOT(AG7)*1</f>
        <v>0</v>
      </c>
      <c r="AK8" s="34" cm="1">
        <f t="array" ref="AK8:AL8">+LINEST(AK4:AK6,AJ4:AJ6^{1})</f>
        <v>0</v>
      </c>
      <c r="AL8" s="34">
        <v>0</v>
      </c>
      <c r="AM8" s="34"/>
      <c r="AN8" s="33" t="e">
        <f>+NOT(AN7)*1</f>
        <v>#DIV/0!</v>
      </c>
      <c r="AR8" s="34" cm="1">
        <f t="array" ref="AR8:AS8">+LINEST(AR4:AR6,AQ4:AQ6^{1})</f>
        <v>0</v>
      </c>
      <c r="AS8" s="34">
        <v>0</v>
      </c>
      <c r="AT8" s="34"/>
      <c r="AU8" s="33" t="e">
        <f>+NOT(AU7)*1</f>
        <v>#DIV/0!</v>
      </c>
      <c r="AY8" s="34" cm="1">
        <f t="array" ref="AY8:AZ8">+LINEST(AY4:AY6,AX4:AX6^{1})</f>
        <v>0</v>
      </c>
      <c r="AZ8" s="34">
        <v>0</v>
      </c>
      <c r="BA8" s="34"/>
      <c r="BB8" s="33" t="e">
        <f>+NOT(BB7)*1</f>
        <v>#DIV/0!</v>
      </c>
      <c r="BN8" s="2"/>
    </row>
    <row r="9" spans="1:66" x14ac:dyDescent="0.25">
      <c r="A9" s="7"/>
      <c r="B9" s="11"/>
      <c r="C9" s="11"/>
      <c r="D9" s="15"/>
      <c r="E9" s="7"/>
      <c r="F9" s="7"/>
      <c r="G9" s="7"/>
      <c r="H9" s="11"/>
      <c r="I9" s="11"/>
      <c r="J9" s="7"/>
      <c r="K9" s="7"/>
      <c r="L9" s="7"/>
      <c r="P9" s="33"/>
      <c r="Q9" s="33"/>
      <c r="R9" s="33"/>
      <c r="X9" s="7"/>
      <c r="Y9" s="7"/>
      <c r="AA9" s="12"/>
      <c r="AC9" s="34">
        <f>+SUMPRODUCT(AC7:AC8,AG7:AG8)</f>
        <v>-6.5783763182325441E-14</v>
      </c>
      <c r="AD9" s="34">
        <f>+SUMPRODUCT(AD7:AD8,AG7:AG8)</f>
        <v>2044.2263279445742</v>
      </c>
      <c r="AE9" s="34">
        <f>+SUMPRODUCT(AE7:AE8,AG7:AG8)</f>
        <v>135362.1247113164</v>
      </c>
      <c r="AJ9" s="34" t="e">
        <f>+SUMPRODUCT(AJ7:AJ8,AN7:AN8)</f>
        <v>#DIV/0!</v>
      </c>
      <c r="AK9" s="34" t="e">
        <f>+SUMPRODUCT(AK7:AK8,AN7:AN8)</f>
        <v>#DIV/0!</v>
      </c>
      <c r="AL9" s="34" t="e">
        <f>+SUMPRODUCT(AL7:AL8,AN7:AN8)</f>
        <v>#DIV/0!</v>
      </c>
      <c r="AQ9" s="34" t="e">
        <f>+SUMPRODUCT(AQ7:AQ8,AU7:AU8)</f>
        <v>#DIV/0!</v>
      </c>
      <c r="AR9" s="34" t="e">
        <f>+SUMPRODUCT(AR7:AR8,AU7:AU8)</f>
        <v>#DIV/0!</v>
      </c>
      <c r="AS9" s="34" t="e">
        <f>+SUMPRODUCT(AS7:AS8,AU7:AU8)</f>
        <v>#DIV/0!</v>
      </c>
      <c r="AV9" s="4"/>
      <c r="AX9" s="34" t="e">
        <f>+SUMPRODUCT(AX7:AX8,BB7:BB8)</f>
        <v>#DIV/0!</v>
      </c>
      <c r="AY9" s="34" t="e">
        <f>+SUMPRODUCT(AY7:AY8,BB7:BB8)</f>
        <v>#DIV/0!</v>
      </c>
      <c r="AZ9" s="34" t="e">
        <f>+SUMPRODUCT(AZ7:AZ8,BB7:BB8)</f>
        <v>#DIV/0!</v>
      </c>
      <c r="BN9" s="2"/>
    </row>
    <row r="10" spans="1:66" x14ac:dyDescent="0.25">
      <c r="A10" s="7" t="s">
        <v>145</v>
      </c>
      <c r="B10" s="11"/>
      <c r="C10" s="11"/>
      <c r="D10" s="15"/>
      <c r="E10" s="7"/>
      <c r="F10" s="7"/>
      <c r="G10" s="7"/>
      <c r="H10" s="11"/>
      <c r="I10" s="11"/>
      <c r="J10" s="7"/>
      <c r="K10" s="7"/>
      <c r="L10" s="7"/>
      <c r="P10" s="33"/>
      <c r="Q10" s="33"/>
      <c r="R10" s="33"/>
      <c r="X10" s="7"/>
      <c r="Y10" s="7"/>
      <c r="AA10" s="12"/>
      <c r="AC10" s="34"/>
      <c r="AD10" s="34"/>
      <c r="AE10" s="34"/>
      <c r="AJ10" s="34"/>
      <c r="AK10" s="34"/>
      <c r="AL10" s="34"/>
      <c r="AQ10" s="34"/>
      <c r="AR10" s="34"/>
      <c r="AS10" s="34"/>
      <c r="AV10" s="4"/>
      <c r="AX10" s="34"/>
      <c r="AY10" s="34"/>
      <c r="AZ10" s="34"/>
      <c r="BN10" s="2"/>
    </row>
    <row r="11" spans="1:66" x14ac:dyDescent="0.25">
      <c r="A11" s="10" t="s">
        <v>223</v>
      </c>
      <c r="B11" s="11"/>
      <c r="C11" s="11"/>
      <c r="D11" s="15"/>
      <c r="E11" s="7"/>
      <c r="F11" s="7"/>
      <c r="G11" s="7"/>
      <c r="H11" s="11"/>
      <c r="I11" s="11"/>
      <c r="J11" s="7"/>
      <c r="K11" s="7"/>
      <c r="L11" s="7"/>
      <c r="P11" s="33"/>
      <c r="Q11" s="33"/>
      <c r="R11" s="33"/>
      <c r="X11" s="7"/>
      <c r="Y11" s="7"/>
      <c r="AA11" s="12"/>
      <c r="AC11" s="94" t="str">
        <f>+A12</f>
        <v>Duration Of Treatment (Median Months) PLD+C</v>
      </c>
      <c r="AD11" s="94"/>
      <c r="AE11" s="94"/>
      <c r="AF11" s="94"/>
      <c r="AG11" s="94"/>
      <c r="AH11" s="94"/>
      <c r="AJ11" s="94">
        <f>+A13</f>
        <v>0</v>
      </c>
      <c r="AK11" s="94"/>
      <c r="AL11" s="94"/>
      <c r="AM11" s="94"/>
      <c r="AN11" s="94"/>
      <c r="AO11" s="94"/>
      <c r="AQ11" s="94">
        <f>+A14</f>
        <v>0</v>
      </c>
      <c r="AR11" s="94"/>
      <c r="AS11" s="94"/>
      <c r="AT11" s="94"/>
      <c r="AU11" s="94"/>
      <c r="AV11" s="94"/>
      <c r="AX11" s="94">
        <f>+A15</f>
        <v>0</v>
      </c>
      <c r="AY11" s="94"/>
      <c r="AZ11" s="94"/>
      <c r="BA11" s="94"/>
      <c r="BB11" s="94"/>
      <c r="BC11" s="94"/>
      <c r="BN11" s="2"/>
    </row>
    <row r="12" spans="1:66" x14ac:dyDescent="0.25">
      <c r="A12" s="7" t="s">
        <v>26</v>
      </c>
      <c r="B12" s="11">
        <f>+C12+((E12-F12)/(G12-F12))*(D12-C12)</f>
        <v>5.4540236000858187</v>
      </c>
      <c r="C12" s="11">
        <f>+'ICER Fig E1'!D12</f>
        <v>2.41</v>
      </c>
      <c r="D12" s="11">
        <f>+'ICER Fig E1'!E12</f>
        <v>12.3</v>
      </c>
      <c r="E12" s="12">
        <f>CE_BC_rucaparib_BRCA</f>
        <v>294593</v>
      </c>
      <c r="F12" s="12">
        <f>+'ICER Fig E1'!B12</f>
        <v>287420</v>
      </c>
      <c r="G12" s="12">
        <f>+'ICER Fig E1'!C12</f>
        <v>310725</v>
      </c>
      <c r="H12" s="11">
        <v>6.9</v>
      </c>
      <c r="I12" s="11" t="s">
        <v>177</v>
      </c>
      <c r="J12" s="12">
        <f>+AH13</f>
        <v>298000.32861476234</v>
      </c>
      <c r="K12" s="12" t="str">
        <f>+AH14</f>
        <v/>
      </c>
      <c r="L12" s="13">
        <f t="shared" ref="L12" si="1">+S12</f>
        <v>5.7498598958703549E-3</v>
      </c>
      <c r="M12" s="36" t="str">
        <f t="shared" ref="M12:N12" si="2">+IF(X12,"YES","NO")</f>
        <v>NO</v>
      </c>
      <c r="N12" s="36" t="str">
        <f t="shared" si="2"/>
        <v>NO</v>
      </c>
      <c r="P12" s="42">
        <f>+MIN(E12,J12,K12)</f>
        <v>294593</v>
      </c>
      <c r="Q12" s="42">
        <f>+MEDIAN(E12,J12,K12)</f>
        <v>296296.66430738114</v>
      </c>
      <c r="R12" s="42">
        <f>+MAX(E12,J12,K12)</f>
        <v>298000.32861476234</v>
      </c>
      <c r="S12" s="14">
        <f t="shared" ref="S12" si="3">+AVERAGE((Q12-P12)/Q12,(R12-Q12)/Q12)</f>
        <v>5.7498598958703549E-3</v>
      </c>
      <c r="T12" t="b">
        <f>+AND(E12&lt;=Benchmark1,J12&lt;=Benchmark1,K12&lt;=Benchmark1)</f>
        <v>0</v>
      </c>
      <c r="U12" s="14" t="b">
        <f>+AND(E12&gt;Benchmark1,J12&gt;Benchmark1,K12&gt;Benchmark1)</f>
        <v>1</v>
      </c>
      <c r="V12" t="b">
        <f>+AND(E12&lt;=Benchmark2,J12&lt;=Benchmark2,K12&lt;=Benchmark2)</f>
        <v>0</v>
      </c>
      <c r="W12" s="14" t="b">
        <f>+AND(E12&gt;Benchmark2,J12&gt;Benchmark2,K12&gt;Benchmark2)</f>
        <v>1</v>
      </c>
      <c r="X12" s="12" t="b">
        <f>+AND(NOT(T12),NOT(U12))</f>
        <v>0</v>
      </c>
      <c r="Y12" s="12" t="b">
        <f>+AND(NOT(V12),NOT(W12))</f>
        <v>0</v>
      </c>
      <c r="AA12" s="12" t="s">
        <v>45</v>
      </c>
      <c r="AC12" s="31">
        <f>+B12</f>
        <v>5.4540236000858187</v>
      </c>
      <c r="AD12" s="32">
        <f>+E12</f>
        <v>294593</v>
      </c>
      <c r="AE12" s="32"/>
      <c r="AF12" s="32" t="s">
        <v>149</v>
      </c>
      <c r="AG12" s="35">
        <f>-AD15/(2*AC15)</f>
        <v>-3.5728366626469904E+16</v>
      </c>
      <c r="AH12" s="35"/>
      <c r="AJ12" s="31">
        <f>+B13</f>
        <v>0</v>
      </c>
      <c r="AK12" s="32">
        <f>+E13</f>
        <v>0</v>
      </c>
      <c r="AL12" s="32"/>
      <c r="AM12" s="32" t="s">
        <v>149</v>
      </c>
      <c r="AN12" s="35" t="e">
        <f>-AK15/(2*AJ15)</f>
        <v>#DIV/0!</v>
      </c>
      <c r="AO12" s="35"/>
      <c r="AQ12" s="31">
        <f>+B14</f>
        <v>0</v>
      </c>
      <c r="AR12" s="32">
        <f>+E14</f>
        <v>0</v>
      </c>
      <c r="AS12" s="32"/>
      <c r="AT12" s="32" t="s">
        <v>149</v>
      </c>
      <c r="AU12" s="35" t="e">
        <f>-AR15/(2*AQ15)</f>
        <v>#DIV/0!</v>
      </c>
      <c r="AV12" s="35"/>
      <c r="AX12" s="31">
        <f>+B15</f>
        <v>0</v>
      </c>
      <c r="AY12" s="32">
        <f>+E15</f>
        <v>0</v>
      </c>
      <c r="AZ12" s="32"/>
      <c r="BA12" s="32" t="s">
        <v>149</v>
      </c>
      <c r="BB12" s="35" t="e">
        <f>-AY15/(2*AX15)</f>
        <v>#DIV/0!</v>
      </c>
      <c r="BC12" s="35"/>
    </row>
    <row r="13" spans="1:66" x14ac:dyDescent="0.25">
      <c r="A13" s="7"/>
      <c r="B13" s="11"/>
      <c r="C13" s="11"/>
      <c r="D13" s="11"/>
      <c r="E13" s="12"/>
      <c r="F13" s="12"/>
      <c r="G13" s="12"/>
      <c r="H13" s="11"/>
      <c r="I13" s="11"/>
      <c r="J13" s="12"/>
      <c r="K13" s="12"/>
      <c r="L13" s="13"/>
      <c r="M13" s="36"/>
      <c r="N13" s="36"/>
      <c r="P13" s="42"/>
      <c r="Q13" s="42"/>
      <c r="R13" s="42"/>
      <c r="S13" s="14"/>
      <c r="U13" s="14"/>
      <c r="W13" s="14"/>
      <c r="X13" s="12"/>
      <c r="Y13" s="12"/>
      <c r="AA13" s="12" t="s">
        <v>159</v>
      </c>
      <c r="AC13" s="31">
        <f>+C12</f>
        <v>2.41</v>
      </c>
      <c r="AD13" s="32">
        <f>+F12</f>
        <v>287420</v>
      </c>
      <c r="AE13" s="32"/>
      <c r="AF13" s="32" t="s">
        <v>150</v>
      </c>
      <c r="AG13" s="11">
        <f>+H12</f>
        <v>6.9</v>
      </c>
      <c r="AH13" s="32">
        <f>IF(ISNUMBER(AG13),+AC16*AG13^2+AD16*AG13+AE16,"")</f>
        <v>298000.32861476234</v>
      </c>
      <c r="AJ13" s="31">
        <f>+C13</f>
        <v>0</v>
      </c>
      <c r="AK13" s="32">
        <f>+F13</f>
        <v>0</v>
      </c>
      <c r="AL13" s="32"/>
      <c r="AM13" s="32" t="s">
        <v>150</v>
      </c>
      <c r="AN13" s="35">
        <f>+H13</f>
        <v>0</v>
      </c>
      <c r="AO13" s="32">
        <f>IF(ISNUMBER(AN13),+AJ16*AN13^2+AK16*AN13+AL16,"")</f>
        <v>0</v>
      </c>
      <c r="AQ13" s="31">
        <f>+C14</f>
        <v>0</v>
      </c>
      <c r="AR13" s="32">
        <f>+F14</f>
        <v>0</v>
      </c>
      <c r="AS13" s="32"/>
      <c r="AT13" s="32" t="s">
        <v>150</v>
      </c>
      <c r="AU13" s="35">
        <f>+H14</f>
        <v>0</v>
      </c>
      <c r="AV13" s="32" t="e">
        <f>+AQ17*AU13^2+AR17*AU13+AS17</f>
        <v>#DIV/0!</v>
      </c>
      <c r="AX13" s="31">
        <f>+C15</f>
        <v>0</v>
      </c>
      <c r="AY13" s="32">
        <f>+F15</f>
        <v>0</v>
      </c>
      <c r="AZ13" s="32"/>
      <c r="BA13" s="32" t="s">
        <v>150</v>
      </c>
      <c r="BB13" s="35">
        <f>+H15</f>
        <v>0</v>
      </c>
      <c r="BC13" s="32" t="e">
        <f>+AX17*BB13^2+AY17*BB13+AZ17</f>
        <v>#DIV/0!</v>
      </c>
    </row>
    <row r="14" spans="1:66" x14ac:dyDescent="0.25">
      <c r="A14" s="7"/>
      <c r="B14" s="11"/>
      <c r="C14" s="11"/>
      <c r="D14" s="11"/>
      <c r="E14" s="12"/>
      <c r="F14" s="12"/>
      <c r="G14" s="12"/>
      <c r="H14" s="11"/>
      <c r="I14" s="11"/>
      <c r="J14" s="12"/>
      <c r="K14" s="12"/>
      <c r="L14" s="13"/>
      <c r="M14" s="36"/>
      <c r="N14" s="36"/>
      <c r="P14" s="42"/>
      <c r="Q14" s="42"/>
      <c r="R14" s="42"/>
      <c r="S14" s="14"/>
      <c r="U14" s="14"/>
      <c r="W14" s="14"/>
      <c r="X14" s="12"/>
      <c r="Y14" s="12"/>
      <c r="AA14" s="12" t="s">
        <v>46</v>
      </c>
      <c r="AC14" s="31">
        <f>+D12</f>
        <v>12.3</v>
      </c>
      <c r="AD14" s="32">
        <f>+G12</f>
        <v>310725</v>
      </c>
      <c r="AE14" s="32"/>
      <c r="AF14" s="32" t="s">
        <v>151</v>
      </c>
      <c r="AG14" s="11" t="str">
        <f>+I12</f>
        <v>#value</v>
      </c>
      <c r="AH14" s="32" t="str">
        <f>IF(ISNUMBER(AG14),+AC17*AG14^2+AD17*AG14+AE17,"")</f>
        <v/>
      </c>
      <c r="AJ14" s="31">
        <f>+D13</f>
        <v>0</v>
      </c>
      <c r="AK14" s="32">
        <f>+G13</f>
        <v>0</v>
      </c>
      <c r="AL14" s="32"/>
      <c r="AM14" s="32" t="s">
        <v>151</v>
      </c>
      <c r="AN14" s="53">
        <f>+I13</f>
        <v>0</v>
      </c>
      <c r="AO14" s="32" t="e">
        <f>IF(ISNUMBER(AN14),+AJ17*AN14^2+AK17*AN14+AL17,"")</f>
        <v>#DIV/0!</v>
      </c>
      <c r="AQ14" s="31">
        <f>+D14</f>
        <v>0</v>
      </c>
      <c r="AR14" s="32">
        <f>+G14</f>
        <v>0</v>
      </c>
      <c r="AS14" s="32"/>
      <c r="AT14" s="32" t="s">
        <v>151</v>
      </c>
      <c r="AU14" s="35">
        <f>+I14</f>
        <v>0</v>
      </c>
      <c r="AV14" s="32" t="e">
        <f>+AQ17*AU14^2+AR17*AU14+AS17</f>
        <v>#DIV/0!</v>
      </c>
      <c r="AX14" s="31">
        <f>+D15</f>
        <v>0</v>
      </c>
      <c r="AY14" s="32">
        <f>+G15</f>
        <v>0</v>
      </c>
      <c r="AZ14" s="32"/>
      <c r="BA14" s="32" t="s">
        <v>151</v>
      </c>
      <c r="BB14" s="35">
        <f>+I15</f>
        <v>0</v>
      </c>
      <c r="BC14" s="32" t="e">
        <f>+AX17*BB14^2+AY17*BB14+AZ17</f>
        <v>#DIV/0!</v>
      </c>
    </row>
    <row r="15" spans="1:66" x14ac:dyDescent="0.25">
      <c r="A15" s="7"/>
      <c r="B15" s="11"/>
      <c r="C15" s="11"/>
      <c r="D15" s="11"/>
      <c r="E15" s="12"/>
      <c r="F15" s="12"/>
      <c r="G15" s="12"/>
      <c r="H15" s="11"/>
      <c r="I15" s="11"/>
      <c r="J15" s="12"/>
      <c r="K15" s="12"/>
      <c r="L15" s="13"/>
      <c r="M15" s="36"/>
      <c r="N15" s="36"/>
      <c r="P15" s="42"/>
      <c r="Q15" s="42"/>
      <c r="R15" s="42"/>
      <c r="S15" s="14"/>
      <c r="U15" s="14"/>
      <c r="W15" s="14"/>
      <c r="X15" s="12"/>
      <c r="Y15" s="12"/>
      <c r="AA15" s="12" t="s">
        <v>162</v>
      </c>
      <c r="AC15" s="34" cm="1">
        <f t="array" ref="AC15:AE15">+LINEST(AD12:AD14,AC12:AC14^{1,2})</f>
        <v>3.2976887126293426E-14</v>
      </c>
      <c r="AD15" s="34">
        <v>2356.4206268958542</v>
      </c>
      <c r="AE15" s="34">
        <v>281741.02628918097</v>
      </c>
      <c r="AG15" s="33">
        <f>+OR(AG12=MIN(AG12:AG14,AC12:AC14),AG12=MAX(AG12:AG14,AC12:AC14))*1</f>
        <v>1</v>
      </c>
      <c r="AJ15" s="34" cm="1">
        <f t="array" ref="AJ15:AL15">+LINEST(AK12:AK14,AJ12:AJ14^{1,2})</f>
        <v>0</v>
      </c>
      <c r="AK15" s="34">
        <v>0</v>
      </c>
      <c r="AL15" s="34">
        <v>0</v>
      </c>
      <c r="AM15" s="34"/>
      <c r="AN15" s="33" t="e">
        <f>+OR(AN12=MIN(AN12:AN14,AJ12:AJ14),AN12=MAX(AN12:AN14,AJ12:AJ14))*1</f>
        <v>#DIV/0!</v>
      </c>
      <c r="AQ15" s="34" cm="1">
        <f t="array" ref="AQ15:AS15">+LINEST(AR12:AR14,AQ12:AQ14^{1,2})</f>
        <v>0</v>
      </c>
      <c r="AR15" s="34">
        <v>0</v>
      </c>
      <c r="AS15" s="34">
        <v>0</v>
      </c>
      <c r="AT15" s="34"/>
      <c r="AU15" s="33" t="e">
        <f>+OR(AU12=MIN(AU12:AU14,AQ12:AQ14),AU12=MAX(AU12:AU14,AQ12:AQ14))*1</f>
        <v>#DIV/0!</v>
      </c>
      <c r="AX15" s="34" cm="1">
        <f t="array" ref="AX15:AZ15">+LINEST(AY12:AY14,AX12:AX14^{1,2})</f>
        <v>0</v>
      </c>
      <c r="AY15" s="34">
        <v>0</v>
      </c>
      <c r="AZ15" s="34">
        <v>0</v>
      </c>
      <c r="BA15" s="34"/>
      <c r="BB15" s="33" t="e">
        <f>+OR(BB12=MIN(BB12:BB14,AX12:AX14),BB12=MAX(BB12:BB14,AX12:AX14))*1</f>
        <v>#DIV/0!</v>
      </c>
    </row>
    <row r="16" spans="1:66" x14ac:dyDescent="0.25">
      <c r="A16" s="7"/>
      <c r="B16" s="11"/>
      <c r="C16" s="11"/>
      <c r="D16" s="11"/>
      <c r="E16" s="12"/>
      <c r="F16" s="12"/>
      <c r="G16" s="12"/>
      <c r="H16" s="11"/>
      <c r="I16" s="11"/>
      <c r="J16" s="12"/>
      <c r="K16" s="12"/>
      <c r="L16" s="13"/>
      <c r="M16" s="36"/>
      <c r="N16" s="36"/>
      <c r="P16" s="42"/>
      <c r="Q16" s="42"/>
      <c r="R16" s="42"/>
      <c r="S16" s="14"/>
      <c r="U16" s="14"/>
      <c r="W16" s="14"/>
      <c r="X16" s="12"/>
      <c r="Y16" s="12"/>
      <c r="AA16" s="12"/>
      <c r="AD16" s="34" cm="1">
        <f t="array" ref="AD16:AE16">+LINEST(AD12:AD14,AC12:AC14^{1})</f>
        <v>2356.4206268958542</v>
      </c>
      <c r="AE16" s="34">
        <v>281741.02628918097</v>
      </c>
      <c r="AG16" s="33">
        <f>+NOT(AG15)*1</f>
        <v>0</v>
      </c>
      <c r="AK16" s="34" cm="1">
        <f t="array" ref="AK16:AL16">+LINEST(AK12:AK14,AJ12:AJ14^{1})</f>
        <v>0</v>
      </c>
      <c r="AL16" s="34">
        <v>0</v>
      </c>
      <c r="AM16" s="34"/>
      <c r="AN16" s="33" t="e">
        <f>+NOT(AN15)*1</f>
        <v>#DIV/0!</v>
      </c>
      <c r="AR16" s="34" cm="1">
        <f t="array" ref="AR16:AS16">+LINEST(AR12:AR14,AQ12:AQ14^{1})</f>
        <v>0</v>
      </c>
      <c r="AS16" s="34">
        <v>0</v>
      </c>
      <c r="AT16" s="34"/>
      <c r="AU16" s="33" t="e">
        <f>+NOT(AU15)*1</f>
        <v>#DIV/0!</v>
      </c>
      <c r="AY16" s="34" cm="1">
        <f t="array" ref="AY16:AZ16">+LINEST(AY12:AY14,AX12:AX14^{1})</f>
        <v>0</v>
      </c>
      <c r="AZ16" s="34">
        <v>0</v>
      </c>
      <c r="BA16" s="34"/>
      <c r="BB16" s="33" t="e">
        <f>+NOT(BB15)*1</f>
        <v>#DIV/0!</v>
      </c>
    </row>
    <row r="17" spans="1:83" x14ac:dyDescent="0.25">
      <c r="A17" s="7"/>
      <c r="B17" s="11"/>
      <c r="C17" s="11"/>
      <c r="D17" s="11"/>
      <c r="E17" s="12"/>
      <c r="F17" s="12"/>
      <c r="G17" s="12"/>
      <c r="H17" s="11"/>
      <c r="I17" s="11"/>
      <c r="J17" s="12"/>
      <c r="K17" s="12"/>
      <c r="L17" s="13"/>
      <c r="M17" s="36"/>
      <c r="N17" s="36"/>
      <c r="P17" s="42"/>
      <c r="Q17" s="42"/>
      <c r="R17" s="42"/>
      <c r="S17" s="14"/>
      <c r="U17" s="14"/>
      <c r="W17" s="14"/>
      <c r="X17" s="12"/>
      <c r="Y17" s="12"/>
      <c r="AA17" s="12"/>
      <c r="AC17" s="34">
        <f>+SUMPRODUCT(AC15:AC16,AG15:AG16)</f>
        <v>3.2976887126293426E-14</v>
      </c>
      <c r="AD17" s="34">
        <f>+SUMPRODUCT(AD15:AD16,AG15:AG16)</f>
        <v>2356.4206268958542</v>
      </c>
      <c r="AE17" s="34">
        <f>+SUMPRODUCT(AE15:AE16,AG15:AG16)</f>
        <v>281741.02628918097</v>
      </c>
      <c r="AJ17" s="34" t="e">
        <f>+SUMPRODUCT(AJ15:AJ16,AN15:AN16)</f>
        <v>#DIV/0!</v>
      </c>
      <c r="AK17" s="34" t="e">
        <f>+SUMPRODUCT(AK15:AK16,AN15:AN16)</f>
        <v>#DIV/0!</v>
      </c>
      <c r="AL17" s="34" t="e">
        <f>+SUMPRODUCT(AL15:AL16,AN15:AN16)</f>
        <v>#DIV/0!</v>
      </c>
      <c r="AQ17" s="34" t="e">
        <f>+SUMPRODUCT(AQ15:AQ16,AU15:AU16)</f>
        <v>#DIV/0!</v>
      </c>
      <c r="AR17" s="34" t="e">
        <f>+SUMPRODUCT(AR15:AR16,AU15:AU16)</f>
        <v>#DIV/0!</v>
      </c>
      <c r="AS17" s="34" t="e">
        <f>+SUMPRODUCT(AS15:AS16,AU15:AU16)</f>
        <v>#DIV/0!</v>
      </c>
      <c r="AV17" s="4"/>
      <c r="AX17" s="34" t="e">
        <f>+SUMPRODUCT(AX15:AX16,BB15:BB16)</f>
        <v>#DIV/0!</v>
      </c>
      <c r="AY17" s="34" t="e">
        <f>+SUMPRODUCT(AY15:AY16,BB15:BB16)</f>
        <v>#DIV/0!</v>
      </c>
      <c r="AZ17" s="34" t="e">
        <f>+SUMPRODUCT(AZ15:AZ16,BB15:BB16)</f>
        <v>#DIV/0!</v>
      </c>
    </row>
    <row r="18" spans="1:83" x14ac:dyDescent="0.25">
      <c r="A18" s="7"/>
      <c r="B18" s="11"/>
      <c r="C18" s="11"/>
      <c r="D18" s="11"/>
      <c r="E18" s="12"/>
      <c r="F18" s="12"/>
      <c r="G18" s="12"/>
      <c r="H18" s="11"/>
      <c r="I18" s="11"/>
      <c r="J18" s="12"/>
      <c r="K18" s="12"/>
      <c r="L18" s="13"/>
      <c r="M18" s="36"/>
      <c r="N18" s="36"/>
      <c r="P18" s="42"/>
      <c r="Q18" s="42"/>
      <c r="R18" s="42"/>
      <c r="S18" s="14"/>
      <c r="U18" s="14"/>
      <c r="W18" s="14"/>
      <c r="X18" s="12"/>
      <c r="Y18" s="12"/>
      <c r="AA18" s="12"/>
      <c r="AC18" s="34"/>
      <c r="AD18" s="34"/>
      <c r="AE18" s="34"/>
      <c r="AG18" s="33"/>
      <c r="AJ18" s="34"/>
      <c r="AK18" s="34"/>
      <c r="AL18" s="34"/>
      <c r="AM18" s="34"/>
      <c r="AN18" s="33"/>
      <c r="AQ18" s="34"/>
      <c r="AR18" s="34"/>
      <c r="AS18" s="34"/>
      <c r="AT18" s="34"/>
      <c r="AU18" s="33"/>
      <c r="AX18" s="34"/>
      <c r="AY18" s="34"/>
      <c r="AZ18" s="34"/>
      <c r="BA18" s="34"/>
      <c r="BB18" s="33"/>
    </row>
    <row r="19" spans="1:83" x14ac:dyDescent="0.25">
      <c r="A19" s="7" t="s">
        <v>135</v>
      </c>
      <c r="B19" s="11"/>
      <c r="C19" s="11"/>
      <c r="D19" s="15"/>
      <c r="E19" s="7"/>
      <c r="F19" s="7"/>
      <c r="G19" s="7"/>
      <c r="H19" s="11"/>
      <c r="I19" s="11"/>
      <c r="J19" s="7"/>
      <c r="K19" s="7"/>
      <c r="L19" s="7"/>
      <c r="P19" s="33"/>
      <c r="Q19" s="33"/>
      <c r="R19" s="33"/>
      <c r="X19" s="7"/>
      <c r="Y19" s="7"/>
      <c r="AA19" s="12"/>
    </row>
    <row r="20" spans="1:83" x14ac:dyDescent="0.25">
      <c r="A20" s="10" t="s">
        <v>27</v>
      </c>
      <c r="B20" s="11"/>
      <c r="C20" s="11"/>
      <c r="D20" s="15"/>
      <c r="E20" s="7"/>
      <c r="F20" s="7"/>
      <c r="G20" s="7"/>
      <c r="H20" s="11"/>
      <c r="I20" s="11"/>
      <c r="J20" s="7"/>
      <c r="K20" s="7"/>
      <c r="L20" s="7"/>
      <c r="P20" s="33"/>
      <c r="Q20" s="33"/>
      <c r="R20" s="33"/>
      <c r="X20" s="7"/>
      <c r="Y20" s="7"/>
      <c r="AA20" s="12"/>
      <c r="AC20" s="94">
        <f>+A21</f>
        <v>0</v>
      </c>
      <c r="AD20" s="94"/>
      <c r="AE20" s="94"/>
      <c r="AF20" s="94"/>
      <c r="AG20" s="94"/>
      <c r="AH20" s="94"/>
      <c r="AJ20" s="94">
        <f>+A22</f>
        <v>0</v>
      </c>
      <c r="AK20" s="94"/>
      <c r="AL20" s="94"/>
      <c r="AM20" s="94"/>
      <c r="AN20" s="94"/>
      <c r="AO20" s="94"/>
      <c r="AQ20" s="94">
        <f>+A23</f>
        <v>0</v>
      </c>
      <c r="AR20" s="94"/>
      <c r="AS20" s="94"/>
      <c r="AT20" s="94"/>
      <c r="AU20" s="94"/>
      <c r="AV20" s="94"/>
      <c r="AX20" s="94">
        <f>+A24</f>
        <v>0</v>
      </c>
      <c r="AY20" s="94"/>
      <c r="AZ20" s="94"/>
      <c r="BA20" s="94"/>
      <c r="BB20" s="94"/>
      <c r="BC20" s="94"/>
      <c r="BE20" s="94">
        <f>+A25</f>
        <v>0</v>
      </c>
      <c r="BF20" s="94"/>
      <c r="BG20" s="94"/>
      <c r="BH20" s="94"/>
      <c r="BI20" s="94"/>
      <c r="BJ20" s="94"/>
      <c r="BL20" s="94">
        <f>+A26</f>
        <v>0</v>
      </c>
      <c r="BM20" s="94"/>
      <c r="BN20" s="94"/>
      <c r="BO20" s="94"/>
      <c r="BP20" s="94"/>
      <c r="BQ20" s="94"/>
    </row>
    <row r="21" spans="1:83" x14ac:dyDescent="0.25">
      <c r="A21" s="7"/>
      <c r="B21" s="11"/>
      <c r="C21" s="11"/>
      <c r="D21" s="11"/>
      <c r="E21" s="12"/>
      <c r="F21" s="12"/>
      <c r="G21" s="12"/>
      <c r="H21" s="12"/>
      <c r="I21" s="11"/>
      <c r="J21" s="12"/>
      <c r="K21" s="12"/>
      <c r="L21" s="13"/>
      <c r="M21" s="36"/>
      <c r="N21" s="36"/>
      <c r="O21" s="2"/>
      <c r="P21" s="42"/>
      <c r="Q21" s="42"/>
      <c r="R21" s="42"/>
      <c r="S21" s="14"/>
      <c r="U21" s="14"/>
      <c r="W21" s="14"/>
      <c r="X21" s="12"/>
      <c r="Y21" s="12"/>
      <c r="AA21" s="12" t="s">
        <v>163</v>
      </c>
      <c r="AC21" s="31">
        <f>+B21</f>
        <v>0</v>
      </c>
      <c r="AD21" s="32">
        <f>+E21</f>
        <v>0</v>
      </c>
      <c r="AE21" s="32"/>
      <c r="AF21" s="32" t="s">
        <v>149</v>
      </c>
      <c r="AG21" s="32" t="e">
        <f>-AD24/(2*AC24)</f>
        <v>#DIV/0!</v>
      </c>
      <c r="AH21" s="35"/>
      <c r="AJ21" s="31">
        <f>+B22</f>
        <v>0</v>
      </c>
      <c r="AK21" s="32">
        <f>+E22</f>
        <v>0</v>
      </c>
      <c r="AL21" s="32"/>
      <c r="AM21" s="32" t="s">
        <v>149</v>
      </c>
      <c r="AN21" s="35" t="e">
        <f>-AK24/(2*AJ24)</f>
        <v>#DIV/0!</v>
      </c>
      <c r="AO21" s="35"/>
      <c r="AQ21" s="31">
        <f>+B23</f>
        <v>0</v>
      </c>
      <c r="AR21" s="32">
        <f>+E23</f>
        <v>0</v>
      </c>
      <c r="AS21" s="32"/>
      <c r="AT21" s="32" t="s">
        <v>149</v>
      </c>
      <c r="AU21" s="35" t="e">
        <f>-AR24/(2*AQ24)</f>
        <v>#DIV/0!</v>
      </c>
      <c r="AV21" s="35"/>
      <c r="AX21" s="31">
        <f>+B24</f>
        <v>0</v>
      </c>
      <c r="AY21" s="32">
        <f>+E24</f>
        <v>0</v>
      </c>
      <c r="AZ21" s="32"/>
      <c r="BA21" s="32" t="s">
        <v>149</v>
      </c>
      <c r="BB21" s="35" t="e">
        <f>-AY24/(2*AX24)</f>
        <v>#DIV/0!</v>
      </c>
      <c r="BC21" s="35"/>
      <c r="BE21" s="31">
        <f>+B25</f>
        <v>0</v>
      </c>
      <c r="BF21" s="32">
        <f>+E25</f>
        <v>0</v>
      </c>
      <c r="BH21" s="32" t="s">
        <v>149</v>
      </c>
      <c r="BI21" s="35" t="e">
        <f>-BF24/(2*BE24)</f>
        <v>#DIV/0!</v>
      </c>
      <c r="BL21" s="31">
        <f>+B26</f>
        <v>0</v>
      </c>
      <c r="BM21" s="32">
        <f>+E26</f>
        <v>0</v>
      </c>
      <c r="BO21" s="32" t="s">
        <v>149</v>
      </c>
      <c r="BP21" s="35" t="e">
        <f>-BM24/(2*BL24)</f>
        <v>#DIV/0!</v>
      </c>
    </row>
    <row r="22" spans="1:83" x14ac:dyDescent="0.25">
      <c r="A22" s="7"/>
      <c r="B22" s="11"/>
      <c r="C22" s="11"/>
      <c r="D22" s="11"/>
      <c r="E22" s="12"/>
      <c r="F22" s="12"/>
      <c r="G22" s="12"/>
      <c r="H22" s="11"/>
      <c r="I22" s="11"/>
      <c r="J22" s="12"/>
      <c r="K22" s="12"/>
      <c r="L22" s="13"/>
      <c r="M22" s="36"/>
      <c r="N22" s="36"/>
      <c r="P22" s="42"/>
      <c r="Q22" s="42"/>
      <c r="R22" s="42"/>
      <c r="S22" s="14"/>
      <c r="U22" s="14"/>
      <c r="W22" s="14"/>
      <c r="X22" s="12"/>
      <c r="Y22" s="12"/>
      <c r="AA22" s="12" t="s">
        <v>164</v>
      </c>
      <c r="AC22" s="31">
        <f>+C21</f>
        <v>0</v>
      </c>
      <c r="AD22" s="32">
        <f>+F21</f>
        <v>0</v>
      </c>
      <c r="AE22" s="32"/>
      <c r="AF22" s="32" t="s">
        <v>150</v>
      </c>
      <c r="AG22" s="32">
        <f>+H21</f>
        <v>0</v>
      </c>
      <c r="AH22" s="32">
        <f>IF(ISNUMBER(AG22),+AC25*AG22^2+AD25*AG22+AE25,"")</f>
        <v>0</v>
      </c>
      <c r="AJ22" s="31">
        <f>+C22</f>
        <v>0</v>
      </c>
      <c r="AK22" s="32">
        <f>+F22</f>
        <v>0</v>
      </c>
      <c r="AL22" s="32"/>
      <c r="AM22" s="32" t="s">
        <v>150</v>
      </c>
      <c r="AN22" s="35">
        <f>+H22</f>
        <v>0</v>
      </c>
      <c r="AO22" s="32">
        <f>IF(ISNUMBER(AN22),+AJ25*AN22^2+AK25*AN22+AL25,"")</f>
        <v>0</v>
      </c>
      <c r="AQ22" s="31">
        <f>+C23</f>
        <v>0</v>
      </c>
      <c r="AR22" s="32">
        <f>+F23</f>
        <v>0</v>
      </c>
      <c r="AS22" s="32"/>
      <c r="AT22" s="32" t="s">
        <v>150</v>
      </c>
      <c r="AU22" s="35">
        <f>+H23</f>
        <v>0</v>
      </c>
      <c r="AV22" s="32" t="e">
        <f>+AQ26*AU22^2+AR26*AU22+AS26</f>
        <v>#DIV/0!</v>
      </c>
      <c r="AX22" s="31">
        <f>+C24</f>
        <v>0</v>
      </c>
      <c r="AY22" s="32">
        <f>+F24</f>
        <v>0</v>
      </c>
      <c r="AZ22" s="32"/>
      <c r="BA22" s="32" t="s">
        <v>150</v>
      </c>
      <c r="BB22" s="35">
        <f>+H24</f>
        <v>0</v>
      </c>
      <c r="BC22" s="32" t="e">
        <f>+AX26*BB22^2+AY26*BB22+AZ26</f>
        <v>#DIV/0!</v>
      </c>
      <c r="BE22" s="31">
        <f>+C25</f>
        <v>0</v>
      </c>
      <c r="BF22" s="32">
        <f>+F25</f>
        <v>0</v>
      </c>
      <c r="BH22" s="32" t="s">
        <v>150</v>
      </c>
      <c r="BI22" s="35">
        <f>+H25</f>
        <v>0</v>
      </c>
      <c r="BJ22" s="32" t="e">
        <f>+BE26*BI22^2+BF26*BI22+BG26</f>
        <v>#DIV/0!</v>
      </c>
      <c r="BL22" s="31">
        <f>+C26</f>
        <v>0</v>
      </c>
      <c r="BM22" s="32">
        <f>+F26</f>
        <v>0</v>
      </c>
      <c r="BO22" s="32" t="s">
        <v>150</v>
      </c>
      <c r="BP22" s="35">
        <f>+H26</f>
        <v>0</v>
      </c>
      <c r="BQ22" s="32" t="e">
        <f>+BL26*BP22^2+BM26*BP22+BN26</f>
        <v>#DIV/0!</v>
      </c>
    </row>
    <row r="23" spans="1:83" x14ac:dyDescent="0.25">
      <c r="A23" s="7"/>
      <c r="B23" s="11"/>
      <c r="C23" s="11"/>
      <c r="D23" s="11"/>
      <c r="E23" s="12"/>
      <c r="F23" s="12"/>
      <c r="G23" s="12"/>
      <c r="H23" s="11"/>
      <c r="I23" s="16"/>
      <c r="J23" s="12"/>
      <c r="K23" s="12"/>
      <c r="L23" s="13"/>
      <c r="M23" s="36"/>
      <c r="N23" s="36"/>
      <c r="P23" s="42"/>
      <c r="Q23" s="42"/>
      <c r="R23" s="42"/>
      <c r="S23" s="14"/>
      <c r="U23" s="14"/>
      <c r="W23" s="14"/>
      <c r="X23" s="12"/>
      <c r="Y23" s="12"/>
      <c r="AA23" s="12"/>
      <c r="AC23" s="31">
        <f>+D21</f>
        <v>0</v>
      </c>
      <c r="AD23" s="32">
        <f>+G21</f>
        <v>0</v>
      </c>
      <c r="AE23" s="32"/>
      <c r="AF23" s="32" t="s">
        <v>151</v>
      </c>
      <c r="AG23" s="32">
        <f>+I21</f>
        <v>0</v>
      </c>
      <c r="AH23" s="32" t="e">
        <f>+AC26*AG23^2+AD26*AG23+AE26</f>
        <v>#DIV/0!</v>
      </c>
      <c r="AJ23" s="31">
        <f>+D22</f>
        <v>0</v>
      </c>
      <c r="AK23" s="32">
        <f>+G22</f>
        <v>0</v>
      </c>
      <c r="AL23" s="32"/>
      <c r="AM23" s="32" t="s">
        <v>151</v>
      </c>
      <c r="AN23" s="35">
        <f>+I22</f>
        <v>0</v>
      </c>
      <c r="AO23" s="32" t="e">
        <f>+AJ26*AN23^2+AK26*AN23+AL26</f>
        <v>#DIV/0!</v>
      </c>
      <c r="AQ23" s="31">
        <f>+D23</f>
        <v>0</v>
      </c>
      <c r="AR23" s="32">
        <f>+G23</f>
        <v>0</v>
      </c>
      <c r="AS23" s="32"/>
      <c r="AT23" s="32" t="s">
        <v>151</v>
      </c>
      <c r="AU23" s="35">
        <f>+I23</f>
        <v>0</v>
      </c>
      <c r="AV23" s="32" t="e">
        <f>+AQ26*AU23^2+AR26*AU23+AS26</f>
        <v>#DIV/0!</v>
      </c>
      <c r="AX23" s="31">
        <f>+D24</f>
        <v>0</v>
      </c>
      <c r="AY23" s="32">
        <f>+G24</f>
        <v>0</v>
      </c>
      <c r="AZ23" s="32"/>
      <c r="BA23" s="32" t="s">
        <v>151</v>
      </c>
      <c r="BB23" s="35">
        <f>+I24</f>
        <v>0</v>
      </c>
      <c r="BC23" s="32" t="e">
        <f>+AX26*BB23^2+AY26*BB23+AZ26</f>
        <v>#DIV/0!</v>
      </c>
      <c r="BE23" s="31">
        <f>+D25</f>
        <v>0</v>
      </c>
      <c r="BF23" s="32">
        <f>+G25</f>
        <v>0</v>
      </c>
      <c r="BH23" s="32" t="s">
        <v>151</v>
      </c>
      <c r="BI23" s="35">
        <f>+I25</f>
        <v>0</v>
      </c>
      <c r="BJ23" s="32" t="e">
        <f>+BE26*BI23^2+BF26*BI23+BG26</f>
        <v>#DIV/0!</v>
      </c>
      <c r="BL23" s="31">
        <f>+D26</f>
        <v>0</v>
      </c>
      <c r="BM23" s="32">
        <f>+G26</f>
        <v>0</v>
      </c>
      <c r="BO23" s="32" t="s">
        <v>151</v>
      </c>
      <c r="BP23" s="35">
        <f>+I26</f>
        <v>0</v>
      </c>
      <c r="BQ23" s="32" t="e">
        <f>+BL26*BP23^2+BM26*BP23+BN26</f>
        <v>#DIV/0!</v>
      </c>
    </row>
    <row r="24" spans="1:83" x14ac:dyDescent="0.25">
      <c r="A24" s="7"/>
      <c r="B24" s="11"/>
      <c r="C24" s="11"/>
      <c r="D24" s="11"/>
      <c r="E24" s="12"/>
      <c r="F24" s="12"/>
      <c r="G24" s="12"/>
      <c r="H24" s="16"/>
      <c r="I24" s="16"/>
      <c r="J24" s="12"/>
      <c r="K24" s="12"/>
      <c r="L24" s="13"/>
      <c r="M24" s="36"/>
      <c r="N24" s="36"/>
      <c r="P24" s="42"/>
      <c r="Q24" s="42"/>
      <c r="R24" s="42"/>
      <c r="S24" s="14"/>
      <c r="U24" s="14"/>
      <c r="W24" s="14"/>
      <c r="X24" s="12"/>
      <c r="Y24" s="12"/>
      <c r="AA24" s="12"/>
      <c r="AC24" s="34" cm="1">
        <f t="array" ref="AC24:AE24">+LINEST(AD21:AD23,AC21:AC23^{1,2})</f>
        <v>0</v>
      </c>
      <c r="AD24" s="34">
        <v>0</v>
      </c>
      <c r="AE24" s="34">
        <v>0</v>
      </c>
      <c r="AG24" s="33" t="e">
        <f>+OR(AG21=MIN(AG21:AG23,AC21:AC23),AG21=MAX(AG21:AG23,AC21:AC23))*1</f>
        <v>#DIV/0!</v>
      </c>
      <c r="AJ24" s="34" cm="1">
        <f t="array" ref="AJ24:AL24">+LINEST(AK21:AK23,AJ21:AJ23^{1,2})</f>
        <v>0</v>
      </c>
      <c r="AK24" s="34">
        <v>0</v>
      </c>
      <c r="AL24" s="34">
        <v>0</v>
      </c>
      <c r="AM24" s="34"/>
      <c r="AN24" s="33" t="e">
        <f>+OR(AN21=MIN(AN21:AN23,AJ21:AJ23),AN21=MAX(AN21:AN23,AJ21:AJ23))*1</f>
        <v>#DIV/0!</v>
      </c>
      <c r="AQ24" s="34" cm="1">
        <f t="array" ref="AQ24:AS24">+LINEST(AR21:AR23,AQ21:AQ23^{1,2})</f>
        <v>0</v>
      </c>
      <c r="AR24" s="34">
        <v>0</v>
      </c>
      <c r="AS24" s="34">
        <v>0</v>
      </c>
      <c r="AT24" s="34"/>
      <c r="AU24" s="33" t="e">
        <f>+OR(AU21=MIN(AU21:AU23,AQ21:AQ23),AU21=MAX(AU21:AU23,AQ21:AQ23))*1</f>
        <v>#DIV/0!</v>
      </c>
      <c r="AX24" s="34" cm="1">
        <f t="array" ref="AX24:AZ24">+LINEST(AY21:AY23,AX21:AX23^{1,2})</f>
        <v>0</v>
      </c>
      <c r="AY24" s="34">
        <v>0</v>
      </c>
      <c r="AZ24" s="34">
        <v>0</v>
      </c>
      <c r="BA24" s="34"/>
      <c r="BB24" s="33" t="e">
        <f>+OR(BB21=MIN(BB21:BB23,AX21:AX23),BB21=MAX(BB21:BB23,AX21:AX23))*1</f>
        <v>#DIV/0!</v>
      </c>
      <c r="BE24" s="34" cm="1">
        <f t="array" ref="BE24:BG24">+LINEST(BF21:BF23,BE21:BE23^{1,2})</f>
        <v>0</v>
      </c>
      <c r="BF24" s="34">
        <v>0</v>
      </c>
      <c r="BG24" s="34">
        <v>0</v>
      </c>
      <c r="BI24" s="33" t="e">
        <f>+OR(BI21=MIN(BI21:BI23,BE21:BE23),BI21=MAX(BI21:BI23,BE21:BE23))*1</f>
        <v>#DIV/0!</v>
      </c>
      <c r="BL24" s="34" cm="1">
        <f t="array" ref="BL24:BN24">+LINEST(BM21:BM23,BL21:BL23^{1,2})</f>
        <v>0</v>
      </c>
      <c r="BM24" s="34">
        <v>0</v>
      </c>
      <c r="BN24" s="34">
        <v>0</v>
      </c>
      <c r="BP24" s="33" t="e">
        <f>+OR(BP21=MIN(BP21:BP23,BL21:BL23),BP21=MAX(BP21:BP23,BL21:BL23))*1</f>
        <v>#DIV/0!</v>
      </c>
    </row>
    <row r="25" spans="1:83" x14ac:dyDescent="0.25">
      <c r="A25" s="7"/>
      <c r="B25" s="11"/>
      <c r="C25" s="11"/>
      <c r="D25" s="11"/>
      <c r="E25" s="12"/>
      <c r="F25" s="12"/>
      <c r="G25" s="12"/>
      <c r="H25" s="16"/>
      <c r="I25" s="16"/>
      <c r="J25" s="12"/>
      <c r="K25" s="12"/>
      <c r="L25" s="13"/>
      <c r="M25" s="36"/>
      <c r="N25" s="36"/>
      <c r="P25" s="42"/>
      <c r="Q25" s="42"/>
      <c r="R25" s="42"/>
      <c r="S25" s="14"/>
      <c r="U25" s="14"/>
      <c r="W25" s="14"/>
      <c r="X25" s="12"/>
      <c r="Y25" s="12"/>
      <c r="AA25" s="12"/>
      <c r="AD25" s="34" cm="1">
        <f t="array" ref="AD25:AE25">+LINEST(AD21:AD23,AC21:AC23^{1})</f>
        <v>0</v>
      </c>
      <c r="AE25" s="34">
        <v>0</v>
      </c>
      <c r="AG25" s="33" t="e">
        <f>+NOT(AG24)*1</f>
        <v>#DIV/0!</v>
      </c>
      <c r="AK25" s="34" cm="1">
        <f t="array" ref="AK25:AL25">+LINEST(AK21:AK23,AJ21:AJ23^{1})</f>
        <v>0</v>
      </c>
      <c r="AL25" s="34">
        <v>0</v>
      </c>
      <c r="AM25" s="34"/>
      <c r="AN25" s="33" t="e">
        <f>+NOT(AN24)*1</f>
        <v>#DIV/0!</v>
      </c>
      <c r="AR25" s="34" cm="1">
        <f t="array" ref="AR25:AS25">+LINEST(AR21:AR23,AQ21:AQ23^{1})</f>
        <v>0</v>
      </c>
      <c r="AS25" s="34">
        <v>0</v>
      </c>
      <c r="AT25" s="34"/>
      <c r="AU25" s="33" t="e">
        <f>+NOT(AU24)*1</f>
        <v>#DIV/0!</v>
      </c>
      <c r="AY25" s="34" cm="1">
        <f t="array" ref="AY25:AZ25">+LINEST(AY21:AY23,AX21:AX23^{1})</f>
        <v>0</v>
      </c>
      <c r="AZ25" s="34">
        <v>0</v>
      </c>
      <c r="BA25" s="34"/>
      <c r="BB25" s="33" t="e">
        <f>+NOT(BB24)*1</f>
        <v>#DIV/0!</v>
      </c>
      <c r="BF25" s="34" cm="1">
        <f t="array" ref="BF25:BG25">+LINEST(BF21:BF23,BE21:BE23^{1})</f>
        <v>0</v>
      </c>
      <c r="BG25" s="34">
        <v>0</v>
      </c>
      <c r="BI25" s="33" t="e">
        <f>+NOT(BI24)*1</f>
        <v>#DIV/0!</v>
      </c>
      <c r="BM25" s="34" cm="1">
        <f t="array" ref="BM25:BN25">+LINEST(BM21:BM23,BL21:BL23^{1})</f>
        <v>0</v>
      </c>
      <c r="BN25" s="34">
        <v>0</v>
      </c>
      <c r="BP25" s="33" t="e">
        <f>+NOT(BP24)*1</f>
        <v>#DIV/0!</v>
      </c>
    </row>
    <row r="26" spans="1:83" x14ac:dyDescent="0.25">
      <c r="A26" s="7"/>
      <c r="B26" s="11"/>
      <c r="C26" s="11"/>
      <c r="D26" s="11"/>
      <c r="E26" s="12"/>
      <c r="F26" s="12"/>
      <c r="G26" s="12"/>
      <c r="H26" s="11"/>
      <c r="I26" s="16"/>
      <c r="J26" s="12"/>
      <c r="K26" s="12"/>
      <c r="L26" s="13"/>
      <c r="M26" s="36"/>
      <c r="N26" s="36"/>
      <c r="P26" s="42"/>
      <c r="Q26" s="42"/>
      <c r="R26" s="42"/>
      <c r="S26" s="14"/>
      <c r="U26" s="14"/>
      <c r="W26" s="14"/>
      <c r="X26" s="12"/>
      <c r="Y26" s="12"/>
      <c r="AA26" s="12"/>
      <c r="AC26" s="34" t="e">
        <f>+SUMPRODUCT(AC24:AC25,AG24:AG25)</f>
        <v>#DIV/0!</v>
      </c>
      <c r="AD26" s="34" t="e">
        <f>+SUMPRODUCT(AD24:AD25,AG24:AG25)</f>
        <v>#DIV/0!</v>
      </c>
      <c r="AE26" s="34" t="e">
        <f>+SUMPRODUCT(AE24:AE25,AG24:AG25)</f>
        <v>#DIV/0!</v>
      </c>
      <c r="AJ26" s="34" t="e">
        <f>+SUMPRODUCT(AJ24:AJ25,AN24:AN25)</f>
        <v>#DIV/0!</v>
      </c>
      <c r="AK26" s="34" t="e">
        <f>+SUMPRODUCT(AK24:AK25,AN24:AN25)</f>
        <v>#DIV/0!</v>
      </c>
      <c r="AL26" s="34" t="e">
        <f>+SUMPRODUCT(AL24:AL25,AN24:AN25)</f>
        <v>#DIV/0!</v>
      </c>
      <c r="AQ26" s="34" t="e">
        <f>+SUMPRODUCT(AQ24:AQ25,AU24:AU25)</f>
        <v>#DIV/0!</v>
      </c>
      <c r="AR26" s="34" t="e">
        <f>+SUMPRODUCT(AR24:AR25,AU24:AU25)</f>
        <v>#DIV/0!</v>
      </c>
      <c r="AS26" s="34" t="e">
        <f>+SUMPRODUCT(AS24:AS25,AU24:AU25)</f>
        <v>#DIV/0!</v>
      </c>
      <c r="AV26" s="4"/>
      <c r="AX26" s="34" t="e">
        <f>+SUMPRODUCT(AX24:AX25,BB24:BB25)</f>
        <v>#DIV/0!</v>
      </c>
      <c r="AY26" s="34" t="e">
        <f>+SUMPRODUCT(AY24:AY25,BB24:BB25)</f>
        <v>#DIV/0!</v>
      </c>
      <c r="AZ26" s="34" t="e">
        <f>+SUMPRODUCT(AZ24:AZ25,BB24:BB25)</f>
        <v>#DIV/0!</v>
      </c>
      <c r="BE26" s="34" t="e">
        <f>+SUMPRODUCT(BE24:BE25,BI24:BI25)</f>
        <v>#DIV/0!</v>
      </c>
      <c r="BF26" s="34" t="e">
        <f>+SUMPRODUCT(BF24:BF25,BI24:BI25)</f>
        <v>#DIV/0!</v>
      </c>
      <c r="BG26" s="34" t="e">
        <f>+SUMPRODUCT(BG24:BG25,BI24:BI25)</f>
        <v>#DIV/0!</v>
      </c>
      <c r="BL26" s="34" t="e">
        <f>+SUMPRODUCT(BL24:BL25,BP24:BP25)</f>
        <v>#DIV/0!</v>
      </c>
      <c r="BM26" s="34" t="e">
        <f>+SUMPRODUCT(BM24:BM25,BP24:BP25)</f>
        <v>#DIV/0!</v>
      </c>
      <c r="BN26" s="34" t="e">
        <f>+SUMPRODUCT(BN24:BN25,BP24:BP25)</f>
        <v>#DIV/0!</v>
      </c>
    </row>
    <row r="27" spans="1:83" x14ac:dyDescent="0.25">
      <c r="A27" s="7"/>
      <c r="B27" s="11"/>
      <c r="C27" s="11"/>
      <c r="D27" s="15"/>
      <c r="E27" s="7"/>
      <c r="F27" s="7"/>
      <c r="G27" s="7"/>
      <c r="H27" s="11"/>
      <c r="I27" s="11"/>
      <c r="J27" s="7"/>
      <c r="K27" s="7"/>
      <c r="L27" s="7"/>
      <c r="X27" s="7"/>
      <c r="Y27" s="7"/>
      <c r="AA27" s="12"/>
    </row>
    <row r="28" spans="1:83" x14ac:dyDescent="0.25">
      <c r="A28" s="7"/>
      <c r="B28" s="11"/>
      <c r="C28" s="11"/>
      <c r="D28" s="15"/>
      <c r="E28" s="7"/>
      <c r="F28" s="7"/>
      <c r="G28" s="7"/>
      <c r="H28" s="11"/>
      <c r="I28" s="11"/>
      <c r="J28" s="7"/>
      <c r="K28" s="7"/>
      <c r="L28" s="7"/>
      <c r="X28" s="7"/>
      <c r="Y28" s="7"/>
      <c r="AA28" s="12"/>
    </row>
    <row r="29" spans="1:83" x14ac:dyDescent="0.25">
      <c r="A29" s="7"/>
      <c r="B29" s="11"/>
      <c r="C29" s="11"/>
      <c r="D29" s="15"/>
      <c r="E29" s="7"/>
      <c r="F29" s="7"/>
      <c r="G29" s="7"/>
      <c r="H29" s="11"/>
      <c r="I29" s="11"/>
      <c r="J29" s="7"/>
      <c r="K29" s="7"/>
      <c r="L29" s="7"/>
      <c r="X29" s="7"/>
      <c r="Y29" s="7"/>
      <c r="AA29" s="12"/>
    </row>
    <row r="30" spans="1:83" x14ac:dyDescent="0.25">
      <c r="A30" s="7" t="s">
        <v>134</v>
      </c>
      <c r="B30" s="11"/>
      <c r="C30" s="11"/>
      <c r="D30" s="15"/>
      <c r="E30" s="7"/>
      <c r="F30" s="7"/>
      <c r="G30" s="7"/>
      <c r="H30" s="11"/>
      <c r="I30" s="11"/>
      <c r="J30" s="7"/>
      <c r="K30" s="7"/>
      <c r="L30" s="7"/>
      <c r="X30" s="7"/>
      <c r="Y30" s="7"/>
      <c r="AA30" s="12"/>
    </row>
    <row r="31" spans="1:83" x14ac:dyDescent="0.25">
      <c r="A31" s="10" t="s">
        <v>34</v>
      </c>
      <c r="B31" s="11"/>
      <c r="C31" s="11"/>
      <c r="D31" s="15"/>
      <c r="E31" s="7"/>
      <c r="F31" s="7"/>
      <c r="G31" s="7"/>
      <c r="H31" s="11"/>
      <c r="I31" s="11"/>
      <c r="J31" s="7"/>
      <c r="K31" s="7"/>
      <c r="L31" s="7"/>
      <c r="X31" s="7"/>
      <c r="Y31" s="7"/>
      <c r="AA31" s="12"/>
      <c r="AC31" s="94">
        <f>+A32</f>
        <v>0</v>
      </c>
      <c r="AD31" s="94"/>
      <c r="AE31" s="94"/>
      <c r="AF31" s="94"/>
      <c r="AG31" s="94"/>
      <c r="AH31" s="94"/>
      <c r="AJ31" s="94">
        <f>+A33</f>
        <v>0</v>
      </c>
      <c r="AK31" s="94"/>
      <c r="AL31" s="94"/>
      <c r="AM31" s="94"/>
      <c r="AN31" s="94"/>
      <c r="AO31" s="94"/>
      <c r="AQ31" s="94">
        <f>+A34</f>
        <v>0</v>
      </c>
      <c r="AR31" s="94"/>
      <c r="AS31" s="94"/>
      <c r="AT31" s="94"/>
      <c r="AU31" s="94"/>
      <c r="AV31" s="94"/>
      <c r="AX31" s="94">
        <f>+A35</f>
        <v>0</v>
      </c>
      <c r="AY31" s="94"/>
      <c r="AZ31" s="94"/>
      <c r="BA31" s="94"/>
      <c r="BB31" s="94"/>
      <c r="BC31" s="94"/>
      <c r="BE31" s="94">
        <f>+A36</f>
        <v>0</v>
      </c>
      <c r="BF31" s="94"/>
      <c r="BG31" s="94"/>
      <c r="BH31" s="94"/>
      <c r="BI31" s="94"/>
      <c r="BJ31" s="94"/>
      <c r="BL31" s="94">
        <f>+A37</f>
        <v>0</v>
      </c>
      <c r="BM31" s="94"/>
      <c r="BN31" s="94"/>
      <c r="BO31" s="94"/>
      <c r="BP31" s="94"/>
      <c r="BQ31" s="94"/>
      <c r="BS31" s="94">
        <f>+A38</f>
        <v>0</v>
      </c>
      <c r="BT31" s="94"/>
      <c r="BU31" s="94"/>
      <c r="BV31" s="94"/>
      <c r="BW31" s="94"/>
      <c r="BX31" s="94"/>
      <c r="BZ31" s="94">
        <f>+A39</f>
        <v>0</v>
      </c>
      <c r="CA31" s="94"/>
      <c r="CB31" s="94"/>
      <c r="CC31" s="94"/>
      <c r="CD31" s="94"/>
      <c r="CE31" s="94"/>
    </row>
    <row r="32" spans="1:83" x14ac:dyDescent="0.25">
      <c r="A32" s="7"/>
      <c r="B32" s="12"/>
      <c r="C32" s="11"/>
      <c r="D32" s="11"/>
      <c r="E32" s="12"/>
      <c r="F32" s="12"/>
      <c r="G32" s="12"/>
      <c r="H32" s="16"/>
      <c r="I32" s="16"/>
      <c r="J32" s="12"/>
      <c r="K32" s="12"/>
      <c r="L32" s="13"/>
      <c r="M32" s="36"/>
      <c r="N32" s="36"/>
      <c r="P32" s="42"/>
      <c r="Q32" s="42"/>
      <c r="R32" s="42"/>
      <c r="S32" s="14"/>
      <c r="U32" s="14"/>
      <c r="W32" s="14"/>
      <c r="X32" s="12"/>
      <c r="Y32" s="12"/>
      <c r="AA32" s="12" t="s">
        <v>169</v>
      </c>
      <c r="AC32" s="31">
        <f>+B32</f>
        <v>0</v>
      </c>
      <c r="AD32" s="32">
        <f>+E32</f>
        <v>0</v>
      </c>
      <c r="AF32" s="32" t="s">
        <v>149</v>
      </c>
      <c r="AG32" s="35" t="e">
        <f>-AD35/(2*AC35)</f>
        <v>#DIV/0!</v>
      </c>
      <c r="AH32" s="35"/>
      <c r="AJ32" s="31">
        <f>+B33</f>
        <v>0</v>
      </c>
      <c r="AK32" s="32">
        <f>+E33</f>
        <v>0</v>
      </c>
      <c r="AM32" s="32" t="s">
        <v>149</v>
      </c>
      <c r="AN32" s="35" t="e">
        <f>-AK35/(2*AJ35)</f>
        <v>#DIV/0!</v>
      </c>
      <c r="AQ32" s="31">
        <f>+B34</f>
        <v>0</v>
      </c>
      <c r="AR32" s="32">
        <f>+E34</f>
        <v>0</v>
      </c>
      <c r="AT32" s="32" t="s">
        <v>149</v>
      </c>
      <c r="AU32" s="35" t="e">
        <f>-AR35/(2*AQ35)</f>
        <v>#DIV/0!</v>
      </c>
      <c r="AX32" s="31">
        <f>+B35</f>
        <v>0</v>
      </c>
      <c r="AY32" s="32">
        <f>+E35</f>
        <v>0</v>
      </c>
      <c r="BA32" s="32" t="s">
        <v>149</v>
      </c>
      <c r="BB32" s="35" t="e">
        <f>-AY35/(2*AX35)</f>
        <v>#DIV/0!</v>
      </c>
      <c r="BE32" s="31">
        <f>+B36</f>
        <v>0</v>
      </c>
      <c r="BF32" s="32">
        <f>+E36</f>
        <v>0</v>
      </c>
      <c r="BH32" s="32" t="s">
        <v>149</v>
      </c>
      <c r="BI32" s="35" t="e">
        <f>-BF35/(2*BE35)</f>
        <v>#DIV/0!</v>
      </c>
      <c r="BL32" s="31">
        <f>+B37</f>
        <v>0</v>
      </c>
      <c r="BM32" s="32">
        <f>+E37</f>
        <v>0</v>
      </c>
      <c r="BO32" s="32" t="s">
        <v>149</v>
      </c>
      <c r="BP32" s="35" t="e">
        <f>-BM35/(2*BL35)</f>
        <v>#DIV/0!</v>
      </c>
      <c r="BS32" s="31">
        <f>+B38</f>
        <v>0</v>
      </c>
      <c r="BT32" s="32">
        <f>+E38</f>
        <v>0</v>
      </c>
      <c r="BV32" s="32" t="s">
        <v>149</v>
      </c>
      <c r="BW32" s="35" t="e">
        <f>-BT35/(2*BS35)</f>
        <v>#DIV/0!</v>
      </c>
      <c r="BZ32" s="31">
        <f>+B39</f>
        <v>0</v>
      </c>
      <c r="CA32" s="32">
        <f>+E39</f>
        <v>0</v>
      </c>
      <c r="CC32" s="32" t="s">
        <v>149</v>
      </c>
      <c r="CD32" s="35" t="e">
        <f>-CA35/(2*BZ35)</f>
        <v>#DIV/0!</v>
      </c>
    </row>
    <row r="33" spans="1:83" x14ac:dyDescent="0.25">
      <c r="A33" s="7"/>
      <c r="B33" s="11"/>
      <c r="C33" s="11"/>
      <c r="D33" s="11"/>
      <c r="E33" s="12"/>
      <c r="F33" s="12"/>
      <c r="G33" s="12"/>
      <c r="H33" s="16"/>
      <c r="I33" s="16"/>
      <c r="J33" s="12"/>
      <c r="K33" s="12"/>
      <c r="L33" s="13"/>
      <c r="M33" s="36"/>
      <c r="N33" s="36"/>
      <c r="P33" s="42"/>
      <c r="Q33" s="42"/>
      <c r="R33" s="42"/>
      <c r="S33" s="14"/>
      <c r="U33" s="14"/>
      <c r="W33" s="14"/>
      <c r="X33" s="12"/>
      <c r="Y33" s="12"/>
      <c r="AA33" s="12" t="s">
        <v>170</v>
      </c>
      <c r="AC33" s="31">
        <f>+C32</f>
        <v>0</v>
      </c>
      <c r="AD33" s="32">
        <f>+F32</f>
        <v>0</v>
      </c>
      <c r="AF33" s="32" t="s">
        <v>150</v>
      </c>
      <c r="AG33" s="35">
        <f>+H32</f>
        <v>0</v>
      </c>
      <c r="AH33" s="32" t="e">
        <f>+AC37*AG33^2+AD37*AG33+AE37</f>
        <v>#DIV/0!</v>
      </c>
      <c r="AJ33" s="31">
        <f>+C33</f>
        <v>0</v>
      </c>
      <c r="AK33" s="32">
        <f>+F33</f>
        <v>0</v>
      </c>
      <c r="AM33" s="32" t="s">
        <v>150</v>
      </c>
      <c r="AN33" s="35">
        <f>+H33</f>
        <v>0</v>
      </c>
      <c r="AO33" s="32" t="e">
        <f>+AJ37*AN33^2+AK37*AN33+AL37</f>
        <v>#DIV/0!</v>
      </c>
      <c r="AQ33" s="31">
        <f>+C34</f>
        <v>0</v>
      </c>
      <c r="AR33" s="32">
        <f>+F34</f>
        <v>0</v>
      </c>
      <c r="AT33" s="32" t="s">
        <v>150</v>
      </c>
      <c r="AU33" s="35">
        <f>+H34</f>
        <v>0</v>
      </c>
      <c r="AV33" s="32" t="e">
        <f>+AQ37*AU33^2+AR37*AU33+AS37</f>
        <v>#DIV/0!</v>
      </c>
      <c r="AX33" s="31">
        <f>+C35</f>
        <v>0</v>
      </c>
      <c r="AY33" s="32">
        <f>+F35</f>
        <v>0</v>
      </c>
      <c r="BA33" s="32" t="s">
        <v>150</v>
      </c>
      <c r="BB33" s="35">
        <f>+H35</f>
        <v>0</v>
      </c>
      <c r="BC33" s="32" t="e">
        <f>+AX37*BB33^2+AY37*BB33+AZ37</f>
        <v>#DIV/0!</v>
      </c>
      <c r="BE33" s="31">
        <f>+C36</f>
        <v>0</v>
      </c>
      <c r="BF33" s="32">
        <f>+F36</f>
        <v>0</v>
      </c>
      <c r="BH33" s="32" t="s">
        <v>150</v>
      </c>
      <c r="BI33" s="35">
        <f>+H36</f>
        <v>0</v>
      </c>
      <c r="BJ33" s="32" t="e">
        <f>+BE37*BI33^2+BF37*BI33+BG37</f>
        <v>#DIV/0!</v>
      </c>
      <c r="BL33" s="31">
        <f>+C37</f>
        <v>0</v>
      </c>
      <c r="BM33" s="32">
        <f>+F37</f>
        <v>0</v>
      </c>
      <c r="BO33" s="32" t="s">
        <v>150</v>
      </c>
      <c r="BP33" s="35">
        <f>+H37</f>
        <v>0</v>
      </c>
      <c r="BQ33" s="32" t="e">
        <f>+BL37*BP33^2+BM37*BP33+BN37</f>
        <v>#DIV/0!</v>
      </c>
      <c r="BS33" s="31">
        <f>+C38</f>
        <v>0</v>
      </c>
      <c r="BT33" s="32">
        <f>+F38</f>
        <v>0</v>
      </c>
      <c r="BV33" s="32" t="s">
        <v>150</v>
      </c>
      <c r="BW33" s="35">
        <f>+H38</f>
        <v>0</v>
      </c>
      <c r="BX33" s="32" t="e">
        <f>+BS37*BW33^2+BT37*BW33+BU37</f>
        <v>#DIV/0!</v>
      </c>
      <c r="BZ33" s="31">
        <f>+C39</f>
        <v>0</v>
      </c>
      <c r="CA33" s="32">
        <f>+F39</f>
        <v>0</v>
      </c>
      <c r="CC33" s="32" t="s">
        <v>150</v>
      </c>
      <c r="CD33" s="35">
        <f>+H39</f>
        <v>0</v>
      </c>
      <c r="CE33" s="32" t="e">
        <f>+BZ37*CD33^2+CA37*CD33+CB37</f>
        <v>#DIV/0!</v>
      </c>
    </row>
    <row r="34" spans="1:83" x14ac:dyDescent="0.25">
      <c r="A34" s="7"/>
      <c r="B34" s="11"/>
      <c r="C34" s="11"/>
      <c r="D34" s="11"/>
      <c r="E34" s="12"/>
      <c r="F34" s="12"/>
      <c r="G34" s="12"/>
      <c r="H34" s="11"/>
      <c r="I34" s="16"/>
      <c r="J34" s="12"/>
      <c r="K34" s="12"/>
      <c r="L34" s="13"/>
      <c r="M34" s="36"/>
      <c r="N34" s="36"/>
      <c r="P34" s="42"/>
      <c r="Q34" s="42"/>
      <c r="R34" s="42"/>
      <c r="S34" s="14"/>
      <c r="U34" s="14"/>
      <c r="W34" s="14"/>
      <c r="X34" s="12"/>
      <c r="Y34" s="12"/>
      <c r="AA34" s="12" t="s">
        <v>171</v>
      </c>
      <c r="AC34" s="31">
        <f>+D32</f>
        <v>0</v>
      </c>
      <c r="AD34" s="32">
        <f>+G32</f>
        <v>0</v>
      </c>
      <c r="AF34" s="32" t="s">
        <v>151</v>
      </c>
      <c r="AG34" s="35">
        <f>+I32</f>
        <v>0</v>
      </c>
      <c r="AH34" s="32" t="e">
        <f>+AC37*AG34^2+AD37*AG34+AE37</f>
        <v>#DIV/0!</v>
      </c>
      <c r="AJ34" s="31">
        <f>+D33</f>
        <v>0</v>
      </c>
      <c r="AK34" s="32">
        <f>+G33</f>
        <v>0</v>
      </c>
      <c r="AM34" s="32" t="s">
        <v>151</v>
      </c>
      <c r="AN34" s="35">
        <f>+I33</f>
        <v>0</v>
      </c>
      <c r="AO34" s="32" t="e">
        <f>+AJ37*AN34^2+AK37*AN34+AL37</f>
        <v>#DIV/0!</v>
      </c>
      <c r="AQ34" s="31">
        <f>+D34</f>
        <v>0</v>
      </c>
      <c r="AR34" s="32">
        <f>+G34</f>
        <v>0</v>
      </c>
      <c r="AT34" s="32" t="s">
        <v>151</v>
      </c>
      <c r="AU34" s="35">
        <f>+I34</f>
        <v>0</v>
      </c>
      <c r="AV34" s="32" t="e">
        <f>+AQ37*AU34^2+AR37*AU34+AS37</f>
        <v>#DIV/0!</v>
      </c>
      <c r="AX34" s="31">
        <f>+D35</f>
        <v>0</v>
      </c>
      <c r="AY34" s="32">
        <f>+G35</f>
        <v>0</v>
      </c>
      <c r="BA34" s="32" t="s">
        <v>151</v>
      </c>
      <c r="BB34" s="35">
        <f>+I35</f>
        <v>0</v>
      </c>
      <c r="BC34" s="32" t="e">
        <f>+AX37*BB34^2+AY37*BB34+AZ37</f>
        <v>#DIV/0!</v>
      </c>
      <c r="BE34" s="31">
        <f>+D36</f>
        <v>0</v>
      </c>
      <c r="BF34" s="32">
        <f>+G36</f>
        <v>0</v>
      </c>
      <c r="BH34" s="32" t="s">
        <v>151</v>
      </c>
      <c r="BI34" s="35">
        <f>+I36</f>
        <v>0</v>
      </c>
      <c r="BJ34" s="32" t="e">
        <f>+BE37*BI34^2+BF37*BI34+BG37</f>
        <v>#DIV/0!</v>
      </c>
      <c r="BL34" s="31">
        <f>+D37</f>
        <v>0</v>
      </c>
      <c r="BM34" s="32">
        <f>+G37</f>
        <v>0</v>
      </c>
      <c r="BO34" s="32" t="s">
        <v>151</v>
      </c>
      <c r="BP34" s="35">
        <f>+I37</f>
        <v>0</v>
      </c>
      <c r="BQ34" s="32" t="e">
        <f>+BL37*BP34^2+BM37*BP34+BN37</f>
        <v>#DIV/0!</v>
      </c>
      <c r="BS34" s="31">
        <f>+D38</f>
        <v>0</v>
      </c>
      <c r="BT34" s="32">
        <f>+G38</f>
        <v>0</v>
      </c>
      <c r="BV34" s="32" t="s">
        <v>151</v>
      </c>
      <c r="BW34" s="35">
        <f>+I38</f>
        <v>0</v>
      </c>
      <c r="BX34" s="32" t="e">
        <f>+BS37*BW34^2+BT37*BW34+BU37</f>
        <v>#DIV/0!</v>
      </c>
      <c r="BZ34" s="31">
        <f>+D39</f>
        <v>0</v>
      </c>
      <c r="CA34" s="32">
        <f>+G39</f>
        <v>0</v>
      </c>
      <c r="CC34" s="32" t="s">
        <v>151</v>
      </c>
      <c r="CD34" s="35">
        <f>+I39</f>
        <v>0</v>
      </c>
      <c r="CE34" s="32" t="e">
        <f>+BZ37*CD34^2+CA37*CD34+CB37</f>
        <v>#DIV/0!</v>
      </c>
    </row>
    <row r="35" spans="1:83" x14ac:dyDescent="0.25">
      <c r="A35" s="7"/>
      <c r="B35" s="11"/>
      <c r="C35" s="11"/>
      <c r="D35" s="11"/>
      <c r="E35" s="12"/>
      <c r="F35" s="12"/>
      <c r="G35" s="12"/>
      <c r="H35" s="16"/>
      <c r="I35" s="16"/>
      <c r="J35" s="12"/>
      <c r="K35" s="12"/>
      <c r="L35" s="13"/>
      <c r="M35" s="36"/>
      <c r="N35" s="36"/>
      <c r="P35" s="42"/>
      <c r="Q35" s="42"/>
      <c r="R35" s="42"/>
      <c r="S35" s="14"/>
      <c r="U35" s="14"/>
      <c r="W35" s="14"/>
      <c r="X35" s="12"/>
      <c r="Y35" s="12"/>
      <c r="AA35" s="12" t="s">
        <v>172</v>
      </c>
      <c r="AC35" s="34" cm="1">
        <f t="array" ref="AC35:AE35">+LINEST(AD32:AD34,AC32:AC34^{1,2})</f>
        <v>0</v>
      </c>
      <c r="AD35" s="34">
        <v>0</v>
      </c>
      <c r="AE35" s="34">
        <v>0</v>
      </c>
      <c r="AG35" s="33" t="e">
        <f>+OR(AG32=MIN(AG32:AG34,AC32:AC34),AG32=MAX(AG32:AG34,AC32:AC34))*1</f>
        <v>#DIV/0!</v>
      </c>
      <c r="AJ35" s="34" cm="1">
        <f t="array" ref="AJ35:AL35">+LINEST(AK32:AK34,AJ32:AJ34^{1,2})</f>
        <v>0</v>
      </c>
      <c r="AK35" s="34">
        <v>0</v>
      </c>
      <c r="AL35" s="34">
        <v>0</v>
      </c>
      <c r="AN35" s="33" t="e">
        <f>+OR(AN32=MIN(AN32:AN34,AJ32:AJ34),AN32=MAX(AN32:AN34,AJ32:AJ34))*1</f>
        <v>#DIV/0!</v>
      </c>
      <c r="AQ35" s="34" cm="1">
        <f t="array" ref="AQ35:AS35">+LINEST(AR32:AR34,AQ32:AQ34^{1,2})</f>
        <v>0</v>
      </c>
      <c r="AR35" s="34">
        <v>0</v>
      </c>
      <c r="AS35" s="34">
        <v>0</v>
      </c>
      <c r="AU35" s="33" t="e">
        <f>+OR(AU32=MIN(AU32:AU34,AQ32:AQ34),AU32=MAX(AU32:AU34,AQ32:AQ34))*1</f>
        <v>#DIV/0!</v>
      </c>
      <c r="AX35" s="34" cm="1">
        <f t="array" ref="AX35:AZ35">+LINEST(AY32:AY34,AX32:AX34^{1,2})</f>
        <v>0</v>
      </c>
      <c r="AY35" s="34">
        <v>0</v>
      </c>
      <c r="AZ35" s="34">
        <v>0</v>
      </c>
      <c r="BB35" s="33" t="e">
        <f>+OR(BB32=MIN(BB32:BB34,AX32:AX34),BB32=MAX(BB32:BB34,AX32:AX34))*1</f>
        <v>#DIV/0!</v>
      </c>
      <c r="BE35" s="34" cm="1">
        <f t="array" ref="BE35:BG35">+LINEST(BF32:BF34,BE32:BE34^{1,2})</f>
        <v>0</v>
      </c>
      <c r="BF35" s="34">
        <v>0</v>
      </c>
      <c r="BG35" s="34">
        <v>0</v>
      </c>
      <c r="BI35" s="33" t="e">
        <f>+OR(BI32=MIN(BI32:BI34,BE32:BE34),BI32=MAX(BI32:BI34,BE32:BE34))*1</f>
        <v>#DIV/0!</v>
      </c>
      <c r="BL35" s="34" cm="1">
        <f t="array" ref="BL35:BN35">+LINEST(BM32:BM34,BL32:BL34^{1,2})</f>
        <v>0</v>
      </c>
      <c r="BM35" s="34">
        <v>0</v>
      </c>
      <c r="BN35" s="34">
        <v>0</v>
      </c>
      <c r="BP35" s="33" t="e">
        <f>+OR(BP32=MIN(BP32:BP34,BL32:BL34),BP32=MAX(BP32:BP34,BL32:BL34))*1</f>
        <v>#DIV/0!</v>
      </c>
      <c r="BS35" s="34" cm="1">
        <f t="array" ref="BS35:BU35">+LINEST(BT32:BT34,BS32:BS34^{1,2})</f>
        <v>0</v>
      </c>
      <c r="BT35" s="34">
        <v>0</v>
      </c>
      <c r="BU35" s="34">
        <v>0</v>
      </c>
      <c r="BW35" s="33" t="e">
        <f>+OR(BW32=MIN(BW32:BW34,BS32:BS34),BW32=MAX(BW32:BW34,BS32:BS34))*1</f>
        <v>#DIV/0!</v>
      </c>
      <c r="BZ35" s="34" cm="1">
        <f t="array" ref="BZ35:CB35">+LINEST(CA32:CA34,BZ32:BZ34^{1,2})</f>
        <v>0</v>
      </c>
      <c r="CA35" s="34">
        <v>0</v>
      </c>
      <c r="CB35" s="34">
        <v>0</v>
      </c>
      <c r="CD35" s="33" t="e">
        <f>+OR(CD32=MIN(CD32:CD34,BZ32:BZ34),CD32=MAX(CD32:CD34,BZ32:BZ34))*1</f>
        <v>#DIV/0!</v>
      </c>
    </row>
    <row r="36" spans="1:83" x14ac:dyDescent="0.25">
      <c r="A36" s="7"/>
      <c r="B36" s="11"/>
      <c r="C36" s="11"/>
      <c r="D36" s="11"/>
      <c r="E36" s="12"/>
      <c r="F36" s="12"/>
      <c r="G36" s="12"/>
      <c r="H36" s="16"/>
      <c r="I36" s="16"/>
      <c r="J36" s="12"/>
      <c r="K36" s="12"/>
      <c r="L36" s="13"/>
      <c r="M36" s="36"/>
      <c r="N36" s="36"/>
      <c r="P36" s="42"/>
      <c r="Q36" s="42"/>
      <c r="R36" s="42"/>
      <c r="S36" s="14"/>
      <c r="U36" s="14"/>
      <c r="W36" s="14"/>
      <c r="X36" s="12"/>
      <c r="Y36" s="12"/>
      <c r="AA36" s="12" t="s">
        <v>173</v>
      </c>
      <c r="AD36" s="34" cm="1">
        <f t="array" ref="AD36:AE36">+LINEST(AD32:AD34,AC32:AC34^{1})</f>
        <v>0</v>
      </c>
      <c r="AE36" s="34">
        <v>0</v>
      </c>
      <c r="AG36" s="33" t="e">
        <f>+NOT(AG35)*1</f>
        <v>#DIV/0!</v>
      </c>
      <c r="AK36" s="34" cm="1">
        <f t="array" ref="AK36:AL36">+LINEST(AK32:AK34,AJ32:AJ34^{1})</f>
        <v>0</v>
      </c>
      <c r="AL36" s="34">
        <v>0</v>
      </c>
      <c r="AN36" s="33" t="e">
        <f>+NOT(AN35)*1</f>
        <v>#DIV/0!</v>
      </c>
      <c r="AR36" s="34" cm="1">
        <f t="array" ref="AR36:AS36">+LINEST(AR32:AR34,AQ32:AQ34^{1})</f>
        <v>0</v>
      </c>
      <c r="AS36" s="34">
        <v>0</v>
      </c>
      <c r="AU36" s="33" t="e">
        <f>+NOT(AU35)*1</f>
        <v>#DIV/0!</v>
      </c>
      <c r="AY36" s="34" cm="1">
        <f t="array" ref="AY36:AZ36">+LINEST(AY32:AY34,AX32:AX34^{1})</f>
        <v>0</v>
      </c>
      <c r="AZ36" s="34">
        <v>0</v>
      </c>
      <c r="BB36" s="33" t="e">
        <f>+NOT(BB35)*1</f>
        <v>#DIV/0!</v>
      </c>
      <c r="BF36" s="34" cm="1">
        <f t="array" ref="BF36:BG36">+LINEST(BF32:BF34,BE32:BE34^{1})</f>
        <v>0</v>
      </c>
      <c r="BG36" s="34">
        <v>0</v>
      </c>
      <c r="BI36" s="33" t="e">
        <f>+NOT(BI35)*1</f>
        <v>#DIV/0!</v>
      </c>
      <c r="BM36" s="34" cm="1">
        <f t="array" ref="BM36:BN36">+LINEST(BM32:BM34,BL32:BL34^{1})</f>
        <v>0</v>
      </c>
      <c r="BN36" s="34">
        <v>0</v>
      </c>
      <c r="BP36" s="33" t="e">
        <f>+NOT(BP35)*1</f>
        <v>#DIV/0!</v>
      </c>
      <c r="BT36" s="34" cm="1">
        <f t="array" ref="BT36:BU36">+LINEST(BT32:BT34,BS32:BS34^{1})</f>
        <v>0</v>
      </c>
      <c r="BU36" s="34">
        <v>0</v>
      </c>
      <c r="BW36" s="33" t="e">
        <f>+NOT(BW35)*1</f>
        <v>#DIV/0!</v>
      </c>
      <c r="CA36" s="34" cm="1">
        <f t="array" ref="CA36:CB36">+LINEST(CA32:CA34,BZ32:BZ34^{1})</f>
        <v>0</v>
      </c>
      <c r="CB36" s="34">
        <v>0</v>
      </c>
      <c r="CD36" s="33" t="e">
        <f>+NOT(CD35)*1</f>
        <v>#DIV/0!</v>
      </c>
    </row>
    <row r="37" spans="1:83" x14ac:dyDescent="0.25">
      <c r="A37" s="7"/>
      <c r="B37" s="11"/>
      <c r="C37" s="11"/>
      <c r="D37" s="11"/>
      <c r="E37" s="12"/>
      <c r="F37" s="12"/>
      <c r="G37" s="12"/>
      <c r="H37" s="16"/>
      <c r="I37" s="16"/>
      <c r="J37" s="12"/>
      <c r="K37" s="12"/>
      <c r="L37" s="13"/>
      <c r="M37" s="36"/>
      <c r="N37" s="36"/>
      <c r="P37" s="42"/>
      <c r="Q37" s="42"/>
      <c r="R37" s="42"/>
      <c r="S37" s="14"/>
      <c r="U37" s="14"/>
      <c r="W37" s="14"/>
      <c r="X37" s="12"/>
      <c r="Y37" s="12"/>
      <c r="AA37" s="12" t="s">
        <v>174</v>
      </c>
      <c r="AC37" s="34" t="e">
        <f>+SUMPRODUCT(AC35:AC36,AG35:AG36)</f>
        <v>#DIV/0!</v>
      </c>
      <c r="AD37" s="34" t="e">
        <f>+SUMPRODUCT(AD35:AD36,AG35:AG36)</f>
        <v>#DIV/0!</v>
      </c>
      <c r="AE37" s="34" t="e">
        <f>+SUMPRODUCT(AE35:AE36,AG35:AG36)</f>
        <v>#DIV/0!</v>
      </c>
      <c r="AJ37" s="34" t="e">
        <f>+SUMPRODUCT(AJ35:AJ36,AN35:AN36)</f>
        <v>#DIV/0!</v>
      </c>
      <c r="AK37" s="34" t="e">
        <f>+SUMPRODUCT(AK35:AK36,AN35:AN36)</f>
        <v>#DIV/0!</v>
      </c>
      <c r="AL37" s="34" t="e">
        <f>+SUMPRODUCT(AL35:AL36,AN35:AN36)</f>
        <v>#DIV/0!</v>
      </c>
      <c r="AQ37" s="34" t="e">
        <f>+SUMPRODUCT(AQ35:AQ36,AU35:AU36)</f>
        <v>#DIV/0!</v>
      </c>
      <c r="AR37" s="34" t="e">
        <f>+SUMPRODUCT(AR35:AR36,AU35:AU36)</f>
        <v>#DIV/0!</v>
      </c>
      <c r="AS37" s="34" t="e">
        <f>+SUMPRODUCT(AS35:AS36,AU35:AU36)</f>
        <v>#DIV/0!</v>
      </c>
      <c r="AX37" s="34" t="e">
        <f>+SUMPRODUCT(AX35:AX36,BB35:BB36)</f>
        <v>#DIV/0!</v>
      </c>
      <c r="AY37" s="34" t="e">
        <f>+SUMPRODUCT(AY35:AY36,BB35:BB36)</f>
        <v>#DIV/0!</v>
      </c>
      <c r="AZ37" s="34" t="e">
        <f>+SUMPRODUCT(AZ35:AZ36,BB35:BB36)</f>
        <v>#DIV/0!</v>
      </c>
      <c r="BE37" s="34" t="e">
        <f>+SUMPRODUCT(BE35:BE36,BI35:BI36)</f>
        <v>#DIV/0!</v>
      </c>
      <c r="BF37" s="34" t="e">
        <f>+SUMPRODUCT(BF35:BF36,BI35:BI36)</f>
        <v>#DIV/0!</v>
      </c>
      <c r="BG37" s="34" t="e">
        <f>+SUMPRODUCT(BG35:BG36,BI35:BI36)</f>
        <v>#DIV/0!</v>
      </c>
      <c r="BL37" s="34" t="e">
        <f>+SUMPRODUCT(BL35:BL36,BP35:BP36)</f>
        <v>#DIV/0!</v>
      </c>
      <c r="BM37" s="34" t="e">
        <f>+SUMPRODUCT(BM35:BM36,BP35:BP36)</f>
        <v>#DIV/0!</v>
      </c>
      <c r="BN37" s="34" t="e">
        <f>+SUMPRODUCT(BN35:BN36,BP35:BP36)</f>
        <v>#DIV/0!</v>
      </c>
      <c r="BS37" s="34" t="e">
        <f>+SUMPRODUCT(BS35:BS36,BW35:BW36)</f>
        <v>#DIV/0!</v>
      </c>
      <c r="BT37" s="34" t="e">
        <f>+SUMPRODUCT(BT35:BT36,BW35:BW36)</f>
        <v>#DIV/0!</v>
      </c>
      <c r="BU37" s="34" t="e">
        <f>+SUMPRODUCT(BU35:BU36,BW35:BW36)</f>
        <v>#DIV/0!</v>
      </c>
      <c r="BZ37" s="34" t="e">
        <f>+SUMPRODUCT(BZ35:BZ36,CD35:CD36)</f>
        <v>#DIV/0!</v>
      </c>
      <c r="CA37" s="34" t="e">
        <f>+SUMPRODUCT(CA35:CA36,CD35:CD36)</f>
        <v>#DIV/0!</v>
      </c>
      <c r="CB37" s="34" t="e">
        <f>+SUMPRODUCT(CB35:CB36,CD35:CD36)</f>
        <v>#DIV/0!</v>
      </c>
    </row>
    <row r="38" spans="1:83" x14ac:dyDescent="0.25">
      <c r="A38" s="7"/>
      <c r="B38" s="11"/>
      <c r="C38" s="11"/>
      <c r="D38" s="11"/>
      <c r="E38" s="12"/>
      <c r="F38" s="12"/>
      <c r="G38" s="12"/>
      <c r="H38" s="11"/>
      <c r="I38" s="16"/>
      <c r="J38" s="12"/>
      <c r="K38" s="12"/>
      <c r="L38" s="13"/>
      <c r="M38" s="36"/>
      <c r="N38" s="36"/>
      <c r="P38" s="42"/>
      <c r="Q38" s="42"/>
      <c r="R38" s="42"/>
      <c r="S38" s="14"/>
      <c r="U38" s="14"/>
      <c r="W38" s="14"/>
      <c r="X38" s="12"/>
      <c r="Y38" s="12"/>
      <c r="AA38" s="12" t="s">
        <v>175</v>
      </c>
    </row>
    <row r="39" spans="1:83" x14ac:dyDescent="0.25">
      <c r="A39" s="7"/>
      <c r="B39" s="11"/>
      <c r="C39" s="11"/>
      <c r="D39" s="11"/>
      <c r="E39" s="12"/>
      <c r="F39" s="12"/>
      <c r="G39" s="12"/>
      <c r="H39" s="16"/>
      <c r="I39" s="16"/>
      <c r="J39" s="12"/>
      <c r="K39" s="12"/>
      <c r="L39" s="13"/>
      <c r="M39" s="36"/>
      <c r="N39" s="36"/>
      <c r="P39" s="42"/>
      <c r="Q39" s="42"/>
      <c r="R39" s="42"/>
      <c r="S39" s="14"/>
      <c r="U39" s="14"/>
      <c r="W39" s="14"/>
      <c r="X39" s="12"/>
      <c r="Y39" s="12"/>
      <c r="AA39" s="12" t="s">
        <v>176</v>
      </c>
    </row>
    <row r="40" spans="1:83" x14ac:dyDescent="0.25">
      <c r="A40" s="7"/>
      <c r="B40" s="11"/>
      <c r="C40" s="11"/>
      <c r="D40" s="11"/>
      <c r="E40" s="12"/>
      <c r="F40" s="12"/>
      <c r="G40" s="12"/>
      <c r="H40" s="16"/>
      <c r="I40" s="16"/>
      <c r="J40" s="12"/>
      <c r="K40" s="12"/>
      <c r="L40" s="13"/>
      <c r="M40" s="36"/>
      <c r="N40" s="36"/>
      <c r="P40" s="42"/>
      <c r="Q40" s="42"/>
      <c r="R40" s="42"/>
      <c r="S40" s="14"/>
      <c r="U40" s="14"/>
      <c r="W40" s="14"/>
      <c r="X40" s="12"/>
      <c r="Y40" s="12"/>
      <c r="AA40" s="12"/>
    </row>
    <row r="41" spans="1:83" x14ac:dyDescent="0.25">
      <c r="A41" s="7"/>
      <c r="B41" s="11"/>
      <c r="C41" s="11"/>
      <c r="D41" s="11"/>
      <c r="E41" s="12"/>
      <c r="F41" s="12"/>
      <c r="G41" s="12"/>
      <c r="H41" s="16"/>
      <c r="I41" s="16"/>
      <c r="J41" s="12"/>
      <c r="K41" s="12"/>
      <c r="L41" s="13"/>
      <c r="M41" s="36"/>
      <c r="N41" s="36"/>
      <c r="P41" s="42"/>
      <c r="Q41" s="42"/>
      <c r="R41" s="42"/>
      <c r="S41" s="14"/>
      <c r="U41" s="14"/>
      <c r="W41" s="14"/>
      <c r="X41" s="12"/>
      <c r="Y41" s="12"/>
      <c r="AA41" s="12"/>
    </row>
    <row r="42" spans="1:83" x14ac:dyDescent="0.25">
      <c r="A42" s="7"/>
      <c r="B42" s="11"/>
      <c r="C42" s="11"/>
      <c r="D42" s="11"/>
      <c r="E42" s="12"/>
      <c r="F42" s="12"/>
      <c r="G42" s="12"/>
      <c r="H42" s="16"/>
      <c r="I42" s="16"/>
      <c r="J42" s="12"/>
      <c r="K42" s="12"/>
      <c r="L42" s="13"/>
      <c r="M42" s="36"/>
      <c r="N42" s="36"/>
      <c r="P42" s="42"/>
      <c r="Q42" s="42"/>
      <c r="R42" s="42"/>
      <c r="S42" s="14"/>
      <c r="U42" s="14"/>
      <c r="W42" s="14"/>
      <c r="X42" s="12"/>
      <c r="Y42" s="12"/>
      <c r="AA42" s="12"/>
    </row>
    <row r="43" spans="1:83" x14ac:dyDescent="0.25">
      <c r="A43" s="7" t="s">
        <v>144</v>
      </c>
      <c r="B43" s="7"/>
      <c r="C43" s="7"/>
      <c r="D43" s="7"/>
      <c r="E43" s="7"/>
      <c r="F43" s="7"/>
      <c r="G43" s="7"/>
      <c r="H43" s="11"/>
      <c r="I43" s="11"/>
      <c r="J43" s="7"/>
      <c r="K43" s="7"/>
      <c r="L43" s="7"/>
      <c r="X43" s="7"/>
      <c r="Y43" s="7"/>
      <c r="AA43" s="12"/>
    </row>
    <row r="44" spans="1:83" x14ac:dyDescent="0.25">
      <c r="A44" s="10" t="s">
        <v>42</v>
      </c>
      <c r="B44" s="7"/>
      <c r="C44" s="7"/>
      <c r="D44" s="7"/>
      <c r="E44" s="7"/>
      <c r="F44" s="7"/>
      <c r="G44" s="7"/>
      <c r="H44" s="11"/>
      <c r="I44" s="11"/>
      <c r="J44" s="7"/>
      <c r="K44" s="7"/>
      <c r="L44" s="7"/>
      <c r="X44" s="7"/>
      <c r="Y44" s="7"/>
      <c r="AA44" s="12"/>
      <c r="AC44" s="94">
        <f>+A45</f>
        <v>0</v>
      </c>
      <c r="AD44" s="94"/>
      <c r="AE44" s="94"/>
      <c r="AF44" s="94"/>
      <c r="AG44" s="94"/>
      <c r="AH44" s="94"/>
      <c r="AJ44" s="94">
        <f>+A46</f>
        <v>0</v>
      </c>
      <c r="AK44" s="94"/>
      <c r="AL44" s="94"/>
      <c r="AM44" s="94"/>
      <c r="AN44" s="94"/>
      <c r="AO44" s="94"/>
      <c r="AQ44" s="94">
        <f>+A47</f>
        <v>0</v>
      </c>
      <c r="AR44" s="94"/>
      <c r="AS44" s="94"/>
      <c r="AT44" s="94"/>
      <c r="AU44" s="94"/>
      <c r="AV44" s="94"/>
      <c r="AX44" s="94">
        <f>+A48</f>
        <v>0</v>
      </c>
      <c r="AY44" s="94"/>
      <c r="AZ44" s="94"/>
      <c r="BA44" s="94"/>
      <c r="BB44" s="94"/>
      <c r="BC44" s="94"/>
      <c r="BE44" s="94">
        <f>+A49</f>
        <v>0</v>
      </c>
      <c r="BF44" s="94"/>
      <c r="BG44" s="94"/>
      <c r="BH44" s="94"/>
      <c r="BI44" s="94"/>
      <c r="BJ44" s="94"/>
      <c r="BL44" s="94">
        <f>+A50</f>
        <v>0</v>
      </c>
      <c r="BM44" s="94"/>
      <c r="BN44" s="94"/>
      <c r="BO44" s="94"/>
      <c r="BP44" s="94"/>
      <c r="BQ44" s="94"/>
    </row>
    <row r="45" spans="1:83" x14ac:dyDescent="0.25">
      <c r="A45" s="7"/>
      <c r="B45" s="12"/>
      <c r="C45" s="11"/>
      <c r="D45" s="11"/>
      <c r="E45" s="12"/>
      <c r="F45" s="12"/>
      <c r="G45" s="46"/>
      <c r="H45" s="16"/>
      <c r="I45" s="16"/>
      <c r="J45" s="12"/>
      <c r="K45" s="12"/>
      <c r="L45" s="13"/>
      <c r="M45" s="36"/>
      <c r="N45" s="36"/>
      <c r="O45" s="2"/>
      <c r="P45" s="48"/>
      <c r="Q45" s="42"/>
      <c r="R45" s="42"/>
      <c r="S45" s="14"/>
      <c r="U45" s="14"/>
      <c r="W45" s="14"/>
      <c r="X45" s="12"/>
      <c r="Y45" s="12"/>
      <c r="AA45" s="12" t="s">
        <v>44</v>
      </c>
      <c r="AC45" s="31">
        <f>+B45</f>
        <v>0</v>
      </c>
      <c r="AD45" s="32">
        <f>+E45</f>
        <v>0</v>
      </c>
      <c r="AF45" s="32" t="s">
        <v>149</v>
      </c>
      <c r="AG45" s="35" t="e">
        <f>-AD48/(2*AC48)</f>
        <v>#DIV/0!</v>
      </c>
      <c r="AJ45" s="31">
        <f>+B46</f>
        <v>0</v>
      </c>
      <c r="AK45" s="32">
        <f>+E46</f>
        <v>0</v>
      </c>
      <c r="AM45" s="32" t="s">
        <v>149</v>
      </c>
      <c r="AN45" s="35" t="e">
        <f>-AK48/(2*AJ48)</f>
        <v>#DIV/0!</v>
      </c>
      <c r="AQ45" s="31">
        <f>+B47</f>
        <v>0</v>
      </c>
      <c r="AR45" s="32">
        <f>+E47</f>
        <v>0</v>
      </c>
      <c r="AT45" s="32" t="s">
        <v>149</v>
      </c>
      <c r="AU45" s="35" t="e">
        <f>-AR48/(2*AQ48)</f>
        <v>#DIV/0!</v>
      </c>
      <c r="AX45" s="31">
        <f>+B48</f>
        <v>0</v>
      </c>
      <c r="AY45" s="32">
        <f>+E48</f>
        <v>0</v>
      </c>
      <c r="BA45" s="32" t="s">
        <v>149</v>
      </c>
      <c r="BB45" s="35" t="e">
        <f>-AY48/(2*AX48)</f>
        <v>#DIV/0!</v>
      </c>
      <c r="BE45" s="31">
        <f>+B49</f>
        <v>0</v>
      </c>
      <c r="BF45" s="32">
        <f>+E49</f>
        <v>0</v>
      </c>
      <c r="BH45" s="32" t="s">
        <v>149</v>
      </c>
      <c r="BI45" s="35" t="e">
        <f>-BF48/(2*BE48)</f>
        <v>#DIV/0!</v>
      </c>
      <c r="BL45" s="31">
        <f>+B50</f>
        <v>0</v>
      </c>
      <c r="BM45" s="32">
        <f>+E50</f>
        <v>0</v>
      </c>
      <c r="BO45" s="32" t="s">
        <v>149</v>
      </c>
      <c r="BP45" s="35" t="e">
        <f>-BM48/(2*BL48)</f>
        <v>#DIV/0!</v>
      </c>
    </row>
    <row r="46" spans="1:83" x14ac:dyDescent="0.25">
      <c r="A46" s="7"/>
      <c r="B46" s="11"/>
      <c r="C46" s="11"/>
      <c r="D46" s="11"/>
      <c r="E46" s="12"/>
      <c r="F46" s="12"/>
      <c r="G46" s="12"/>
      <c r="H46" s="16"/>
      <c r="I46" s="16"/>
      <c r="J46" s="12"/>
      <c r="K46" s="12"/>
      <c r="L46" s="13"/>
      <c r="M46" s="36"/>
      <c r="N46" s="36"/>
      <c r="O46" s="2"/>
      <c r="P46" s="42"/>
      <c r="Q46" s="42"/>
      <c r="R46" s="42"/>
      <c r="S46" s="14"/>
      <c r="U46" s="14"/>
      <c r="W46" s="14"/>
      <c r="X46" s="12"/>
      <c r="Y46" s="12"/>
      <c r="AA46" s="12" t="s">
        <v>45</v>
      </c>
      <c r="AC46" s="31">
        <f>+C45</f>
        <v>0</v>
      </c>
      <c r="AD46" s="32">
        <f>+F45</f>
        <v>0</v>
      </c>
      <c r="AF46" s="32" t="s">
        <v>150</v>
      </c>
      <c r="AG46" s="35">
        <f>+H45</f>
        <v>0</v>
      </c>
      <c r="AH46" s="32" t="e">
        <f>+AC50*AG46^2+AD50*AG46+AE50</f>
        <v>#DIV/0!</v>
      </c>
      <c r="AJ46" s="31">
        <f>+C46</f>
        <v>0</v>
      </c>
      <c r="AK46" s="32">
        <f>+F46</f>
        <v>0</v>
      </c>
      <c r="AM46" s="32" t="s">
        <v>150</v>
      </c>
      <c r="AN46" s="35">
        <f>+H46</f>
        <v>0</v>
      </c>
      <c r="AO46" s="32" t="e">
        <f>+AJ50*AN46^2+AK50*AN46+AL50</f>
        <v>#DIV/0!</v>
      </c>
      <c r="AQ46" s="31">
        <f>+C47</f>
        <v>0</v>
      </c>
      <c r="AR46" s="32">
        <f>+F47</f>
        <v>0</v>
      </c>
      <c r="AT46" s="32" t="s">
        <v>150</v>
      </c>
      <c r="AU46" s="35">
        <f>+H47</f>
        <v>0</v>
      </c>
      <c r="AV46" s="32" t="e">
        <f>+AQ50*AU46^2+AR50*AU46+AS50</f>
        <v>#DIV/0!</v>
      </c>
      <c r="AX46" s="31">
        <f>+C48</f>
        <v>0</v>
      </c>
      <c r="AY46" s="32">
        <f>+F48</f>
        <v>0</v>
      </c>
      <c r="BA46" s="32" t="s">
        <v>150</v>
      </c>
      <c r="BB46" s="35">
        <f>+H48</f>
        <v>0</v>
      </c>
      <c r="BC46" s="32" t="e">
        <f>+AX50*BB46^2+AY50*BB46+AZ50</f>
        <v>#DIV/0!</v>
      </c>
      <c r="BE46" s="31">
        <f>+C49</f>
        <v>0</v>
      </c>
      <c r="BF46" s="32">
        <f>+F49</f>
        <v>0</v>
      </c>
      <c r="BH46" s="32" t="s">
        <v>150</v>
      </c>
      <c r="BI46" s="35">
        <f>+H49</f>
        <v>0</v>
      </c>
      <c r="BJ46" s="32" t="e">
        <f>+BE50*BI46^2+BF50*BI46+BG50</f>
        <v>#DIV/0!</v>
      </c>
      <c r="BL46" s="31">
        <f>+C50</f>
        <v>0</v>
      </c>
      <c r="BM46" s="32">
        <f>+F50</f>
        <v>0</v>
      </c>
      <c r="BO46" s="32" t="s">
        <v>150</v>
      </c>
      <c r="BP46" s="35">
        <f>+H50</f>
        <v>0</v>
      </c>
      <c r="BQ46" s="32" t="e">
        <f>+BL50*BP46^2+BM50*BP46+BN50</f>
        <v>#DIV/0!</v>
      </c>
    </row>
    <row r="47" spans="1:83" x14ac:dyDescent="0.25">
      <c r="A47" s="7"/>
      <c r="B47" s="11"/>
      <c r="C47" s="11"/>
      <c r="D47" s="11"/>
      <c r="E47" s="12"/>
      <c r="F47" s="12"/>
      <c r="G47" s="12"/>
      <c r="H47" s="11"/>
      <c r="I47" s="16"/>
      <c r="J47" s="12"/>
      <c r="K47" s="12"/>
      <c r="L47" s="13"/>
      <c r="M47" s="36"/>
      <c r="N47" s="36"/>
      <c r="P47" s="42"/>
      <c r="Q47" s="42"/>
      <c r="R47" s="42"/>
      <c r="S47" s="14"/>
      <c r="U47" s="14"/>
      <c r="W47" s="14"/>
      <c r="X47" s="12"/>
      <c r="Y47" s="12"/>
      <c r="AA47" s="12" t="s">
        <v>46</v>
      </c>
      <c r="AC47" s="31">
        <f>+D45</f>
        <v>0</v>
      </c>
      <c r="AD47" s="32">
        <f>+G45</f>
        <v>0</v>
      </c>
      <c r="AF47" s="32" t="s">
        <v>151</v>
      </c>
      <c r="AG47" s="35">
        <f>+I45</f>
        <v>0</v>
      </c>
      <c r="AH47" s="32" t="e">
        <f>+AC50*AG47^2+AD50*AG47+AE50</f>
        <v>#DIV/0!</v>
      </c>
      <c r="AJ47" s="31">
        <f>+D46</f>
        <v>0</v>
      </c>
      <c r="AK47" s="32">
        <f>+G46</f>
        <v>0</v>
      </c>
      <c r="AM47" s="32" t="s">
        <v>151</v>
      </c>
      <c r="AN47" s="35">
        <f>+I46</f>
        <v>0</v>
      </c>
      <c r="AO47" s="32" t="e">
        <f>+AJ50*AN47^2+AK50*AN47+AL50</f>
        <v>#DIV/0!</v>
      </c>
      <c r="AQ47" s="31">
        <f>+D47</f>
        <v>0</v>
      </c>
      <c r="AR47" s="32">
        <f>+G47</f>
        <v>0</v>
      </c>
      <c r="AT47" s="32" t="s">
        <v>151</v>
      </c>
      <c r="AU47" s="35">
        <f>+I47</f>
        <v>0</v>
      </c>
      <c r="AV47" s="32" t="e">
        <f>+AQ50*AU47^2+AR50*AU47+AS50</f>
        <v>#DIV/0!</v>
      </c>
      <c r="AX47" s="31">
        <f>+D48</f>
        <v>0</v>
      </c>
      <c r="AY47" s="32">
        <f>+G48</f>
        <v>0</v>
      </c>
      <c r="BA47" s="32" t="s">
        <v>151</v>
      </c>
      <c r="BB47" s="35">
        <f>+I48</f>
        <v>0</v>
      </c>
      <c r="BC47" s="32" t="e">
        <f>+AX50*BB47^2+AY50*BB47+AZ50</f>
        <v>#DIV/0!</v>
      </c>
      <c r="BE47" s="31">
        <f>+D49</f>
        <v>0</v>
      </c>
      <c r="BF47" s="32">
        <f>+G49</f>
        <v>0</v>
      </c>
      <c r="BH47" s="32" t="s">
        <v>151</v>
      </c>
      <c r="BI47" s="35">
        <f>+I49</f>
        <v>0</v>
      </c>
      <c r="BJ47" s="32" t="e">
        <f>+BE50*BI47^2+BF50*BI47+BG50</f>
        <v>#DIV/0!</v>
      </c>
      <c r="BL47" s="31">
        <f>+D50</f>
        <v>0</v>
      </c>
      <c r="BM47" s="32">
        <f>+G50</f>
        <v>0</v>
      </c>
      <c r="BO47" s="32" t="s">
        <v>151</v>
      </c>
      <c r="BP47" s="35">
        <f>+I50</f>
        <v>0</v>
      </c>
      <c r="BQ47" s="32" t="e">
        <f>+BL50*BP47^2+BM50*BP47+BN50</f>
        <v>#DIV/0!</v>
      </c>
    </row>
    <row r="48" spans="1:83" x14ac:dyDescent="0.25">
      <c r="A48" s="7"/>
      <c r="B48" s="11"/>
      <c r="C48" s="11"/>
      <c r="D48" s="11"/>
      <c r="E48" s="12"/>
      <c r="F48" s="12"/>
      <c r="G48" s="12"/>
      <c r="H48" s="16"/>
      <c r="I48" s="16"/>
      <c r="J48" s="12"/>
      <c r="K48" s="12"/>
      <c r="L48" s="13"/>
      <c r="M48" s="36"/>
      <c r="N48" s="36"/>
      <c r="P48" s="42"/>
      <c r="Q48" s="42"/>
      <c r="R48" s="42"/>
      <c r="S48" s="14"/>
      <c r="U48" s="14"/>
      <c r="W48" s="14"/>
      <c r="X48" s="12"/>
      <c r="Y48" s="12"/>
      <c r="AA48" s="12" t="s">
        <v>48</v>
      </c>
      <c r="AC48" s="34" cm="1">
        <f t="array" ref="AC48:AE48">+LINEST(AD45:AD47,AC45:AC47^{1,2})</f>
        <v>0</v>
      </c>
      <c r="AD48" s="34">
        <v>0</v>
      </c>
      <c r="AE48" s="34">
        <v>0</v>
      </c>
      <c r="AG48" s="33" t="e">
        <f>+OR(AG45=MIN(AG45:AG47,AC45:AC47),AG45=MAX(AG45:AG47,AC45:AC47))*1</f>
        <v>#DIV/0!</v>
      </c>
      <c r="AJ48" s="34" cm="1">
        <f t="array" ref="AJ48:AL48">+LINEST(AK45:AK47,AJ45:AJ47^{1,2})</f>
        <v>0</v>
      </c>
      <c r="AK48" s="34">
        <v>0</v>
      </c>
      <c r="AL48" s="34">
        <v>0</v>
      </c>
      <c r="AN48" s="33" t="e">
        <f>+OR(AN45=MIN(AN45:AN47,AJ45:AJ47),AN45=MAX(AN45:AN47,AJ45:AJ47))*1</f>
        <v>#DIV/0!</v>
      </c>
      <c r="AQ48" s="34" cm="1">
        <f t="array" ref="AQ48:AS48">+LINEST(AR45:AR47,AQ45:AQ47^{1,2})</f>
        <v>0</v>
      </c>
      <c r="AR48" s="34">
        <v>0</v>
      </c>
      <c r="AS48" s="34">
        <v>0</v>
      </c>
      <c r="AU48" s="33" t="e">
        <f>+OR(AU45=MIN(AU45:AU47,AQ45:AQ47),AU45=MAX(AU45:AU47,AQ45:AQ47))*1</f>
        <v>#DIV/0!</v>
      </c>
      <c r="AX48" s="34" cm="1">
        <f t="array" ref="AX48:AZ48">+LINEST(AY45:AY47,AX45:AX47^{1,2})</f>
        <v>0</v>
      </c>
      <c r="AY48" s="34">
        <v>0</v>
      </c>
      <c r="AZ48" s="34">
        <v>0</v>
      </c>
      <c r="BB48" s="33" t="e">
        <f>+OR(BB45=MIN(BB45:BB47,AX45:AX47),BB45=MAX(BB45:BB47,AX45:AX47))*1</f>
        <v>#DIV/0!</v>
      </c>
      <c r="BE48" s="47" cm="1">
        <f t="array" ref="BE48:BG48">+LINEST(BF45:BF47,BE45:BE47^{1,2})</f>
        <v>0</v>
      </c>
      <c r="BF48" s="34">
        <v>0</v>
      </c>
      <c r="BG48" s="34">
        <v>0</v>
      </c>
      <c r="BI48" s="33" t="e">
        <f>+OR(BI45=MIN(BI45:BI47,BE45:BE47),BI45=MAX(BI45:BI47,BE45:BE47))*1</f>
        <v>#DIV/0!</v>
      </c>
      <c r="BL48" s="34" cm="1">
        <f t="array" ref="BL48:BN48">+LINEST(BM45:BM47,BL45:BL47^{1,2})</f>
        <v>0</v>
      </c>
      <c r="BM48" s="34">
        <v>0</v>
      </c>
      <c r="BN48" s="34">
        <v>0</v>
      </c>
      <c r="BP48" s="33" t="e">
        <f>+OR(BP45=MIN(BP45:BP47,BL45:BL47),BP45=MAX(BP45:BP47,BL45:BL47))*1</f>
        <v>#DIV/0!</v>
      </c>
    </row>
    <row r="49" spans="1:68" x14ac:dyDescent="0.25">
      <c r="A49" s="7"/>
      <c r="B49" s="11"/>
      <c r="C49" s="11"/>
      <c r="D49" s="11"/>
      <c r="E49" s="12"/>
      <c r="F49" s="12"/>
      <c r="G49" s="12"/>
      <c r="H49" s="11"/>
      <c r="I49" s="16"/>
      <c r="J49" s="12"/>
      <c r="K49" s="12"/>
      <c r="L49" s="13"/>
      <c r="M49" s="36"/>
      <c r="N49" s="36"/>
      <c r="P49" s="42"/>
      <c r="Q49" s="42"/>
      <c r="R49" s="42"/>
      <c r="S49" s="14"/>
      <c r="U49" s="14"/>
      <c r="W49" s="14"/>
      <c r="X49" s="12"/>
      <c r="Y49" s="12"/>
      <c r="AA49" s="12" t="s">
        <v>50</v>
      </c>
      <c r="AD49" s="34" cm="1">
        <f t="array" ref="AD49:AE49">+LINEST(AD45:AD47,AC45:AC47^{1})</f>
        <v>0</v>
      </c>
      <c r="AE49" s="34">
        <v>0</v>
      </c>
      <c r="AG49" s="33" t="e">
        <f>+NOT(AG48)*1</f>
        <v>#DIV/0!</v>
      </c>
      <c r="AK49" s="34" cm="1">
        <f t="array" ref="AK49:AL49">+LINEST(AK45:AK47,AJ45:AJ47^{1})</f>
        <v>0</v>
      </c>
      <c r="AL49" s="34">
        <v>0</v>
      </c>
      <c r="AN49" s="33" t="e">
        <f>+NOT(AN48)*1</f>
        <v>#DIV/0!</v>
      </c>
      <c r="AR49" s="34" cm="1">
        <f t="array" ref="AR49:AS49">+LINEST(AR45:AR47,AQ45:AQ47^{1})</f>
        <v>0</v>
      </c>
      <c r="AS49" s="34">
        <v>0</v>
      </c>
      <c r="AU49" s="33" t="e">
        <f>+NOT(AU48)*1</f>
        <v>#DIV/0!</v>
      </c>
      <c r="AY49" s="34" cm="1">
        <f t="array" ref="AY49:AZ49">+LINEST(AY45:AY47,AX45:AX47^{1})</f>
        <v>0</v>
      </c>
      <c r="AZ49" s="34">
        <v>0</v>
      </c>
      <c r="BB49" s="33" t="e">
        <f>+NOT(BB48)*1</f>
        <v>#DIV/0!</v>
      </c>
      <c r="BF49" s="34" cm="1">
        <f t="array" ref="BF49:BG49">+LINEST(BF45:BF47,BE45:BE47^{1})</f>
        <v>0</v>
      </c>
      <c r="BG49" s="34">
        <v>0</v>
      </c>
      <c r="BI49" s="33" t="e">
        <f>+NOT(BI48)*1</f>
        <v>#DIV/0!</v>
      </c>
      <c r="BM49" s="34" cm="1">
        <f t="array" ref="BM49:BN49">+LINEST(BM45:BM47,BL45:BL47^{1})</f>
        <v>0</v>
      </c>
      <c r="BN49" s="34">
        <v>0</v>
      </c>
      <c r="BP49" s="33" t="e">
        <f>+NOT(BP48)*1</f>
        <v>#DIV/0!</v>
      </c>
    </row>
    <row r="50" spans="1:68" x14ac:dyDescent="0.25">
      <c r="A50" s="7"/>
      <c r="B50" s="11"/>
      <c r="C50" s="11"/>
      <c r="D50" s="11"/>
      <c r="E50" s="12"/>
      <c r="F50" s="12"/>
      <c r="G50" s="12"/>
      <c r="H50" s="16"/>
      <c r="I50" s="16"/>
      <c r="J50" s="12"/>
      <c r="K50" s="12"/>
      <c r="L50" s="13"/>
      <c r="M50" s="36"/>
      <c r="N50" s="36"/>
      <c r="P50" s="42"/>
      <c r="Q50" s="42"/>
      <c r="R50" s="42"/>
      <c r="S50" s="14"/>
      <c r="U50" s="14"/>
      <c r="W50" s="14"/>
      <c r="X50" s="12"/>
      <c r="Y50" s="12"/>
      <c r="AA50" s="12" t="s">
        <v>52</v>
      </c>
      <c r="AC50" s="34" t="e">
        <f>+SUMPRODUCT(AC48:AC49,AG48:AG49)</f>
        <v>#DIV/0!</v>
      </c>
      <c r="AD50" s="34" t="e">
        <f>+SUMPRODUCT(AD48:AD49,AG48:AG49)</f>
        <v>#DIV/0!</v>
      </c>
      <c r="AE50" s="34" t="e">
        <f>+SUMPRODUCT(AE48:AE49,AG48:AG49)</f>
        <v>#DIV/0!</v>
      </c>
      <c r="AJ50" s="34" t="e">
        <f>+SUMPRODUCT(AJ48:AJ49,AN48:AN49)</f>
        <v>#DIV/0!</v>
      </c>
      <c r="AK50" s="34" t="e">
        <f>+SUMPRODUCT(AK48:AK49,AN48:AN49)</f>
        <v>#DIV/0!</v>
      </c>
      <c r="AL50" s="34" t="e">
        <f>+SUMPRODUCT(AL48:AL49,AN48:AN49)</f>
        <v>#DIV/0!</v>
      </c>
      <c r="AQ50" s="34" t="e">
        <f>+SUMPRODUCT(AQ48:AQ49,AU48:AU49)</f>
        <v>#DIV/0!</v>
      </c>
      <c r="AR50" s="34" t="e">
        <f>+SUMPRODUCT(AR48:AR49,AU48:AU49)</f>
        <v>#DIV/0!</v>
      </c>
      <c r="AS50" s="34" t="e">
        <f>+SUMPRODUCT(AS48:AS49,AU48:AU49)</f>
        <v>#DIV/0!</v>
      </c>
      <c r="AX50" s="34" t="e">
        <f>+SUMPRODUCT(AX48:AX49,BB48:BB49)</f>
        <v>#DIV/0!</v>
      </c>
      <c r="AY50" s="34" t="e">
        <f>+SUMPRODUCT(AY48:AY49,BB48:BB49)</f>
        <v>#DIV/0!</v>
      </c>
      <c r="AZ50" s="34" t="e">
        <f>+SUMPRODUCT(AZ48:AZ49,BB48:BB49)</f>
        <v>#DIV/0!</v>
      </c>
      <c r="BE50" s="34" t="e">
        <f>+SUMPRODUCT(BE48:BE49,BI48:BI49)</f>
        <v>#DIV/0!</v>
      </c>
      <c r="BF50" s="34" t="e">
        <f>+SUMPRODUCT(BF48:BF49,BI48:BI49)</f>
        <v>#DIV/0!</v>
      </c>
      <c r="BG50" s="34" t="e">
        <f>+SUMPRODUCT(BG48:BG49,BI48:BI49)</f>
        <v>#DIV/0!</v>
      </c>
      <c r="BL50" s="34" t="e">
        <f>+SUMPRODUCT(BL48:BL49,BP48:BP49)</f>
        <v>#DIV/0!</v>
      </c>
      <c r="BM50" s="34" t="e">
        <f>+SUMPRODUCT(BM48:BM49,BP48:BP49)</f>
        <v>#DIV/0!</v>
      </c>
      <c r="BN50" s="34" t="e">
        <f>+SUMPRODUCT(BN48:BN49,BP48:BP49)</f>
        <v>#DIV/0!</v>
      </c>
    </row>
    <row r="51" spans="1:68" x14ac:dyDescent="0.25">
      <c r="AA51" s="12"/>
    </row>
    <row r="52" spans="1:68" x14ac:dyDescent="0.25">
      <c r="E52" s="1"/>
      <c r="F52" s="1"/>
      <c r="G52" s="1"/>
      <c r="X52" s="1">
        <v>1000</v>
      </c>
      <c r="Y52" s="1">
        <v>1000</v>
      </c>
      <c r="AA52" s="12"/>
    </row>
    <row r="53" spans="1:68" x14ac:dyDescent="0.25">
      <c r="A53" t="s">
        <v>53</v>
      </c>
      <c r="B53" s="45">
        <v>100000</v>
      </c>
      <c r="AA53" s="12"/>
    </row>
    <row r="54" spans="1:68" x14ac:dyDescent="0.25">
      <c r="A54" t="s">
        <v>54</v>
      </c>
      <c r="B54" s="45">
        <v>150000</v>
      </c>
      <c r="AA54" s="12"/>
    </row>
    <row r="55" spans="1:68" x14ac:dyDescent="0.25">
      <c r="AA55" s="12"/>
    </row>
    <row r="56" spans="1:68" x14ac:dyDescent="0.25">
      <c r="A56" t="s">
        <v>105</v>
      </c>
      <c r="B56">
        <v>1000</v>
      </c>
      <c r="AA56" s="12"/>
    </row>
    <row r="57" spans="1:68" x14ac:dyDescent="0.25">
      <c r="A57" t="s">
        <v>106</v>
      </c>
      <c r="B57">
        <v>0</v>
      </c>
      <c r="AA57" s="12"/>
    </row>
    <row r="58" spans="1:68" x14ac:dyDescent="0.25">
      <c r="AA58" s="12"/>
    </row>
    <row r="59" spans="1:68" x14ac:dyDescent="0.25">
      <c r="B59" s="17"/>
      <c r="C59" s="17"/>
      <c r="E59" s="17"/>
      <c r="F59" s="17"/>
      <c r="AA59" s="12"/>
    </row>
    <row r="60" spans="1:68" x14ac:dyDescent="0.25">
      <c r="B60" s="18"/>
      <c r="C60" s="18"/>
      <c r="AA60" s="12"/>
    </row>
    <row r="61" spans="1:68" x14ac:dyDescent="0.25">
      <c r="B61" s="17"/>
      <c r="C61" s="17"/>
      <c r="E61" s="17"/>
      <c r="F61" s="17"/>
      <c r="AA61" s="12"/>
    </row>
    <row r="62" spans="1:68" x14ac:dyDescent="0.25">
      <c r="AA62" s="12"/>
    </row>
    <row r="63" spans="1:68" x14ac:dyDescent="0.25">
      <c r="AA63" s="12"/>
    </row>
    <row r="64" spans="1:68" x14ac:dyDescent="0.25">
      <c r="B64" s="17"/>
      <c r="C64" s="17"/>
      <c r="E64" s="17"/>
      <c r="F64" s="17"/>
      <c r="AA64" s="12"/>
    </row>
    <row r="68" spans="2:7" x14ac:dyDescent="0.25">
      <c r="B68" s="17"/>
      <c r="C68" s="17"/>
      <c r="F68" s="17"/>
      <c r="G68" s="17"/>
    </row>
    <row r="90" spans="1:9" x14ac:dyDescent="0.25">
      <c r="A90" s="3"/>
    </row>
    <row r="91" spans="1:9" x14ac:dyDescent="0.25">
      <c r="B91" s="17"/>
      <c r="C91" s="17"/>
      <c r="D91" s="2"/>
      <c r="E91" s="2"/>
      <c r="F91" s="17"/>
      <c r="G91" s="17"/>
      <c r="H91" s="14"/>
      <c r="I91" s="14"/>
    </row>
    <row r="94" spans="1:9" x14ac:dyDescent="0.25">
      <c r="A94" s="3"/>
    </row>
    <row r="95" spans="1:9" x14ac:dyDescent="0.25">
      <c r="B95" s="17"/>
      <c r="C95" s="17"/>
      <c r="D95" s="2"/>
      <c r="E95" s="2"/>
      <c r="F95" s="17"/>
      <c r="G95" s="17"/>
      <c r="H95" s="14"/>
      <c r="I95" s="14"/>
    </row>
  </sheetData>
  <mergeCells count="33">
    <mergeCell ref="B1:D1"/>
    <mergeCell ref="E1:G1"/>
    <mergeCell ref="H1:I1"/>
    <mergeCell ref="J1:K1"/>
    <mergeCell ref="L1:N1"/>
    <mergeCell ref="BS31:BX31"/>
    <mergeCell ref="BZ31:CE31"/>
    <mergeCell ref="AC44:AH44"/>
    <mergeCell ref="AJ44:AO44"/>
    <mergeCell ref="AQ44:AV44"/>
    <mergeCell ref="AX44:BC44"/>
    <mergeCell ref="BE44:BJ44"/>
    <mergeCell ref="BL44:BQ44"/>
    <mergeCell ref="AC31:AH31"/>
    <mergeCell ref="AJ31:AO31"/>
    <mergeCell ref="AQ31:AV31"/>
    <mergeCell ref="AX31:BC31"/>
    <mergeCell ref="BE31:BJ31"/>
    <mergeCell ref="BL31:BQ31"/>
    <mergeCell ref="BL20:BQ20"/>
    <mergeCell ref="AC2:AH2"/>
    <mergeCell ref="AJ2:AO2"/>
    <mergeCell ref="AQ2:AV2"/>
    <mergeCell ref="AX2:BC2"/>
    <mergeCell ref="AC11:AH11"/>
    <mergeCell ref="AJ11:AO11"/>
    <mergeCell ref="AQ11:AV11"/>
    <mergeCell ref="AX11:BC11"/>
    <mergeCell ref="AC20:AH20"/>
    <mergeCell ref="AJ20:AO20"/>
    <mergeCell ref="AQ20:AV20"/>
    <mergeCell ref="AX20:BC20"/>
    <mergeCell ref="BE20:BJ20"/>
  </mergeCell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3BAB-E324-4A12-BC9B-E85BA2ECB61A}">
  <sheetPr>
    <tabColor rgb="FFFFFF00"/>
  </sheetPr>
  <dimension ref="A1:CE95"/>
  <sheetViews>
    <sheetView topLeftCell="A19" workbookViewId="0">
      <selection activeCell="M37" sqref="M37"/>
    </sheetView>
  </sheetViews>
  <sheetFormatPr defaultRowHeight="15" x14ac:dyDescent="0.25"/>
  <cols>
    <col min="1" max="1" width="30.7109375" customWidth="1"/>
    <col min="2" max="2" width="7.42578125" customWidth="1"/>
    <col min="3" max="3" width="6.140625" bestFit="1" customWidth="1"/>
    <col min="4" max="4" width="7.42578125" bestFit="1" customWidth="1"/>
    <col min="5" max="5" width="9.28515625" bestFit="1" customWidth="1"/>
    <col min="6" max="6" width="8.85546875" customWidth="1"/>
    <col min="7" max="7" width="8.5703125" customWidth="1"/>
    <col min="8" max="8" width="8.140625" customWidth="1"/>
    <col min="9" max="9" width="8.28515625" customWidth="1"/>
    <col min="10" max="10" width="8.85546875" customWidth="1"/>
    <col min="11" max="11" width="9.42578125" customWidth="1"/>
    <col min="12" max="14" width="8.140625" customWidth="1"/>
    <col min="15" max="15" width="3.140625" customWidth="1"/>
    <col min="16" max="18" width="8.7109375" customWidth="1"/>
    <col min="19" max="23" width="10.7109375" customWidth="1"/>
    <col min="24" max="24" width="11.42578125" customWidth="1"/>
    <col min="25" max="25" width="9.7109375" customWidth="1"/>
    <col min="26" max="26" width="4" customWidth="1"/>
    <col min="27" max="27" width="50.28515625" hidden="1" customWidth="1"/>
    <col min="28" max="28" width="3.42578125" hidden="1" customWidth="1"/>
    <col min="30" max="30" width="10" bestFit="1" customWidth="1"/>
    <col min="31" max="32" width="10" customWidth="1"/>
    <col min="35" max="35" width="2.7109375" customWidth="1"/>
    <col min="37" max="37" width="10" bestFit="1" customWidth="1"/>
    <col min="38" max="39" width="10" customWidth="1"/>
    <col min="42" max="42" width="3.85546875" customWidth="1"/>
    <col min="44" max="44" width="10" bestFit="1" customWidth="1"/>
    <col min="45" max="46" width="10" customWidth="1"/>
    <col min="49" max="49" width="3" customWidth="1"/>
    <col min="51" max="51" width="10" bestFit="1" customWidth="1"/>
    <col min="52" max="53" width="10" customWidth="1"/>
    <col min="56" max="56" width="3.140625" customWidth="1"/>
    <col min="57" max="57" width="8.7109375" customWidth="1"/>
    <col min="58" max="58" width="10" bestFit="1" customWidth="1"/>
    <col min="63" max="63" width="3.42578125" customWidth="1"/>
    <col min="64" max="64" width="9.140625" customWidth="1"/>
    <col min="65" max="65" width="10" bestFit="1" customWidth="1"/>
    <col min="66" max="66" width="9.5703125" customWidth="1"/>
    <col min="70" max="70" width="4" customWidth="1"/>
    <col min="77" max="77" width="3.42578125" customWidth="1"/>
  </cols>
  <sheetData>
    <row r="1" spans="1:66" ht="39.75" customHeight="1" x14ac:dyDescent="0.25">
      <c r="A1" s="3"/>
      <c r="B1" s="95" t="s">
        <v>229</v>
      </c>
      <c r="C1" s="95"/>
      <c r="D1" s="95"/>
      <c r="E1" s="95" t="s">
        <v>228</v>
      </c>
      <c r="F1" s="95"/>
      <c r="G1" s="95"/>
      <c r="H1" s="95" t="s">
        <v>230</v>
      </c>
      <c r="I1" s="95"/>
      <c r="J1" s="95" t="s">
        <v>156</v>
      </c>
      <c r="K1" s="95"/>
      <c r="L1" s="95" t="s">
        <v>157</v>
      </c>
      <c r="M1" s="95"/>
      <c r="N1" s="95"/>
      <c r="O1" s="3"/>
      <c r="X1" s="6" t="s">
        <v>8</v>
      </c>
      <c r="Y1" s="6" t="s">
        <v>9</v>
      </c>
    </row>
    <row r="2" spans="1:66" ht="36" customHeight="1" x14ac:dyDescent="0.25">
      <c r="A2" s="7" t="s">
        <v>133</v>
      </c>
      <c r="B2" s="8" t="s">
        <v>1</v>
      </c>
      <c r="C2" s="8" t="s">
        <v>3</v>
      </c>
      <c r="D2" s="8" t="s">
        <v>4</v>
      </c>
      <c r="E2" s="8" t="s">
        <v>1</v>
      </c>
      <c r="F2" s="8" t="s">
        <v>152</v>
      </c>
      <c r="G2" s="8" t="s">
        <v>153</v>
      </c>
      <c r="H2" s="8" t="s">
        <v>154</v>
      </c>
      <c r="I2" s="8" t="s">
        <v>155</v>
      </c>
      <c r="J2" s="8" t="s">
        <v>154</v>
      </c>
      <c r="K2" s="8" t="s">
        <v>155</v>
      </c>
      <c r="L2" s="8" t="s">
        <v>10</v>
      </c>
      <c r="M2" s="8" t="s">
        <v>11</v>
      </c>
      <c r="N2" s="8" t="s">
        <v>12</v>
      </c>
      <c r="P2" s="36" t="s">
        <v>5</v>
      </c>
      <c r="Q2" s="36" t="s">
        <v>6</v>
      </c>
      <c r="R2" s="36" t="s">
        <v>7</v>
      </c>
      <c r="S2" s="9" t="s">
        <v>10</v>
      </c>
      <c r="T2" s="9" t="s">
        <v>13</v>
      </c>
      <c r="U2" s="9" t="s">
        <v>14</v>
      </c>
      <c r="V2" s="9" t="s">
        <v>15</v>
      </c>
      <c r="W2" s="9" t="s">
        <v>16</v>
      </c>
      <c r="X2" s="9" t="s">
        <v>17</v>
      </c>
      <c r="Y2" s="9" t="s">
        <v>18</v>
      </c>
      <c r="AC2" s="93" t="str">
        <f>+A4</f>
        <v>Neutropenia - Adverse event cost</v>
      </c>
      <c r="AD2" s="93"/>
      <c r="AE2" s="93"/>
      <c r="AF2" s="93"/>
      <c r="AG2" s="93"/>
      <c r="AH2" s="93"/>
      <c r="AJ2" s="93">
        <f>+A5</f>
        <v>0</v>
      </c>
      <c r="AK2" s="93"/>
      <c r="AL2" s="93"/>
      <c r="AM2" s="93"/>
      <c r="AN2" s="93"/>
      <c r="AO2" s="93"/>
      <c r="AQ2" s="93">
        <f>+A6</f>
        <v>0</v>
      </c>
      <c r="AR2" s="93"/>
      <c r="AS2" s="93"/>
      <c r="AT2" s="93"/>
      <c r="AU2" s="93"/>
      <c r="AV2" s="93"/>
      <c r="AX2" s="93">
        <f>+A7</f>
        <v>0</v>
      </c>
      <c r="AY2" s="93"/>
      <c r="AZ2" s="93"/>
      <c r="BA2" s="93"/>
      <c r="BB2" s="93"/>
      <c r="BC2" s="93"/>
    </row>
    <row r="3" spans="1:66" x14ac:dyDescent="0.25">
      <c r="A3" s="10" t="s">
        <v>210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P3" s="33"/>
      <c r="Q3" s="33"/>
      <c r="R3" s="33"/>
      <c r="BN3" s="2"/>
    </row>
    <row r="4" spans="1:66" x14ac:dyDescent="0.25">
      <c r="A4" s="7" t="s">
        <v>72</v>
      </c>
      <c r="B4" s="12">
        <f>+C4+((E4-F4)/(G4-F4))*(D4-C4)</f>
        <v>64259.514550609245</v>
      </c>
      <c r="C4" s="51">
        <f>+'ICER Fig 5pt2'!D8</f>
        <v>1.48</v>
      </c>
      <c r="D4" s="12">
        <f>+'ICER Fig 5pt2'!E8</f>
        <v>77892</v>
      </c>
      <c r="E4" s="12">
        <f>CE_BC_olaparib_BRCA</f>
        <v>146210</v>
      </c>
      <c r="F4" s="12">
        <f>+'ICER Fig 5pt2'!B8</f>
        <v>118857</v>
      </c>
      <c r="G4" s="12">
        <f>+'ICER Fig 5pt2'!C8</f>
        <v>152013</v>
      </c>
      <c r="H4" s="12">
        <v>10636</v>
      </c>
      <c r="I4" s="12">
        <v>16850</v>
      </c>
      <c r="J4" s="12">
        <f>+AH5</f>
        <v>123383.84287022348</v>
      </c>
      <c r="K4" s="12">
        <f>+AH6</f>
        <v>126028.9835625696</v>
      </c>
      <c r="L4" s="13">
        <f>+S4</f>
        <v>9.0559157443509883E-2</v>
      </c>
      <c r="M4" s="36" t="str">
        <f t="shared" ref="M4:N4" si="0">+IF(X4,"YES","NO")</f>
        <v>NO</v>
      </c>
      <c r="N4" s="36" t="str">
        <f t="shared" si="0"/>
        <v>NO</v>
      </c>
      <c r="P4" s="42">
        <f>+MIN(E4,J4,K4)</f>
        <v>123383.84287022348</v>
      </c>
      <c r="Q4" s="42">
        <f>+MEDIAN(E4,J4,K4)</f>
        <v>126028.9835625696</v>
      </c>
      <c r="R4" s="42">
        <f>+MAX(E4,J4,K4)</f>
        <v>146210</v>
      </c>
      <c r="S4" s="14">
        <f>+AVERAGE((Q4-P4)/Q4,(R4-Q4)/Q4)</f>
        <v>9.0559157443509883E-2</v>
      </c>
      <c r="T4" t="b">
        <f>+AND(E4&lt;=Benchmark1,J4&lt;=Benchmark1,K4&lt;=Benchmark1)</f>
        <v>0</v>
      </c>
      <c r="U4" s="14" t="b">
        <f>+AND(E4&gt;Benchmark1,J4&gt;Benchmark1,K4&gt;Benchmark1)</f>
        <v>1</v>
      </c>
      <c r="V4" t="b">
        <f>+AND(E4&lt;=Benchmark2,J4&lt;=Benchmark2,K4&lt;=Benchmark2)</f>
        <v>1</v>
      </c>
      <c r="W4" s="14" t="b">
        <f>+AND(E4&gt;Benchmark2,J4&gt;Benchmark2,K4&gt;Benchmark2)</f>
        <v>0</v>
      </c>
      <c r="X4" s="12" t="b">
        <f>+AND(NOT(T4),NOT(U4))</f>
        <v>0</v>
      </c>
      <c r="Y4" s="12" t="b">
        <f>+AND(NOT(V4),NOT(W4))</f>
        <v>0</v>
      </c>
      <c r="AA4" s="12" t="s">
        <v>158</v>
      </c>
      <c r="AC4" s="31">
        <f>+B4</f>
        <v>64259.514550609245</v>
      </c>
      <c r="AD4" s="32">
        <f>+E4</f>
        <v>146210</v>
      </c>
      <c r="AE4" s="32"/>
      <c r="AF4" s="32" t="s">
        <v>149</v>
      </c>
      <c r="AG4" s="35">
        <f>-AD7/(2*AC7)</f>
        <v>-1.281951154184451E+20</v>
      </c>
      <c r="AH4" s="35"/>
      <c r="AJ4" s="31">
        <f>+B5</f>
        <v>0</v>
      </c>
      <c r="AK4" s="32">
        <f>+E5</f>
        <v>0</v>
      </c>
      <c r="AL4" s="32"/>
      <c r="AM4" s="32" t="s">
        <v>149</v>
      </c>
      <c r="AN4" s="35" t="e">
        <f>-AK7/(2*AJ7)</f>
        <v>#DIV/0!</v>
      </c>
      <c r="AO4" s="35"/>
      <c r="AQ4" s="31">
        <f>+B6</f>
        <v>0</v>
      </c>
      <c r="AR4" s="32">
        <f>+E6</f>
        <v>0</v>
      </c>
      <c r="AS4" s="32"/>
      <c r="AT4" s="32" t="s">
        <v>149</v>
      </c>
      <c r="AU4" s="35" t="e">
        <f>-AR7/(2*AQ7)</f>
        <v>#DIV/0!</v>
      </c>
      <c r="AV4" s="35"/>
      <c r="AX4" s="31">
        <f>+B7</f>
        <v>0</v>
      </c>
      <c r="AY4" s="32">
        <f>+E7</f>
        <v>0</v>
      </c>
      <c r="AZ4" s="32"/>
      <c r="BA4" s="32" t="s">
        <v>149</v>
      </c>
      <c r="BB4" s="35" t="e">
        <f>-AY7/(2*AX7)</f>
        <v>#DIV/0!</v>
      </c>
      <c r="BC4" s="35"/>
      <c r="BN4" s="2"/>
    </row>
    <row r="5" spans="1:66" x14ac:dyDescent="0.25">
      <c r="A5" s="7"/>
      <c r="B5" s="11"/>
      <c r="C5" s="11"/>
      <c r="D5" s="11"/>
      <c r="E5" s="12"/>
      <c r="F5" s="12"/>
      <c r="G5" s="12"/>
      <c r="H5" s="2"/>
      <c r="I5" s="2"/>
      <c r="J5" s="12"/>
      <c r="K5" s="12"/>
      <c r="L5" s="13"/>
      <c r="M5" s="36"/>
      <c r="N5" s="36"/>
      <c r="P5" s="42"/>
      <c r="Q5" s="42"/>
      <c r="R5" s="42"/>
      <c r="S5" s="14"/>
      <c r="U5" s="14"/>
      <c r="W5" s="14"/>
      <c r="X5" s="12"/>
      <c r="Y5" s="12"/>
      <c r="AA5" s="12" t="s">
        <v>159</v>
      </c>
      <c r="AC5" s="31">
        <f>+C4</f>
        <v>1.48</v>
      </c>
      <c r="AD5" s="32">
        <f>+F4</f>
        <v>118857</v>
      </c>
      <c r="AE5" s="32"/>
      <c r="AF5" s="32" t="s">
        <v>150</v>
      </c>
      <c r="AG5" s="35">
        <f>+H4</f>
        <v>10636</v>
      </c>
      <c r="AH5" s="32">
        <f>+AC9*AG5^2+AD9*AG5+AE9</f>
        <v>123383.84287022348</v>
      </c>
      <c r="AJ5" s="31">
        <f>+C5</f>
        <v>0</v>
      </c>
      <c r="AK5" s="32">
        <f>+F5</f>
        <v>0</v>
      </c>
      <c r="AL5" s="32"/>
      <c r="AM5" s="32" t="s">
        <v>150</v>
      </c>
      <c r="AN5" s="35">
        <f>+H5</f>
        <v>0</v>
      </c>
      <c r="AO5" s="32" t="e">
        <f>+AJ9*AN5^2+AK9*AN5+AL9</f>
        <v>#DIV/0!</v>
      </c>
      <c r="AQ5" s="31">
        <f>+C6</f>
        <v>0</v>
      </c>
      <c r="AR5" s="32">
        <f>+F6</f>
        <v>0</v>
      </c>
      <c r="AS5" s="32"/>
      <c r="AT5" s="32" t="s">
        <v>150</v>
      </c>
      <c r="AU5" s="35">
        <f>+H6</f>
        <v>0</v>
      </c>
      <c r="AV5" s="32" t="e">
        <f>+AQ9*AU5^2+AR9*AU5+AS9</f>
        <v>#DIV/0!</v>
      </c>
      <c r="AX5" s="31">
        <f>+C7</f>
        <v>0</v>
      </c>
      <c r="AY5" s="32">
        <f>+F7</f>
        <v>0</v>
      </c>
      <c r="AZ5" s="32"/>
      <c r="BA5" s="32" t="s">
        <v>150</v>
      </c>
      <c r="BB5" s="35">
        <f>+H7</f>
        <v>0</v>
      </c>
      <c r="BC5" s="32" t="e">
        <f>+AX9*BB5^2+AY9*BB5+AZ9</f>
        <v>#DIV/0!</v>
      </c>
      <c r="BN5" s="2"/>
    </row>
    <row r="6" spans="1:66" x14ac:dyDescent="0.25">
      <c r="A6" s="7"/>
      <c r="B6" s="11"/>
      <c r="C6" s="11"/>
      <c r="D6" s="11"/>
      <c r="E6" s="12"/>
      <c r="F6" s="12"/>
      <c r="G6" s="12"/>
      <c r="H6" s="11"/>
      <c r="I6" s="11"/>
      <c r="J6" s="12"/>
      <c r="K6" s="12"/>
      <c r="L6" s="13"/>
      <c r="M6" s="36"/>
      <c r="N6" s="36"/>
      <c r="P6" s="42"/>
      <c r="Q6" s="42"/>
      <c r="R6" s="42"/>
      <c r="S6" s="14"/>
      <c r="U6" s="14"/>
      <c r="W6" s="14"/>
      <c r="X6" s="12"/>
      <c r="Y6" s="12"/>
      <c r="AA6" s="12" t="s">
        <v>160</v>
      </c>
      <c r="AC6" s="31">
        <f>+D4</f>
        <v>77892</v>
      </c>
      <c r="AD6" s="32">
        <f>+G4</f>
        <v>152013</v>
      </c>
      <c r="AE6" s="32"/>
      <c r="AF6" s="32" t="s">
        <v>151</v>
      </c>
      <c r="AG6" s="35">
        <f>+I4</f>
        <v>16850</v>
      </c>
      <c r="AH6" s="32">
        <f>+AC9*AG6^2+AD9*AG6+AE9</f>
        <v>126028.9835625696</v>
      </c>
      <c r="AJ6" s="31">
        <f>+D5</f>
        <v>0</v>
      </c>
      <c r="AK6" s="32">
        <f>+G5</f>
        <v>0</v>
      </c>
      <c r="AL6" s="32"/>
      <c r="AM6" s="32" t="s">
        <v>151</v>
      </c>
      <c r="AN6" s="35">
        <f>+I5</f>
        <v>0</v>
      </c>
      <c r="AO6" s="32" t="e">
        <f>+AJ9*AN6^2+AK9*AN6+AL9</f>
        <v>#DIV/0!</v>
      </c>
      <c r="AQ6" s="31">
        <f>+D6</f>
        <v>0</v>
      </c>
      <c r="AR6" s="32">
        <f>+G6</f>
        <v>0</v>
      </c>
      <c r="AS6" s="32"/>
      <c r="AT6" s="32" t="s">
        <v>151</v>
      </c>
      <c r="AU6" s="35">
        <f>+I6</f>
        <v>0</v>
      </c>
      <c r="AV6" s="32" t="e">
        <f>+AQ9*AU6^2+AR9*AU6+AS9</f>
        <v>#DIV/0!</v>
      </c>
      <c r="AX6" s="31">
        <f>+D7</f>
        <v>0</v>
      </c>
      <c r="AY6" s="32">
        <f>+G7</f>
        <v>0</v>
      </c>
      <c r="AZ6" s="32"/>
      <c r="BA6" s="32" t="s">
        <v>151</v>
      </c>
      <c r="BB6" s="35">
        <f>+I7</f>
        <v>0</v>
      </c>
      <c r="BC6" s="32" t="e">
        <f>+AX9*BB6^2+AY9*BB6+AZ9</f>
        <v>#DIV/0!</v>
      </c>
      <c r="BN6" s="2"/>
    </row>
    <row r="7" spans="1:66" x14ac:dyDescent="0.25">
      <c r="A7" s="7"/>
      <c r="B7" s="11"/>
      <c r="C7" s="11"/>
      <c r="D7" s="11"/>
      <c r="E7" s="12"/>
      <c r="F7" s="12"/>
      <c r="G7" s="12"/>
      <c r="H7" s="11"/>
      <c r="I7" s="11"/>
      <c r="J7" s="12"/>
      <c r="K7" s="12"/>
      <c r="L7" s="13"/>
      <c r="M7" s="36"/>
      <c r="N7" s="36"/>
      <c r="P7" s="42"/>
      <c r="Q7" s="42"/>
      <c r="R7" s="42"/>
      <c r="S7" s="14"/>
      <c r="U7" s="14"/>
      <c r="W7" s="14"/>
      <c r="X7" s="12"/>
      <c r="Y7" s="12"/>
      <c r="AA7" s="12" t="s">
        <v>161</v>
      </c>
      <c r="AC7" s="34" cm="1">
        <f t="array" ref="AC7:AE7">+LINEST(AD4:AD6,AC4:AC6^{1,2})</f>
        <v>1.6602598074926984E-21</v>
      </c>
      <c r="AD7" s="34">
        <v>0.42567439529226386</v>
      </c>
      <c r="AE7" s="34">
        <v>118856.37000189496</v>
      </c>
      <c r="AG7" s="33">
        <f>+OR(AG4=MIN(AG4:AG6,AC4:AC6),AG4=MAX(AG4:AG6,AC4:AC6))*1</f>
        <v>1</v>
      </c>
      <c r="AI7" s="5"/>
      <c r="AJ7" s="34" cm="1">
        <f t="array" ref="AJ7:AL7">+LINEST(AK4:AK6,AJ4:AJ6^{1,2})</f>
        <v>0</v>
      </c>
      <c r="AK7" s="34">
        <v>0</v>
      </c>
      <c r="AL7" s="34">
        <v>0</v>
      </c>
      <c r="AM7" s="34"/>
      <c r="AN7" s="33" t="e">
        <f>+OR(AN4=MIN(AN4:AN6,AJ4:AJ6),AN4=MAX(AN4:AN6,AJ4:AJ6))*1</f>
        <v>#DIV/0!</v>
      </c>
      <c r="AQ7" s="34" cm="1">
        <f t="array" ref="AQ7:AS7">+LINEST(AR4:AR6,AQ4:AQ6^{1,2})</f>
        <v>0</v>
      </c>
      <c r="AR7" s="34">
        <v>0</v>
      </c>
      <c r="AS7" s="34">
        <v>0</v>
      </c>
      <c r="AT7" s="34"/>
      <c r="AU7" s="33" t="e">
        <f>+OR(AU4=MIN(AU4:AU6,AQ4:AQ6),AU4=MAX(AU4:AU6,AQ4:AQ6))*1</f>
        <v>#DIV/0!</v>
      </c>
      <c r="AX7" s="34" cm="1">
        <f t="array" ref="AX7:AZ7">+LINEST(AY4:AY6,AX4:AX6^{1,2})</f>
        <v>0</v>
      </c>
      <c r="AY7" s="34">
        <v>0</v>
      </c>
      <c r="AZ7" s="34">
        <v>0</v>
      </c>
      <c r="BA7" s="34"/>
      <c r="BB7" s="33" t="e">
        <f>+OR(BB4=MIN(BB4:BB6,AX4:AX6),BB4=MAX(BB4:BB6,AX4:AX6))*1</f>
        <v>#DIV/0!</v>
      </c>
      <c r="BN7" s="2"/>
    </row>
    <row r="8" spans="1:66" x14ac:dyDescent="0.25">
      <c r="A8" s="7"/>
      <c r="B8" s="11"/>
      <c r="C8" s="11"/>
      <c r="D8" s="15"/>
      <c r="E8" s="7"/>
      <c r="F8" s="7"/>
      <c r="G8" s="7"/>
      <c r="H8" s="11"/>
      <c r="I8" s="11"/>
      <c r="J8" s="7"/>
      <c r="K8" s="7"/>
      <c r="L8" s="7"/>
      <c r="P8" s="33"/>
      <c r="Q8" s="33"/>
      <c r="R8" s="33"/>
      <c r="X8" s="7"/>
      <c r="Y8" s="7"/>
      <c r="AA8" s="12"/>
      <c r="AD8" s="34" cm="1">
        <f t="array" ref="AD8:AE8">+LINEST(AD4:AD6,AC4:AC6^{1})</f>
        <v>0.4256743952922642</v>
      </c>
      <c r="AE8" s="34">
        <v>118856.37000189495</v>
      </c>
      <c r="AG8" s="33">
        <f>+NOT(AG7)*1</f>
        <v>0</v>
      </c>
      <c r="AK8" s="34" cm="1">
        <f t="array" ref="AK8:AL8">+LINEST(AK4:AK6,AJ4:AJ6^{1})</f>
        <v>0</v>
      </c>
      <c r="AL8" s="34">
        <v>0</v>
      </c>
      <c r="AM8" s="34"/>
      <c r="AN8" s="33" t="e">
        <f>+NOT(AN7)*1</f>
        <v>#DIV/0!</v>
      </c>
      <c r="AR8" s="34" cm="1">
        <f t="array" ref="AR8:AS8">+LINEST(AR4:AR6,AQ4:AQ6^{1})</f>
        <v>0</v>
      </c>
      <c r="AS8" s="34">
        <v>0</v>
      </c>
      <c r="AT8" s="34"/>
      <c r="AU8" s="33" t="e">
        <f>+NOT(AU7)*1</f>
        <v>#DIV/0!</v>
      </c>
      <c r="AY8" s="34" cm="1">
        <f t="array" ref="AY8:AZ8">+LINEST(AY4:AY6,AX4:AX6^{1})</f>
        <v>0</v>
      </c>
      <c r="AZ8" s="34">
        <v>0</v>
      </c>
      <c r="BA8" s="34"/>
      <c r="BB8" s="33" t="e">
        <f>+NOT(BB7)*1</f>
        <v>#DIV/0!</v>
      </c>
      <c r="BN8" s="2"/>
    </row>
    <row r="9" spans="1:66" x14ac:dyDescent="0.25">
      <c r="A9" s="7"/>
      <c r="B9" s="11"/>
      <c r="C9" s="11"/>
      <c r="D9" s="15"/>
      <c r="E9" s="7"/>
      <c r="F9" s="7"/>
      <c r="G9" s="7"/>
      <c r="H9" s="11"/>
      <c r="I9" s="11"/>
      <c r="J9" s="7"/>
      <c r="K9" s="7"/>
      <c r="L9" s="7"/>
      <c r="P9" s="33"/>
      <c r="Q9" s="33"/>
      <c r="R9" s="33"/>
      <c r="X9" s="7"/>
      <c r="Y9" s="7"/>
      <c r="AA9" s="12"/>
      <c r="AC9" s="34">
        <f>+SUMPRODUCT(AC7:AC8,AG7:AG8)</f>
        <v>1.6602598074926984E-21</v>
      </c>
      <c r="AD9" s="34">
        <f>+SUMPRODUCT(AD7:AD8,AG7:AG8)</f>
        <v>0.42567439529226386</v>
      </c>
      <c r="AE9" s="34">
        <f>+SUMPRODUCT(AE7:AE8,AG7:AG8)</f>
        <v>118856.37000189496</v>
      </c>
      <c r="AJ9" s="34" t="e">
        <f>+SUMPRODUCT(AJ7:AJ8,AN7:AN8)</f>
        <v>#DIV/0!</v>
      </c>
      <c r="AK9" s="34" t="e">
        <f>+SUMPRODUCT(AK7:AK8,AN7:AN8)</f>
        <v>#DIV/0!</v>
      </c>
      <c r="AL9" s="34" t="e">
        <f>+SUMPRODUCT(AL7:AL8,AN7:AN8)</f>
        <v>#DIV/0!</v>
      </c>
      <c r="AQ9" s="34" t="e">
        <f>+SUMPRODUCT(AQ7:AQ8,AU7:AU8)</f>
        <v>#DIV/0!</v>
      </c>
      <c r="AR9" s="34" t="e">
        <f>+SUMPRODUCT(AR7:AR8,AU7:AU8)</f>
        <v>#DIV/0!</v>
      </c>
      <c r="AS9" s="34" t="e">
        <f>+SUMPRODUCT(AS7:AS8,AU7:AU8)</f>
        <v>#DIV/0!</v>
      </c>
      <c r="AV9" s="4"/>
      <c r="AX9" s="34" t="e">
        <f>+SUMPRODUCT(AX7:AX8,BB7:BB8)</f>
        <v>#DIV/0!</v>
      </c>
      <c r="AY9" s="34" t="e">
        <f>+SUMPRODUCT(AY7:AY8,BB7:BB8)</f>
        <v>#DIV/0!</v>
      </c>
      <c r="AZ9" s="34" t="e">
        <f>+SUMPRODUCT(AZ7:AZ8,BB7:BB8)</f>
        <v>#DIV/0!</v>
      </c>
      <c r="BN9" s="2"/>
    </row>
    <row r="10" spans="1:66" x14ac:dyDescent="0.25">
      <c r="A10" s="7" t="s">
        <v>145</v>
      </c>
      <c r="B10" s="11"/>
      <c r="C10" s="11"/>
      <c r="D10" s="15"/>
      <c r="E10" s="7"/>
      <c r="F10" s="7"/>
      <c r="G10" s="7"/>
      <c r="H10" s="11"/>
      <c r="I10" s="11"/>
      <c r="J10" s="7"/>
      <c r="K10" s="7"/>
      <c r="L10" s="7"/>
      <c r="P10" s="33"/>
      <c r="Q10" s="33"/>
      <c r="R10" s="33"/>
      <c r="X10" s="7"/>
      <c r="Y10" s="7"/>
      <c r="AA10" s="12"/>
      <c r="AC10" s="34"/>
      <c r="AD10" s="34"/>
      <c r="AE10" s="34"/>
      <c r="AJ10" s="34"/>
      <c r="AK10" s="34"/>
      <c r="AL10" s="34"/>
      <c r="AQ10" s="34"/>
      <c r="AR10" s="34"/>
      <c r="AS10" s="34"/>
      <c r="AV10" s="4"/>
      <c r="AX10" s="34"/>
      <c r="AY10" s="34"/>
      <c r="AZ10" s="34"/>
      <c r="BN10" s="2"/>
    </row>
    <row r="11" spans="1:66" x14ac:dyDescent="0.25">
      <c r="A11" s="10" t="s">
        <v>211</v>
      </c>
      <c r="B11" s="11"/>
      <c r="C11" s="11"/>
      <c r="D11" s="15"/>
      <c r="E11" s="7"/>
      <c r="F11" s="7"/>
      <c r="G11" s="7"/>
      <c r="H11" s="11"/>
      <c r="I11" s="11"/>
      <c r="J11" s="7"/>
      <c r="K11" s="7"/>
      <c r="L11" s="7"/>
      <c r="P11" s="33"/>
      <c r="Q11" s="33"/>
      <c r="R11" s="33"/>
      <c r="X11" s="7"/>
      <c r="Y11" s="7"/>
      <c r="AA11" s="12"/>
      <c r="AC11" s="94" t="str">
        <f>+A12</f>
        <v>Neutropenia - Adverse event cost</v>
      </c>
      <c r="AD11" s="94"/>
      <c r="AE11" s="94"/>
      <c r="AF11" s="94"/>
      <c r="AG11" s="94"/>
      <c r="AH11" s="94"/>
      <c r="AJ11" s="94">
        <f>+A13</f>
        <v>0</v>
      </c>
      <c r="AK11" s="94"/>
      <c r="AL11" s="94"/>
      <c r="AM11" s="94"/>
      <c r="AN11" s="94"/>
      <c r="AO11" s="94"/>
      <c r="AQ11" s="94">
        <f>+A14</f>
        <v>0</v>
      </c>
      <c r="AR11" s="94"/>
      <c r="AS11" s="94"/>
      <c r="AT11" s="94"/>
      <c r="AU11" s="94"/>
      <c r="AV11" s="94"/>
      <c r="AX11" s="94">
        <f>+A15</f>
        <v>0</v>
      </c>
      <c r="AY11" s="94"/>
      <c r="AZ11" s="94"/>
      <c r="BA11" s="94"/>
      <c r="BB11" s="94"/>
      <c r="BC11" s="94"/>
      <c r="BN11" s="2"/>
    </row>
    <row r="12" spans="1:66" x14ac:dyDescent="0.25">
      <c r="A12" s="7" t="s">
        <v>72</v>
      </c>
      <c r="B12" s="12">
        <f>+C12+((E12-F12)/(G12-F12))*(D12-C12)</f>
        <v>64260.349158868798</v>
      </c>
      <c r="C12" s="51">
        <f>+'ICER Fig E1'!D10</f>
        <v>1.48</v>
      </c>
      <c r="D12" s="12">
        <f>+'ICER Fig E1'!E10</f>
        <v>77892</v>
      </c>
      <c r="E12" s="12">
        <f>CE_BC_rucaparib_BRCA</f>
        <v>294593</v>
      </c>
      <c r="F12" s="12">
        <f>+'ICER Fig E1'!B10</f>
        <v>262854</v>
      </c>
      <c r="G12" s="12">
        <f>+'ICER Fig E1'!C10</f>
        <v>301326</v>
      </c>
      <c r="H12" s="12">
        <v>10636</v>
      </c>
      <c r="I12" s="12">
        <v>16850</v>
      </c>
      <c r="J12" s="12">
        <f>+AH13</f>
        <v>268106.64503870311</v>
      </c>
      <c r="K12" s="12">
        <f>+AH14</f>
        <v>271175.888998045</v>
      </c>
      <c r="L12" s="13">
        <f t="shared" ref="L12" si="1">+S12</f>
        <v>4.8836117139986292E-2</v>
      </c>
      <c r="M12" s="36" t="str">
        <f t="shared" ref="M12:N12" si="2">+IF(X12,"YES","NO")</f>
        <v>NO</v>
      </c>
      <c r="N12" s="36" t="str">
        <f t="shared" si="2"/>
        <v>NO</v>
      </c>
      <c r="P12" s="42">
        <f>+MIN(E12,J12,K12)</f>
        <v>268106.64503870311</v>
      </c>
      <c r="Q12" s="42">
        <f>+MEDIAN(E12,J12,K12)</f>
        <v>271175.888998045</v>
      </c>
      <c r="R12" s="42">
        <f>+MAX(E12,J12,K12)</f>
        <v>294593</v>
      </c>
      <c r="S12" s="14">
        <f t="shared" ref="S12" si="3">+AVERAGE((Q12-P12)/Q12,(R12-Q12)/Q12)</f>
        <v>4.8836117139986292E-2</v>
      </c>
      <c r="T12" t="b">
        <f>+AND(E12&lt;=Benchmark1,J12&lt;=Benchmark1,K12&lt;=Benchmark1)</f>
        <v>0</v>
      </c>
      <c r="U12" s="14" t="b">
        <f>+AND(E12&gt;Benchmark1,J12&gt;Benchmark1,K12&gt;Benchmark1)</f>
        <v>1</v>
      </c>
      <c r="V12" t="b">
        <f>+AND(E12&lt;=Benchmark2,J12&lt;=Benchmark2,K12&lt;=Benchmark2)</f>
        <v>0</v>
      </c>
      <c r="W12" s="14" t="b">
        <f>+AND(E12&gt;Benchmark2,J12&gt;Benchmark2,K12&gt;Benchmark2)</f>
        <v>1</v>
      </c>
      <c r="X12" s="12" t="b">
        <f>+AND(NOT(T12),NOT(U12))</f>
        <v>0</v>
      </c>
      <c r="Y12" s="12" t="b">
        <f>+AND(NOT(V12),NOT(W12))</f>
        <v>0</v>
      </c>
      <c r="AA12" s="12" t="s">
        <v>45</v>
      </c>
      <c r="AC12" s="31">
        <f>+B12</f>
        <v>64260.349158868798</v>
      </c>
      <c r="AD12" s="32">
        <f>+E12</f>
        <v>294593</v>
      </c>
      <c r="AE12" s="32"/>
      <c r="AF12" s="32" t="s">
        <v>149</v>
      </c>
      <c r="AG12" s="35">
        <f>-AD15/(2*AC15)</f>
        <v>-4.9583208690278367E+19</v>
      </c>
      <c r="AH12" s="35"/>
      <c r="AJ12" s="31">
        <f>+B13</f>
        <v>0</v>
      </c>
      <c r="AK12" s="32">
        <f>+E13</f>
        <v>0</v>
      </c>
      <c r="AL12" s="32"/>
      <c r="AM12" s="32" t="s">
        <v>149</v>
      </c>
      <c r="AN12" s="35" t="e">
        <f>-AK15/(2*AJ15)</f>
        <v>#DIV/0!</v>
      </c>
      <c r="AO12" s="35"/>
      <c r="AQ12" s="31">
        <f>+B14</f>
        <v>0</v>
      </c>
      <c r="AR12" s="32">
        <f>+E14</f>
        <v>0</v>
      </c>
      <c r="AS12" s="32"/>
      <c r="AT12" s="32" t="s">
        <v>149</v>
      </c>
      <c r="AU12" s="35" t="e">
        <f>-AR15/(2*AQ15)</f>
        <v>#DIV/0!</v>
      </c>
      <c r="AV12" s="35"/>
      <c r="AX12" s="31">
        <f>+B15</f>
        <v>0</v>
      </c>
      <c r="AY12" s="32">
        <f>+E15</f>
        <v>0</v>
      </c>
      <c r="AZ12" s="32"/>
      <c r="BA12" s="32" t="s">
        <v>149</v>
      </c>
      <c r="BB12" s="35" t="e">
        <f>-AY15/(2*AX15)</f>
        <v>#DIV/0!</v>
      </c>
      <c r="BC12" s="35"/>
    </row>
    <row r="13" spans="1:66" x14ac:dyDescent="0.25">
      <c r="A13" s="7"/>
      <c r="B13" s="11"/>
      <c r="C13" s="11"/>
      <c r="D13" s="11"/>
      <c r="E13" s="12"/>
      <c r="F13" s="12"/>
      <c r="G13" s="12"/>
      <c r="H13" s="11"/>
      <c r="I13" s="11"/>
      <c r="J13" s="12"/>
      <c r="K13" s="12"/>
      <c r="L13" s="13"/>
      <c r="M13" s="36"/>
      <c r="N13" s="36"/>
      <c r="P13" s="42"/>
      <c r="Q13" s="42"/>
      <c r="R13" s="42"/>
      <c r="S13" s="14"/>
      <c r="U13" s="14"/>
      <c r="W13" s="14"/>
      <c r="X13" s="12"/>
      <c r="Y13" s="12"/>
      <c r="AA13" s="12" t="s">
        <v>159</v>
      </c>
      <c r="AC13" s="31">
        <f>+C12</f>
        <v>1.48</v>
      </c>
      <c r="AD13" s="32">
        <f>+F12</f>
        <v>262854</v>
      </c>
      <c r="AE13" s="32"/>
      <c r="AF13" s="32" t="s">
        <v>150</v>
      </c>
      <c r="AG13" s="35">
        <f>+H12</f>
        <v>10636</v>
      </c>
      <c r="AH13" s="32">
        <f>+AC17*AG13^2+AD17*AG13+AE17</f>
        <v>268106.64503870311</v>
      </c>
      <c r="AJ13" s="31">
        <f>+C13</f>
        <v>0</v>
      </c>
      <c r="AK13" s="32">
        <f>+F13</f>
        <v>0</v>
      </c>
      <c r="AL13" s="32"/>
      <c r="AM13" s="32" t="s">
        <v>150</v>
      </c>
      <c r="AN13" s="35">
        <f>+H13</f>
        <v>0</v>
      </c>
      <c r="AO13" s="32" t="e">
        <f>+AJ17*AN13^2+AK17*AN13+AL17</f>
        <v>#DIV/0!</v>
      </c>
      <c r="AQ13" s="31">
        <f>+C14</f>
        <v>0</v>
      </c>
      <c r="AR13" s="32">
        <f>+F14</f>
        <v>0</v>
      </c>
      <c r="AS13" s="32"/>
      <c r="AT13" s="32" t="s">
        <v>150</v>
      </c>
      <c r="AU13" s="35">
        <f>+H14</f>
        <v>0</v>
      </c>
      <c r="AV13" s="32" t="e">
        <f>+AQ17*AU13^2+AR17*AU13+AS17</f>
        <v>#DIV/0!</v>
      </c>
      <c r="AX13" s="31">
        <f>+C15</f>
        <v>0</v>
      </c>
      <c r="AY13" s="32">
        <f>+F15</f>
        <v>0</v>
      </c>
      <c r="AZ13" s="32"/>
      <c r="BA13" s="32" t="s">
        <v>150</v>
      </c>
      <c r="BB13" s="35">
        <f>+H15</f>
        <v>0</v>
      </c>
      <c r="BC13" s="32" t="e">
        <f>+AX17*BB13^2+AY17*BB13+AZ17</f>
        <v>#DIV/0!</v>
      </c>
    </row>
    <row r="14" spans="1:66" x14ac:dyDescent="0.25">
      <c r="A14" s="7"/>
      <c r="B14" s="11"/>
      <c r="C14" s="11"/>
      <c r="D14" s="11"/>
      <c r="E14" s="12"/>
      <c r="F14" s="12"/>
      <c r="G14" s="12"/>
      <c r="H14" s="11"/>
      <c r="I14" s="11"/>
      <c r="J14" s="12"/>
      <c r="K14" s="12"/>
      <c r="L14" s="13"/>
      <c r="M14" s="36"/>
      <c r="N14" s="36"/>
      <c r="P14" s="42"/>
      <c r="Q14" s="42"/>
      <c r="R14" s="42"/>
      <c r="S14" s="14"/>
      <c r="U14" s="14"/>
      <c r="W14" s="14"/>
      <c r="X14" s="12"/>
      <c r="Y14" s="12"/>
      <c r="AA14" s="12" t="s">
        <v>46</v>
      </c>
      <c r="AC14" s="31">
        <f>+D12</f>
        <v>77892</v>
      </c>
      <c r="AD14" s="32">
        <f>+G12</f>
        <v>301326</v>
      </c>
      <c r="AE14" s="32"/>
      <c r="AF14" s="32" t="s">
        <v>151</v>
      </c>
      <c r="AG14" s="35">
        <f>+I12</f>
        <v>16850</v>
      </c>
      <c r="AH14" s="32">
        <f>+AC17*AG14^2+AD17*AG14+AE17</f>
        <v>271175.888998045</v>
      </c>
      <c r="AJ14" s="31">
        <f>+D13</f>
        <v>0</v>
      </c>
      <c r="AK14" s="32">
        <f>+G13</f>
        <v>0</v>
      </c>
      <c r="AL14" s="32"/>
      <c r="AM14" s="32" t="s">
        <v>151</v>
      </c>
      <c r="AN14" s="35">
        <f>+I13</f>
        <v>0</v>
      </c>
      <c r="AO14" s="32" t="e">
        <f>+AJ17*AN14^2+AK17*AN14+AL17</f>
        <v>#DIV/0!</v>
      </c>
      <c r="AQ14" s="31">
        <f>+D14</f>
        <v>0</v>
      </c>
      <c r="AR14" s="32">
        <f>+G14</f>
        <v>0</v>
      </c>
      <c r="AS14" s="32"/>
      <c r="AT14" s="32" t="s">
        <v>151</v>
      </c>
      <c r="AU14" s="35">
        <f>+I14</f>
        <v>0</v>
      </c>
      <c r="AV14" s="32" t="e">
        <f>+AQ17*AU14^2+AR17*AU14+AS17</f>
        <v>#DIV/0!</v>
      </c>
      <c r="AX14" s="31">
        <f>+D15</f>
        <v>0</v>
      </c>
      <c r="AY14" s="32">
        <f>+G15</f>
        <v>0</v>
      </c>
      <c r="AZ14" s="32"/>
      <c r="BA14" s="32" t="s">
        <v>151</v>
      </c>
      <c r="BB14" s="35">
        <f>+I15</f>
        <v>0</v>
      </c>
      <c r="BC14" s="32" t="e">
        <f>+AX17*BB14^2+AY17*BB14+AZ17</f>
        <v>#DIV/0!</v>
      </c>
    </row>
    <row r="15" spans="1:66" x14ac:dyDescent="0.25">
      <c r="A15" s="7"/>
      <c r="B15" s="11"/>
      <c r="C15" s="11"/>
      <c r="D15" s="11"/>
      <c r="E15" s="12"/>
      <c r="F15" s="12"/>
      <c r="G15" s="12"/>
      <c r="H15" s="11"/>
      <c r="I15" s="11"/>
      <c r="J15" s="12"/>
      <c r="K15" s="12"/>
      <c r="L15" s="13"/>
      <c r="M15" s="36"/>
      <c r="N15" s="36"/>
      <c r="P15" s="42"/>
      <c r="Q15" s="42"/>
      <c r="R15" s="42"/>
      <c r="S15" s="14"/>
      <c r="U15" s="14"/>
      <c r="W15" s="14"/>
      <c r="X15" s="12"/>
      <c r="Y15" s="12"/>
      <c r="AA15" s="12" t="s">
        <v>162</v>
      </c>
      <c r="AC15" s="34" cm="1">
        <f t="array" ref="AC15:AE15">+LINEST(AD12:AD14,AC12:AC14^{1,2})</f>
        <v>4.9807591016046056E-21</v>
      </c>
      <c r="AD15" s="34">
        <v>0.49392403594172907</v>
      </c>
      <c r="AE15" s="34">
        <v>262853.26899242686</v>
      </c>
      <c r="AG15" s="33">
        <f>+OR(AG12=MIN(AG12:AG14,AC12:AC14),AG12=MAX(AG12:AG14,AC12:AC14))*1</f>
        <v>1</v>
      </c>
      <c r="AJ15" s="34" cm="1">
        <f t="array" ref="AJ15:AL15">+LINEST(AK12:AK14,AJ12:AJ14^{1,2})</f>
        <v>0</v>
      </c>
      <c r="AK15" s="34">
        <v>0</v>
      </c>
      <c r="AL15" s="34">
        <v>0</v>
      </c>
      <c r="AM15" s="34"/>
      <c r="AN15" s="33" t="e">
        <f>+OR(AN12=MIN(AN12:AN14,AJ12:AJ14),AN12=MAX(AN12:AN14,AJ12:AJ14))*1</f>
        <v>#DIV/0!</v>
      </c>
      <c r="AQ15" s="34" cm="1">
        <f t="array" ref="AQ15:AS15">+LINEST(AR12:AR14,AQ12:AQ14^{1,2})</f>
        <v>0</v>
      </c>
      <c r="AR15" s="34">
        <v>0</v>
      </c>
      <c r="AS15" s="34">
        <v>0</v>
      </c>
      <c r="AT15" s="34"/>
      <c r="AU15" s="33" t="e">
        <f>+OR(AU12=MIN(AU12:AU14,AQ12:AQ14),AU12=MAX(AU12:AU14,AQ12:AQ14))*1</f>
        <v>#DIV/0!</v>
      </c>
      <c r="AX15" s="34" cm="1">
        <f t="array" ref="AX15:AZ15">+LINEST(AY12:AY14,AX12:AX14^{1,2})</f>
        <v>0</v>
      </c>
      <c r="AY15" s="34">
        <v>0</v>
      </c>
      <c r="AZ15" s="34">
        <v>0</v>
      </c>
      <c r="BA15" s="34"/>
      <c r="BB15" s="33" t="e">
        <f>+OR(BB12=MIN(BB12:BB14,AX12:AX14),BB12=MAX(BB12:BB14,AX12:AX14))*1</f>
        <v>#DIV/0!</v>
      </c>
    </row>
    <row r="16" spans="1:66" x14ac:dyDescent="0.25">
      <c r="A16" s="7"/>
      <c r="B16" s="11"/>
      <c r="C16" s="11"/>
      <c r="D16" s="11"/>
      <c r="E16" s="12"/>
      <c r="F16" s="12"/>
      <c r="G16" s="12"/>
      <c r="H16" s="11"/>
      <c r="I16" s="11"/>
      <c r="J16" s="12"/>
      <c r="K16" s="12"/>
      <c r="L16" s="13"/>
      <c r="M16" s="36"/>
      <c r="N16" s="36"/>
      <c r="P16" s="42"/>
      <c r="Q16" s="42"/>
      <c r="R16" s="42"/>
      <c r="S16" s="14"/>
      <c r="U16" s="14"/>
      <c r="W16" s="14"/>
      <c r="X16" s="12"/>
      <c r="Y16" s="12"/>
      <c r="AA16" s="12"/>
      <c r="AD16" s="34" cm="1">
        <f t="array" ref="AD16:AE16">+LINEST(AD12:AD14,AC12:AC14^{1})</f>
        <v>0.49392403594172957</v>
      </c>
      <c r="AE16" s="34">
        <v>262853.26899242681</v>
      </c>
      <c r="AG16" s="33">
        <f>+NOT(AG15)*1</f>
        <v>0</v>
      </c>
      <c r="AK16" s="34" cm="1">
        <f t="array" ref="AK16:AL16">+LINEST(AK12:AK14,AJ12:AJ14^{1})</f>
        <v>0</v>
      </c>
      <c r="AL16" s="34">
        <v>0</v>
      </c>
      <c r="AM16" s="34"/>
      <c r="AN16" s="33" t="e">
        <f>+NOT(AN15)*1</f>
        <v>#DIV/0!</v>
      </c>
      <c r="AR16" s="34" cm="1">
        <f t="array" ref="AR16:AS16">+LINEST(AR12:AR14,AQ12:AQ14^{1})</f>
        <v>0</v>
      </c>
      <c r="AS16" s="34">
        <v>0</v>
      </c>
      <c r="AT16" s="34"/>
      <c r="AU16" s="33" t="e">
        <f>+NOT(AU15)*1</f>
        <v>#DIV/0!</v>
      </c>
      <c r="AY16" s="34" cm="1">
        <f t="array" ref="AY16:AZ16">+LINEST(AY12:AY14,AX12:AX14^{1})</f>
        <v>0</v>
      </c>
      <c r="AZ16" s="34">
        <v>0</v>
      </c>
      <c r="BA16" s="34"/>
      <c r="BB16" s="33" t="e">
        <f>+NOT(BB15)*1</f>
        <v>#DIV/0!</v>
      </c>
    </row>
    <row r="17" spans="1:83" x14ac:dyDescent="0.25">
      <c r="A17" s="7"/>
      <c r="B17" s="11"/>
      <c r="C17" s="11"/>
      <c r="D17" s="11"/>
      <c r="E17" s="12"/>
      <c r="F17" s="12"/>
      <c r="G17" s="12"/>
      <c r="H17" s="11"/>
      <c r="I17" s="11"/>
      <c r="J17" s="12"/>
      <c r="K17" s="12"/>
      <c r="L17" s="13"/>
      <c r="M17" s="36"/>
      <c r="N17" s="36"/>
      <c r="P17" s="42"/>
      <c r="Q17" s="42"/>
      <c r="R17" s="42"/>
      <c r="S17" s="14"/>
      <c r="U17" s="14"/>
      <c r="W17" s="14"/>
      <c r="X17" s="12"/>
      <c r="Y17" s="12"/>
      <c r="AA17" s="12"/>
      <c r="AC17" s="34">
        <f>+SUMPRODUCT(AC15:AC16,AG15:AG16)</f>
        <v>4.9807591016046056E-21</v>
      </c>
      <c r="AD17" s="34">
        <f>+SUMPRODUCT(AD15:AD16,AG15:AG16)</f>
        <v>0.49392403594172907</v>
      </c>
      <c r="AE17" s="34">
        <f>+SUMPRODUCT(AE15:AE16,AG15:AG16)</f>
        <v>262853.26899242686</v>
      </c>
      <c r="AJ17" s="34" t="e">
        <f>+SUMPRODUCT(AJ15:AJ16,AN15:AN16)</f>
        <v>#DIV/0!</v>
      </c>
      <c r="AK17" s="34" t="e">
        <f>+SUMPRODUCT(AK15:AK16,AN15:AN16)</f>
        <v>#DIV/0!</v>
      </c>
      <c r="AL17" s="34" t="e">
        <f>+SUMPRODUCT(AL15:AL16,AN15:AN16)</f>
        <v>#DIV/0!</v>
      </c>
      <c r="AQ17" s="34" t="e">
        <f>+SUMPRODUCT(AQ15:AQ16,AU15:AU16)</f>
        <v>#DIV/0!</v>
      </c>
      <c r="AR17" s="34" t="e">
        <f>+SUMPRODUCT(AR15:AR16,AU15:AU16)</f>
        <v>#DIV/0!</v>
      </c>
      <c r="AS17" s="34" t="e">
        <f>+SUMPRODUCT(AS15:AS16,AU15:AU16)</f>
        <v>#DIV/0!</v>
      </c>
      <c r="AV17" s="4"/>
      <c r="AX17" s="34" t="e">
        <f>+SUMPRODUCT(AX15:AX16,BB15:BB16)</f>
        <v>#DIV/0!</v>
      </c>
      <c r="AY17" s="34" t="e">
        <f>+SUMPRODUCT(AY15:AY16,BB15:BB16)</f>
        <v>#DIV/0!</v>
      </c>
      <c r="AZ17" s="34" t="e">
        <f>+SUMPRODUCT(AZ15:AZ16,BB15:BB16)</f>
        <v>#DIV/0!</v>
      </c>
    </row>
    <row r="18" spans="1:83" x14ac:dyDescent="0.25">
      <c r="A18" s="7"/>
      <c r="B18" s="11"/>
      <c r="C18" s="11"/>
      <c r="D18" s="11"/>
      <c r="E18" s="12"/>
      <c r="F18" s="12"/>
      <c r="G18" s="12"/>
      <c r="H18" s="11"/>
      <c r="I18" s="11"/>
      <c r="J18" s="12"/>
      <c r="K18" s="12"/>
      <c r="L18" s="13"/>
      <c r="M18" s="36"/>
      <c r="N18" s="36"/>
      <c r="P18" s="42"/>
      <c r="Q18" s="42"/>
      <c r="R18" s="42"/>
      <c r="S18" s="14"/>
      <c r="U18" s="14"/>
      <c r="W18" s="14"/>
      <c r="X18" s="12"/>
      <c r="Y18" s="12"/>
      <c r="AA18" s="12"/>
      <c r="AC18" s="34"/>
      <c r="AD18" s="34"/>
      <c r="AE18" s="34"/>
      <c r="AG18" s="33"/>
      <c r="AJ18" s="34"/>
      <c r="AK18" s="34"/>
      <c r="AL18" s="34"/>
      <c r="AM18" s="34"/>
      <c r="AN18" s="33"/>
      <c r="AQ18" s="34"/>
      <c r="AR18" s="34"/>
      <c r="AS18" s="34"/>
      <c r="AT18" s="34"/>
      <c r="AU18" s="33"/>
      <c r="AX18" s="34"/>
      <c r="AY18" s="34"/>
      <c r="AZ18" s="34"/>
      <c r="BA18" s="34"/>
      <c r="BB18" s="33"/>
    </row>
    <row r="19" spans="1:83" x14ac:dyDescent="0.25">
      <c r="A19" s="7" t="s">
        <v>135</v>
      </c>
      <c r="B19" s="11"/>
      <c r="C19" s="11"/>
      <c r="D19" s="15"/>
      <c r="E19" s="7"/>
      <c r="F19" s="7"/>
      <c r="G19" s="7"/>
      <c r="H19" s="11"/>
      <c r="I19" s="11"/>
      <c r="J19" s="7"/>
      <c r="K19" s="7"/>
      <c r="L19" s="7"/>
      <c r="P19" s="33"/>
      <c r="Q19" s="33"/>
      <c r="R19" s="33"/>
      <c r="X19" s="7"/>
      <c r="Y19" s="7"/>
      <c r="AA19" s="12"/>
    </row>
    <row r="20" spans="1:83" x14ac:dyDescent="0.25">
      <c r="A20" s="10" t="s">
        <v>212</v>
      </c>
      <c r="B20" s="11"/>
      <c r="C20" s="11"/>
      <c r="D20" s="15"/>
      <c r="E20" s="7"/>
      <c r="F20" s="7"/>
      <c r="G20" s="7"/>
      <c r="H20" s="11"/>
      <c r="I20" s="11"/>
      <c r="J20" s="7"/>
      <c r="K20" s="7"/>
      <c r="L20" s="7"/>
      <c r="P20" s="33"/>
      <c r="Q20" s="33"/>
      <c r="R20" s="33"/>
      <c r="X20" s="7"/>
      <c r="Y20" s="7"/>
      <c r="AA20" s="12"/>
      <c r="AC20" s="94" t="str">
        <f>+A21</f>
        <v>Neutropenia - Adverse event cost</v>
      </c>
      <c r="AD20" s="94"/>
      <c r="AE20" s="94"/>
      <c r="AF20" s="94"/>
      <c r="AG20" s="94"/>
      <c r="AH20" s="94"/>
      <c r="AJ20" s="94">
        <f>+A22</f>
        <v>0</v>
      </c>
      <c r="AK20" s="94"/>
      <c r="AL20" s="94"/>
      <c r="AM20" s="94"/>
      <c r="AN20" s="94"/>
      <c r="AO20" s="94"/>
      <c r="AQ20" s="94">
        <f>+A23</f>
        <v>0</v>
      </c>
      <c r="AR20" s="94"/>
      <c r="AS20" s="94"/>
      <c r="AT20" s="94"/>
      <c r="AU20" s="94"/>
      <c r="AV20" s="94"/>
      <c r="AX20" s="94">
        <f>+A24</f>
        <v>0</v>
      </c>
      <c r="AY20" s="94"/>
      <c r="AZ20" s="94"/>
      <c r="BA20" s="94"/>
      <c r="BB20" s="94"/>
      <c r="BC20" s="94"/>
      <c r="BE20" s="94">
        <f>+A25</f>
        <v>0</v>
      </c>
      <c r="BF20" s="94"/>
      <c r="BG20" s="94"/>
      <c r="BH20" s="94"/>
      <c r="BI20" s="94"/>
      <c r="BJ20" s="94"/>
      <c r="BL20" s="94">
        <f>+A26</f>
        <v>0</v>
      </c>
      <c r="BM20" s="94"/>
      <c r="BN20" s="94"/>
      <c r="BO20" s="94"/>
      <c r="BP20" s="94"/>
      <c r="BQ20" s="94"/>
    </row>
    <row r="21" spans="1:83" x14ac:dyDescent="0.25">
      <c r="A21" s="7" t="s">
        <v>72</v>
      </c>
      <c r="B21" s="12">
        <f>+C21+((E21-F21)/(G21-F21))*(D21-C21)</f>
        <v>13628.698491459496</v>
      </c>
      <c r="C21" s="51">
        <f>+'ICER Fig 5pt3'!D12</f>
        <v>1.48</v>
      </c>
      <c r="D21" s="12">
        <f>+'ICER Fig 5pt3'!E12</f>
        <v>77892</v>
      </c>
      <c r="E21" s="12">
        <f t="shared" ref="E21" si="4">+CE_BC_nicaparib_Platinum</f>
        <v>291454</v>
      </c>
      <c r="F21" s="12">
        <f>+'ICER Fig 5pt3'!B12</f>
        <v>287316</v>
      </c>
      <c r="G21" s="12">
        <f>+'ICER Fig 5pt3'!C12</f>
        <v>310968</v>
      </c>
      <c r="H21" s="12">
        <v>10636</v>
      </c>
      <c r="I21" s="12">
        <v>16850</v>
      </c>
      <c r="J21" s="12">
        <f>+AH22</f>
        <v>290545.24621686951</v>
      </c>
      <c r="K21" s="12">
        <f>+AH23</f>
        <v>292432.17068469949</v>
      </c>
      <c r="L21" s="13">
        <f t="shared" ref="L21" si="5">+S21</f>
        <v>3.2370879587001506E-3</v>
      </c>
      <c r="M21" s="36" t="str">
        <f t="shared" ref="M21:N21" si="6">+IF(X21,"YES","NO")</f>
        <v>NO</v>
      </c>
      <c r="N21" s="36" t="str">
        <f t="shared" si="6"/>
        <v>NO</v>
      </c>
      <c r="O21" s="2"/>
      <c r="P21" s="42">
        <f t="shared" ref="P21" si="7">+MIN(E21,J21,K21)</f>
        <v>290545.24621686951</v>
      </c>
      <c r="Q21" s="42">
        <f t="shared" ref="Q21" si="8">+MEDIAN(E21,J21,K21)</f>
        <v>291454</v>
      </c>
      <c r="R21" s="42">
        <f t="shared" ref="R21" si="9">+MAX(E21,J21,K21)</f>
        <v>292432.17068469949</v>
      </c>
      <c r="S21" s="14">
        <f t="shared" ref="S21" si="10">+AVERAGE((Q21-P21)/Q21,(R21-Q21)/Q21)</f>
        <v>3.2370879587001506E-3</v>
      </c>
      <c r="T21" t="b">
        <f t="shared" ref="T21" si="11">+AND(E21&lt;=Benchmark1,J21&lt;=Benchmark1,K21&lt;=Benchmark1)</f>
        <v>0</v>
      </c>
      <c r="U21" s="14" t="b">
        <f t="shared" ref="U21" si="12">+AND(E21&gt;Benchmark1,J21&gt;Benchmark1,K21&gt;Benchmark1)</f>
        <v>1</v>
      </c>
      <c r="V21" t="b">
        <f t="shared" ref="V21" si="13">+AND(E21&lt;=Benchmark2,J21&lt;=Benchmark2,K21&lt;=Benchmark2)</f>
        <v>0</v>
      </c>
      <c r="W21" s="14" t="b">
        <f t="shared" ref="W21" si="14">+AND(E21&gt;Benchmark2,J21&gt;Benchmark2,K21&gt;Benchmark2)</f>
        <v>1</v>
      </c>
      <c r="X21" s="12" t="b">
        <f t="shared" ref="X21" si="15">+AND(NOT(T21),NOT(U21))</f>
        <v>0</v>
      </c>
      <c r="Y21" s="12" t="b">
        <f t="shared" ref="Y21" si="16">+AND(NOT(V21),NOT(W21))</f>
        <v>0</v>
      </c>
      <c r="AA21" s="12" t="s">
        <v>163</v>
      </c>
      <c r="AC21" s="31">
        <f>+B21</f>
        <v>13628.698491459496</v>
      </c>
      <c r="AD21" s="32">
        <f>+E21</f>
        <v>291454</v>
      </c>
      <c r="AE21" s="32"/>
      <c r="AF21" s="32" t="s">
        <v>149</v>
      </c>
      <c r="AG21" s="35">
        <f>-AD24/(2*AC24)</f>
        <v>-1.0182662724878462E+20</v>
      </c>
      <c r="AH21" s="35"/>
      <c r="AJ21" s="31">
        <f>+B22</f>
        <v>0</v>
      </c>
      <c r="AK21" s="32">
        <f>+E22</f>
        <v>0</v>
      </c>
      <c r="AL21" s="32"/>
      <c r="AM21" s="32" t="s">
        <v>149</v>
      </c>
      <c r="AN21" s="35" t="e">
        <f>-AK24/(2*AJ24)</f>
        <v>#DIV/0!</v>
      </c>
      <c r="AO21" s="35"/>
      <c r="AQ21" s="31">
        <f>+B23</f>
        <v>0</v>
      </c>
      <c r="AR21" s="32">
        <f>+E23</f>
        <v>0</v>
      </c>
      <c r="AS21" s="32"/>
      <c r="AT21" s="32" t="s">
        <v>149</v>
      </c>
      <c r="AU21" s="35" t="e">
        <f>-AR24/(2*AQ24)</f>
        <v>#DIV/0!</v>
      </c>
      <c r="AV21" s="35"/>
      <c r="AX21" s="31">
        <f>+B24</f>
        <v>0</v>
      </c>
      <c r="AY21" s="32">
        <f>+E24</f>
        <v>0</v>
      </c>
      <c r="AZ21" s="32"/>
      <c r="BA21" s="32" t="s">
        <v>149</v>
      </c>
      <c r="BB21" s="35" t="e">
        <f>-AY24/(2*AX24)</f>
        <v>#DIV/0!</v>
      </c>
      <c r="BC21" s="35"/>
      <c r="BE21" s="31">
        <f>+B25</f>
        <v>0</v>
      </c>
      <c r="BF21" s="32">
        <f>+E25</f>
        <v>0</v>
      </c>
      <c r="BH21" s="32" t="s">
        <v>149</v>
      </c>
      <c r="BI21" s="35" t="e">
        <f>-BF24/(2*BE24)</f>
        <v>#DIV/0!</v>
      </c>
      <c r="BL21" s="31">
        <f>+B26</f>
        <v>0</v>
      </c>
      <c r="BM21" s="32">
        <f>+E26</f>
        <v>0</v>
      </c>
      <c r="BO21" s="32" t="s">
        <v>149</v>
      </c>
      <c r="BP21" s="35" t="e">
        <f>-BM24/(2*BL24)</f>
        <v>#DIV/0!</v>
      </c>
    </row>
    <row r="22" spans="1:83" x14ac:dyDescent="0.25">
      <c r="A22" s="7"/>
      <c r="B22" s="11"/>
      <c r="C22" s="11"/>
      <c r="D22" s="11"/>
      <c r="E22" s="12"/>
      <c r="F22" s="12"/>
      <c r="G22" s="12"/>
      <c r="H22" s="16"/>
      <c r="I22" s="16"/>
      <c r="J22" s="12"/>
      <c r="K22" s="12"/>
      <c r="L22" s="13"/>
      <c r="M22" s="36"/>
      <c r="N22" s="36"/>
      <c r="P22" s="42"/>
      <c r="Q22" s="42"/>
      <c r="R22" s="42"/>
      <c r="S22" s="14"/>
      <c r="U22" s="14"/>
      <c r="W22" s="14"/>
      <c r="X22" s="12"/>
      <c r="Y22" s="12"/>
      <c r="AA22" s="12" t="s">
        <v>164</v>
      </c>
      <c r="AC22" s="31">
        <f>+C21</f>
        <v>1.48</v>
      </c>
      <c r="AD22" s="32">
        <f>+F21</f>
        <v>287316</v>
      </c>
      <c r="AE22" s="32"/>
      <c r="AF22" s="32" t="s">
        <v>150</v>
      </c>
      <c r="AG22" s="35">
        <f>+H21</f>
        <v>10636</v>
      </c>
      <c r="AH22" s="32">
        <f>+AC26*AG22^2+AD26*AG22+AE26</f>
        <v>290545.24621686951</v>
      </c>
      <c r="AJ22" s="31">
        <f>+C22</f>
        <v>0</v>
      </c>
      <c r="AK22" s="32">
        <f>+F22</f>
        <v>0</v>
      </c>
      <c r="AL22" s="32"/>
      <c r="AM22" s="32" t="s">
        <v>150</v>
      </c>
      <c r="AN22" s="35">
        <f>+H22</f>
        <v>0</v>
      </c>
      <c r="AO22" s="32" t="e">
        <f>+AJ26*AN22^2+AK26*AN22+AL26</f>
        <v>#DIV/0!</v>
      </c>
      <c r="AQ22" s="31">
        <f>+C23</f>
        <v>0</v>
      </c>
      <c r="AR22" s="32">
        <f>+F23</f>
        <v>0</v>
      </c>
      <c r="AS22" s="32"/>
      <c r="AT22" s="32" t="s">
        <v>150</v>
      </c>
      <c r="AU22" s="35">
        <f>+H23</f>
        <v>0</v>
      </c>
      <c r="AV22" s="32" t="e">
        <f>+AQ26*AU22^2+AR26*AU22+AS26</f>
        <v>#DIV/0!</v>
      </c>
      <c r="AX22" s="31">
        <f>+C24</f>
        <v>0</v>
      </c>
      <c r="AY22" s="32">
        <f>+F24</f>
        <v>0</v>
      </c>
      <c r="AZ22" s="32"/>
      <c r="BA22" s="32" t="s">
        <v>150</v>
      </c>
      <c r="BB22" s="35">
        <f>+H24</f>
        <v>0</v>
      </c>
      <c r="BC22" s="32" t="e">
        <f>+AX26*BB22^2+AY26*BB22+AZ26</f>
        <v>#DIV/0!</v>
      </c>
      <c r="BE22" s="31">
        <f>+C25</f>
        <v>0</v>
      </c>
      <c r="BF22" s="32">
        <f>+F25</f>
        <v>0</v>
      </c>
      <c r="BH22" s="32" t="s">
        <v>150</v>
      </c>
      <c r="BI22" s="35">
        <f>+H25</f>
        <v>0</v>
      </c>
      <c r="BJ22" s="32" t="e">
        <f>+BE26*BI22^2+BF26*BI22+BG26</f>
        <v>#DIV/0!</v>
      </c>
      <c r="BL22" s="31">
        <f>+C26</f>
        <v>0</v>
      </c>
      <c r="BM22" s="32">
        <f>+F26</f>
        <v>0</v>
      </c>
      <c r="BO22" s="32" t="s">
        <v>150</v>
      </c>
      <c r="BP22" s="35">
        <f>+H26</f>
        <v>0</v>
      </c>
      <c r="BQ22" s="32" t="e">
        <f>+BL26*BP22^2+BM26*BP22+BN26</f>
        <v>#DIV/0!</v>
      </c>
    </row>
    <row r="23" spans="1:83" x14ac:dyDescent="0.25">
      <c r="A23" s="7"/>
      <c r="B23" s="11"/>
      <c r="C23" s="11"/>
      <c r="D23" s="11"/>
      <c r="E23" s="12"/>
      <c r="F23" s="12"/>
      <c r="G23" s="12"/>
      <c r="H23" s="11"/>
      <c r="I23" s="16"/>
      <c r="J23" s="12"/>
      <c r="K23" s="12"/>
      <c r="L23" s="13"/>
      <c r="M23" s="36"/>
      <c r="N23" s="36"/>
      <c r="P23" s="42"/>
      <c r="Q23" s="42"/>
      <c r="R23" s="42"/>
      <c r="S23" s="14"/>
      <c r="U23" s="14"/>
      <c r="W23" s="14"/>
      <c r="X23" s="12"/>
      <c r="Y23" s="12"/>
      <c r="AA23" s="12" t="s">
        <v>165</v>
      </c>
      <c r="AC23" s="31">
        <f>+D21</f>
        <v>77892</v>
      </c>
      <c r="AD23" s="32">
        <f>+G21</f>
        <v>310968</v>
      </c>
      <c r="AE23" s="32"/>
      <c r="AF23" s="32" t="s">
        <v>151</v>
      </c>
      <c r="AG23" s="35">
        <f>+I21</f>
        <v>16850</v>
      </c>
      <c r="AH23" s="32">
        <f>+AC26*AG23^2+AD26*AG23+AE26</f>
        <v>292432.17068469949</v>
      </c>
      <c r="AJ23" s="31">
        <f>+D22</f>
        <v>0</v>
      </c>
      <c r="AK23" s="32">
        <f>+G22</f>
        <v>0</v>
      </c>
      <c r="AL23" s="32"/>
      <c r="AM23" s="32" t="s">
        <v>151</v>
      </c>
      <c r="AN23" s="35">
        <f>+I22</f>
        <v>0</v>
      </c>
      <c r="AO23" s="32" t="e">
        <f>+AJ26*AN23^2+AK26*AN23+AL26</f>
        <v>#DIV/0!</v>
      </c>
      <c r="AQ23" s="31">
        <f>+D23</f>
        <v>0</v>
      </c>
      <c r="AR23" s="32">
        <f>+G23</f>
        <v>0</v>
      </c>
      <c r="AS23" s="32"/>
      <c r="AT23" s="32" t="s">
        <v>151</v>
      </c>
      <c r="AU23" s="35">
        <f>+I23</f>
        <v>0</v>
      </c>
      <c r="AV23" s="32" t="e">
        <f>+AQ26*AU23^2+AR26*AU23+AS26</f>
        <v>#DIV/0!</v>
      </c>
      <c r="AX23" s="31">
        <f>+D24</f>
        <v>0</v>
      </c>
      <c r="AY23" s="32">
        <f>+G24</f>
        <v>0</v>
      </c>
      <c r="AZ23" s="32"/>
      <c r="BA23" s="32" t="s">
        <v>151</v>
      </c>
      <c r="BB23" s="35">
        <f>+I24</f>
        <v>0</v>
      </c>
      <c r="BC23" s="32" t="e">
        <f>+AX26*BB23^2+AY26*BB23+AZ26</f>
        <v>#DIV/0!</v>
      </c>
      <c r="BE23" s="31">
        <f>+D25</f>
        <v>0</v>
      </c>
      <c r="BF23" s="32">
        <f>+G25</f>
        <v>0</v>
      </c>
      <c r="BH23" s="32" t="s">
        <v>151</v>
      </c>
      <c r="BI23" s="35">
        <f>+I25</f>
        <v>0</v>
      </c>
      <c r="BJ23" s="32" t="e">
        <f>+BE26*BI23^2+BF26*BI23+BG26</f>
        <v>#DIV/0!</v>
      </c>
      <c r="BL23" s="31">
        <f>+D26</f>
        <v>0</v>
      </c>
      <c r="BM23" s="32">
        <f>+G26</f>
        <v>0</v>
      </c>
      <c r="BO23" s="32" t="s">
        <v>151</v>
      </c>
      <c r="BP23" s="35">
        <f>+I26</f>
        <v>0</v>
      </c>
      <c r="BQ23" s="32" t="e">
        <f>+BL26*BP23^2+BM26*BP23+BN26</f>
        <v>#DIV/0!</v>
      </c>
    </row>
    <row r="24" spans="1:83" x14ac:dyDescent="0.25">
      <c r="A24" s="7"/>
      <c r="B24" s="11"/>
      <c r="C24" s="11"/>
      <c r="D24" s="11"/>
      <c r="E24" s="12"/>
      <c r="F24" s="12"/>
      <c r="G24" s="12"/>
      <c r="H24" s="16"/>
      <c r="I24" s="16"/>
      <c r="J24" s="12"/>
      <c r="K24" s="12"/>
      <c r="L24" s="13"/>
      <c r="M24" s="36"/>
      <c r="N24" s="36"/>
      <c r="P24" s="42"/>
      <c r="Q24" s="42"/>
      <c r="R24" s="42"/>
      <c r="S24" s="14"/>
      <c r="U24" s="14"/>
      <c r="W24" s="14"/>
      <c r="X24" s="12"/>
      <c r="Y24" s="12"/>
      <c r="AA24" s="12" t="s">
        <v>166</v>
      </c>
      <c r="AC24" s="34" cm="1">
        <f t="array" ref="AC24:AE24">+LINEST(AD21:AD23,AC21:AC23^{1,2})</f>
        <v>1.4910489881503985E-21</v>
      </c>
      <c r="AD24" s="34">
        <v>0.30365697905213623</v>
      </c>
      <c r="AE24" s="34">
        <v>287315.55058767099</v>
      </c>
      <c r="AG24" s="33">
        <f>+OR(AG21=MIN(AG21:AG23,AC21:AC23),AG21=MAX(AG21:AG23,AC21:AC23))*1</f>
        <v>1</v>
      </c>
      <c r="AJ24" s="34" cm="1">
        <f t="array" ref="AJ24:AL24">+LINEST(AK21:AK23,AJ21:AJ23^{1,2})</f>
        <v>0</v>
      </c>
      <c r="AK24" s="34">
        <v>0</v>
      </c>
      <c r="AL24" s="34">
        <v>0</v>
      </c>
      <c r="AM24" s="34"/>
      <c r="AN24" s="33" t="e">
        <f>+OR(AN21=MIN(AN21:AN23,AJ21:AJ23),AN21=MAX(AN21:AN23,AJ21:AJ23))*1</f>
        <v>#DIV/0!</v>
      </c>
      <c r="AQ24" s="34" cm="1">
        <f t="array" ref="AQ24:AS24">+LINEST(AR21:AR23,AQ21:AQ23^{1,2})</f>
        <v>0</v>
      </c>
      <c r="AR24" s="34">
        <v>0</v>
      </c>
      <c r="AS24" s="34">
        <v>0</v>
      </c>
      <c r="AT24" s="34"/>
      <c r="AU24" s="33" t="e">
        <f>+OR(AU21=MIN(AU21:AU23,AQ21:AQ23),AU21=MAX(AU21:AU23,AQ21:AQ23))*1</f>
        <v>#DIV/0!</v>
      </c>
      <c r="AX24" s="34" cm="1">
        <f t="array" ref="AX24:AZ24">+LINEST(AY21:AY23,AX21:AX23^{1,2})</f>
        <v>0</v>
      </c>
      <c r="AY24" s="34">
        <v>0</v>
      </c>
      <c r="AZ24" s="34">
        <v>0</v>
      </c>
      <c r="BA24" s="34"/>
      <c r="BB24" s="33" t="e">
        <f>+OR(BB21=MIN(BB21:BB23,AX21:AX23),BB21=MAX(BB21:BB23,AX21:AX23))*1</f>
        <v>#DIV/0!</v>
      </c>
      <c r="BE24" s="34" cm="1">
        <f t="array" ref="BE24:BG24">+LINEST(BF21:BF23,BE21:BE23^{1,2})</f>
        <v>0</v>
      </c>
      <c r="BF24" s="34">
        <v>0</v>
      </c>
      <c r="BG24" s="34">
        <v>0</v>
      </c>
      <c r="BI24" s="33" t="e">
        <f>+OR(BI21=MIN(BI21:BI23,BE21:BE23),BI21=MAX(BI21:BI23,BE21:BE23))*1</f>
        <v>#DIV/0!</v>
      </c>
      <c r="BL24" s="34" cm="1">
        <f t="array" ref="BL24:BN24">+LINEST(BM21:BM23,BL21:BL23^{1,2})</f>
        <v>0</v>
      </c>
      <c r="BM24" s="34">
        <v>0</v>
      </c>
      <c r="BN24" s="34">
        <v>0</v>
      </c>
      <c r="BP24" s="33" t="e">
        <f>+OR(BP21=MIN(BP21:BP23,BL21:BL23),BP21=MAX(BP21:BP23,BL21:BL23))*1</f>
        <v>#DIV/0!</v>
      </c>
    </row>
    <row r="25" spans="1:83" x14ac:dyDescent="0.25">
      <c r="A25" s="7"/>
      <c r="B25" s="11"/>
      <c r="C25" s="11"/>
      <c r="D25" s="11"/>
      <c r="E25" s="12"/>
      <c r="F25" s="12"/>
      <c r="G25" s="12"/>
      <c r="H25" s="16"/>
      <c r="I25" s="16"/>
      <c r="J25" s="12"/>
      <c r="K25" s="12"/>
      <c r="L25" s="13"/>
      <c r="M25" s="36"/>
      <c r="N25" s="36"/>
      <c r="P25" s="42"/>
      <c r="Q25" s="42"/>
      <c r="R25" s="42"/>
      <c r="S25" s="14"/>
      <c r="U25" s="14"/>
      <c r="W25" s="14"/>
      <c r="X25" s="12"/>
      <c r="Y25" s="12"/>
      <c r="AA25" s="12" t="s">
        <v>167</v>
      </c>
      <c r="AD25" s="34" cm="1">
        <f t="array" ref="AD25:AE25">+LINEST(AD21:AD23,AC21:AC23^{1})</f>
        <v>0.30365697905213623</v>
      </c>
      <c r="AE25" s="34">
        <v>287315.55058767099</v>
      </c>
      <c r="AG25" s="33">
        <f>+NOT(AG24)*1</f>
        <v>0</v>
      </c>
      <c r="AK25" s="34" cm="1">
        <f t="array" ref="AK25:AL25">+LINEST(AK21:AK23,AJ21:AJ23^{1})</f>
        <v>0</v>
      </c>
      <c r="AL25" s="34">
        <v>0</v>
      </c>
      <c r="AM25" s="34"/>
      <c r="AN25" s="33" t="e">
        <f>+NOT(AN24)*1</f>
        <v>#DIV/0!</v>
      </c>
      <c r="AR25" s="34" cm="1">
        <f t="array" ref="AR25:AS25">+LINEST(AR21:AR23,AQ21:AQ23^{1})</f>
        <v>0</v>
      </c>
      <c r="AS25" s="34">
        <v>0</v>
      </c>
      <c r="AT25" s="34"/>
      <c r="AU25" s="33" t="e">
        <f>+NOT(AU24)*1</f>
        <v>#DIV/0!</v>
      </c>
      <c r="AY25" s="34" cm="1">
        <f t="array" ref="AY25:AZ25">+LINEST(AY21:AY23,AX21:AX23^{1})</f>
        <v>0</v>
      </c>
      <c r="AZ25" s="34">
        <v>0</v>
      </c>
      <c r="BA25" s="34"/>
      <c r="BB25" s="33" t="e">
        <f>+NOT(BB24)*1</f>
        <v>#DIV/0!</v>
      </c>
      <c r="BF25" s="34" cm="1">
        <f t="array" ref="BF25:BG25">+LINEST(BF21:BF23,BE21:BE23^{1})</f>
        <v>0</v>
      </c>
      <c r="BG25" s="34">
        <v>0</v>
      </c>
      <c r="BI25" s="33" t="e">
        <f>+NOT(BI24)*1</f>
        <v>#DIV/0!</v>
      </c>
      <c r="BM25" s="34" cm="1">
        <f t="array" ref="BM25:BN25">+LINEST(BM21:BM23,BL21:BL23^{1})</f>
        <v>0</v>
      </c>
      <c r="BN25" s="34">
        <v>0</v>
      </c>
      <c r="BP25" s="33" t="e">
        <f>+NOT(BP24)*1</f>
        <v>#DIV/0!</v>
      </c>
    </row>
    <row r="26" spans="1:83" x14ac:dyDescent="0.25">
      <c r="A26" s="7"/>
      <c r="B26" s="11"/>
      <c r="C26" s="11"/>
      <c r="D26" s="11"/>
      <c r="E26" s="12"/>
      <c r="F26" s="12"/>
      <c r="G26" s="12"/>
      <c r="H26" s="11"/>
      <c r="I26" s="16"/>
      <c r="J26" s="12"/>
      <c r="K26" s="12"/>
      <c r="L26" s="13"/>
      <c r="M26" s="36"/>
      <c r="N26" s="36"/>
      <c r="P26" s="42"/>
      <c r="Q26" s="42"/>
      <c r="R26" s="42"/>
      <c r="S26" s="14"/>
      <c r="U26" s="14"/>
      <c r="W26" s="14"/>
      <c r="X26" s="12"/>
      <c r="Y26" s="12"/>
      <c r="AA26" s="12" t="s">
        <v>168</v>
      </c>
      <c r="AC26" s="34">
        <f>+SUMPRODUCT(AC24:AC25,AG24:AG25)</f>
        <v>1.4910489881503985E-21</v>
      </c>
      <c r="AD26" s="34">
        <f>+SUMPRODUCT(AD24:AD25,AG24:AG25)</f>
        <v>0.30365697905213623</v>
      </c>
      <c r="AE26" s="34">
        <f>+SUMPRODUCT(AE24:AE25,AG24:AG25)</f>
        <v>287315.55058767099</v>
      </c>
      <c r="AJ26" s="34" t="e">
        <f>+SUMPRODUCT(AJ24:AJ25,AN24:AN25)</f>
        <v>#DIV/0!</v>
      </c>
      <c r="AK26" s="34" t="e">
        <f>+SUMPRODUCT(AK24:AK25,AN24:AN25)</f>
        <v>#DIV/0!</v>
      </c>
      <c r="AL26" s="34" t="e">
        <f>+SUMPRODUCT(AL24:AL25,AN24:AN25)</f>
        <v>#DIV/0!</v>
      </c>
      <c r="AQ26" s="34" t="e">
        <f>+SUMPRODUCT(AQ24:AQ25,AU24:AU25)</f>
        <v>#DIV/0!</v>
      </c>
      <c r="AR26" s="34" t="e">
        <f>+SUMPRODUCT(AR24:AR25,AU24:AU25)</f>
        <v>#DIV/0!</v>
      </c>
      <c r="AS26" s="34" t="e">
        <f>+SUMPRODUCT(AS24:AS25,AU24:AU25)</f>
        <v>#DIV/0!</v>
      </c>
      <c r="AV26" s="4"/>
      <c r="AX26" s="34" t="e">
        <f>+SUMPRODUCT(AX24:AX25,BB24:BB25)</f>
        <v>#DIV/0!</v>
      </c>
      <c r="AY26" s="34" t="e">
        <f>+SUMPRODUCT(AY24:AY25,BB24:BB25)</f>
        <v>#DIV/0!</v>
      </c>
      <c r="AZ26" s="34" t="e">
        <f>+SUMPRODUCT(AZ24:AZ25,BB24:BB25)</f>
        <v>#DIV/0!</v>
      </c>
      <c r="BE26" s="34" t="e">
        <f>+SUMPRODUCT(BE24:BE25,BI24:BI25)</f>
        <v>#DIV/0!</v>
      </c>
      <c r="BF26" s="34" t="e">
        <f>+SUMPRODUCT(BF24:BF25,BI24:BI25)</f>
        <v>#DIV/0!</v>
      </c>
      <c r="BG26" s="34" t="e">
        <f>+SUMPRODUCT(BG24:BG25,BI24:BI25)</f>
        <v>#DIV/0!</v>
      </c>
      <c r="BL26" s="34" t="e">
        <f>+SUMPRODUCT(BL24:BL25,BP24:BP25)</f>
        <v>#DIV/0!</v>
      </c>
      <c r="BM26" s="34" t="e">
        <f>+SUMPRODUCT(BM24:BM25,BP24:BP25)</f>
        <v>#DIV/0!</v>
      </c>
      <c r="BN26" s="34" t="e">
        <f>+SUMPRODUCT(BN24:BN25,BP24:BP25)</f>
        <v>#DIV/0!</v>
      </c>
    </row>
    <row r="27" spans="1:83" x14ac:dyDescent="0.25">
      <c r="A27" s="7"/>
      <c r="B27" s="11"/>
      <c r="C27" s="11"/>
      <c r="D27" s="15"/>
      <c r="E27" s="7"/>
      <c r="F27" s="7"/>
      <c r="G27" s="7"/>
      <c r="H27" s="11"/>
      <c r="I27" s="11"/>
      <c r="J27" s="7"/>
      <c r="K27" s="7"/>
      <c r="L27" s="7"/>
      <c r="X27" s="7"/>
      <c r="Y27" s="7"/>
      <c r="AA27" s="12"/>
    </row>
    <row r="28" spans="1:83" x14ac:dyDescent="0.25">
      <c r="A28" s="7"/>
      <c r="B28" s="11"/>
      <c r="C28" s="11"/>
      <c r="D28" s="15"/>
      <c r="E28" s="7"/>
      <c r="F28" s="7"/>
      <c r="G28" s="7"/>
      <c r="H28" s="11"/>
      <c r="I28" s="11"/>
      <c r="J28" s="7"/>
      <c r="K28" s="7"/>
      <c r="L28" s="7"/>
      <c r="X28" s="7"/>
      <c r="Y28" s="7"/>
      <c r="AA28" s="12"/>
    </row>
    <row r="29" spans="1:83" x14ac:dyDescent="0.25">
      <c r="A29" s="7"/>
      <c r="B29" s="11"/>
      <c r="C29" s="11"/>
      <c r="D29" s="15"/>
      <c r="E29" s="7"/>
      <c r="F29" s="7"/>
      <c r="G29" s="7"/>
      <c r="H29" s="11"/>
      <c r="I29" s="11"/>
      <c r="J29" s="7"/>
      <c r="K29" s="7"/>
      <c r="L29" s="7"/>
      <c r="X29" s="7"/>
      <c r="Y29" s="7"/>
      <c r="AA29" s="12"/>
    </row>
    <row r="30" spans="1:83" x14ac:dyDescent="0.25">
      <c r="A30" s="7" t="s">
        <v>134</v>
      </c>
      <c r="B30" s="11"/>
      <c r="C30" s="11"/>
      <c r="D30" s="15"/>
      <c r="E30" s="7"/>
      <c r="F30" s="7"/>
      <c r="G30" s="7"/>
      <c r="H30" s="11"/>
      <c r="I30" s="11"/>
      <c r="J30" s="7"/>
      <c r="K30" s="7"/>
      <c r="L30" s="7"/>
      <c r="X30" s="7"/>
      <c r="Y30" s="7"/>
      <c r="AA30" s="12"/>
    </row>
    <row r="31" spans="1:83" x14ac:dyDescent="0.25">
      <c r="A31" s="10" t="s">
        <v>213</v>
      </c>
      <c r="B31" s="11"/>
      <c r="C31" s="11"/>
      <c r="D31" s="15"/>
      <c r="E31" s="7"/>
      <c r="F31" s="7"/>
      <c r="G31" s="7"/>
      <c r="H31" s="11"/>
      <c r="I31" s="11"/>
      <c r="J31" s="7"/>
      <c r="K31" s="7"/>
      <c r="L31" s="7"/>
      <c r="X31" s="7"/>
      <c r="Y31" s="7"/>
      <c r="AA31" s="12"/>
      <c r="AC31" s="94">
        <f>+A32</f>
        <v>0</v>
      </c>
      <c r="AD31" s="94"/>
      <c r="AE31" s="94"/>
      <c r="AF31" s="94"/>
      <c r="AG31" s="94"/>
      <c r="AH31" s="94"/>
      <c r="AJ31" s="94">
        <f>+A33</f>
        <v>0</v>
      </c>
      <c r="AK31" s="94"/>
      <c r="AL31" s="94"/>
      <c r="AM31" s="94"/>
      <c r="AN31" s="94"/>
      <c r="AO31" s="94"/>
      <c r="AQ31" s="94">
        <f>+A34</f>
        <v>0</v>
      </c>
      <c r="AR31" s="94"/>
      <c r="AS31" s="94"/>
      <c r="AT31" s="94"/>
      <c r="AU31" s="94"/>
      <c r="AV31" s="94"/>
      <c r="AX31" s="94">
        <f>+A35</f>
        <v>0</v>
      </c>
      <c r="AY31" s="94"/>
      <c r="AZ31" s="94"/>
      <c r="BA31" s="94"/>
      <c r="BB31" s="94"/>
      <c r="BC31" s="94"/>
      <c r="BE31" s="94">
        <f>+A36</f>
        <v>0</v>
      </c>
      <c r="BF31" s="94"/>
      <c r="BG31" s="94"/>
      <c r="BH31" s="94"/>
      <c r="BI31" s="94"/>
      <c r="BJ31" s="94"/>
      <c r="BL31" s="94">
        <f>+A37</f>
        <v>0</v>
      </c>
      <c r="BM31" s="94"/>
      <c r="BN31" s="94"/>
      <c r="BO31" s="94"/>
      <c r="BP31" s="94"/>
      <c r="BQ31" s="94"/>
      <c r="BS31" s="94">
        <f>+A38</f>
        <v>0</v>
      </c>
      <c r="BT31" s="94"/>
      <c r="BU31" s="94"/>
      <c r="BV31" s="94"/>
      <c r="BW31" s="94"/>
      <c r="BX31" s="94"/>
      <c r="BZ31" s="94">
        <f>+A39</f>
        <v>0</v>
      </c>
      <c r="CA31" s="94"/>
      <c r="CB31" s="94"/>
      <c r="CC31" s="94"/>
      <c r="CD31" s="94"/>
      <c r="CE31" s="94"/>
    </row>
    <row r="32" spans="1:83" x14ac:dyDescent="0.25">
      <c r="A32" s="7"/>
      <c r="B32" s="11"/>
      <c r="C32" s="11"/>
      <c r="D32" s="11"/>
      <c r="E32" s="12"/>
      <c r="F32" s="12"/>
      <c r="G32" s="12"/>
      <c r="H32" s="16"/>
      <c r="I32" s="16"/>
      <c r="J32" s="12"/>
      <c r="K32" s="12"/>
      <c r="L32" s="13"/>
      <c r="M32" s="36"/>
      <c r="N32" s="36"/>
      <c r="P32" s="42"/>
      <c r="Q32" s="42"/>
      <c r="R32" s="42"/>
      <c r="S32" s="14"/>
      <c r="U32" s="14"/>
      <c r="W32" s="14"/>
      <c r="X32" s="12"/>
      <c r="Y32" s="12"/>
      <c r="AA32" s="12" t="s">
        <v>169</v>
      </c>
      <c r="AC32" s="31">
        <f>+B32</f>
        <v>0</v>
      </c>
      <c r="AD32" s="32">
        <f>+E32</f>
        <v>0</v>
      </c>
      <c r="AF32" s="32" t="s">
        <v>149</v>
      </c>
      <c r="AG32" s="35" t="e">
        <f>-AD35/(2*AC35)</f>
        <v>#DIV/0!</v>
      </c>
      <c r="AH32" s="35"/>
      <c r="AJ32" s="31">
        <f>+B33</f>
        <v>0</v>
      </c>
      <c r="AK32" s="32">
        <f>+E33</f>
        <v>0</v>
      </c>
      <c r="AM32" s="32" t="s">
        <v>149</v>
      </c>
      <c r="AN32" s="35" t="e">
        <f>-AK35/(2*AJ35)</f>
        <v>#DIV/0!</v>
      </c>
      <c r="AQ32" s="31">
        <f>+B34</f>
        <v>0</v>
      </c>
      <c r="AR32" s="32">
        <f>+E34</f>
        <v>0</v>
      </c>
      <c r="AT32" s="32" t="s">
        <v>149</v>
      </c>
      <c r="AU32" s="35" t="e">
        <f>-AR35/(2*AQ35)</f>
        <v>#DIV/0!</v>
      </c>
      <c r="AX32" s="31">
        <f>+B35</f>
        <v>0</v>
      </c>
      <c r="AY32" s="32">
        <f>+E35</f>
        <v>0</v>
      </c>
      <c r="BA32" s="32" t="s">
        <v>149</v>
      </c>
      <c r="BB32" s="35" t="e">
        <f>-AY35/(2*AX35)</f>
        <v>#DIV/0!</v>
      </c>
      <c r="BE32" s="31">
        <f>+B36</f>
        <v>0</v>
      </c>
      <c r="BF32" s="32">
        <f>+E36</f>
        <v>0</v>
      </c>
      <c r="BH32" s="32" t="s">
        <v>149</v>
      </c>
      <c r="BI32" s="35" t="e">
        <f>-BF35/(2*BE35)</f>
        <v>#DIV/0!</v>
      </c>
      <c r="BL32" s="31">
        <f>+B37</f>
        <v>0</v>
      </c>
      <c r="BM32" s="32">
        <f>+E37</f>
        <v>0</v>
      </c>
      <c r="BO32" s="32" t="s">
        <v>149</v>
      </c>
      <c r="BP32" s="35" t="e">
        <f>-BM35/(2*BL35)</f>
        <v>#DIV/0!</v>
      </c>
      <c r="BS32" s="31">
        <f>+B38</f>
        <v>0</v>
      </c>
      <c r="BT32" s="32">
        <f>+E38</f>
        <v>0</v>
      </c>
      <c r="BV32" s="32" t="s">
        <v>149</v>
      </c>
      <c r="BW32" s="35" t="e">
        <f>-BT35/(2*BS35)</f>
        <v>#DIV/0!</v>
      </c>
      <c r="BZ32" s="31">
        <f>+B39</f>
        <v>0</v>
      </c>
      <c r="CA32" s="32">
        <f>+E39</f>
        <v>0</v>
      </c>
      <c r="CC32" s="32" t="s">
        <v>149</v>
      </c>
      <c r="CD32" s="35" t="e">
        <f>-CA35/(2*BZ35)</f>
        <v>#DIV/0!</v>
      </c>
    </row>
    <row r="33" spans="1:83" x14ac:dyDescent="0.25">
      <c r="A33" s="7"/>
      <c r="B33" s="11"/>
      <c r="C33" s="11"/>
      <c r="D33" s="11"/>
      <c r="E33" s="12"/>
      <c r="F33" s="12"/>
      <c r="G33" s="12"/>
      <c r="H33" s="16"/>
      <c r="I33" s="16"/>
      <c r="J33" s="12"/>
      <c r="K33" s="12"/>
      <c r="L33" s="13"/>
      <c r="M33" s="36"/>
      <c r="N33" s="36"/>
      <c r="P33" s="42"/>
      <c r="Q33" s="42"/>
      <c r="R33" s="42"/>
      <c r="S33" s="14"/>
      <c r="U33" s="14"/>
      <c r="W33" s="14"/>
      <c r="X33" s="12"/>
      <c r="Y33" s="12"/>
      <c r="AA33" s="12" t="s">
        <v>170</v>
      </c>
      <c r="AC33" s="31">
        <f>+C32</f>
        <v>0</v>
      </c>
      <c r="AD33" s="32">
        <f>+F32</f>
        <v>0</v>
      </c>
      <c r="AF33" s="32" t="s">
        <v>150</v>
      </c>
      <c r="AG33" s="35">
        <f>+H32</f>
        <v>0</v>
      </c>
      <c r="AH33" s="32" t="e">
        <f>+AC37*AG33^2+AD37*AG33+AE37</f>
        <v>#DIV/0!</v>
      </c>
      <c r="AJ33" s="31">
        <f>+C33</f>
        <v>0</v>
      </c>
      <c r="AK33" s="32">
        <f>+F33</f>
        <v>0</v>
      </c>
      <c r="AM33" s="32" t="s">
        <v>150</v>
      </c>
      <c r="AN33" s="35">
        <f>+H33</f>
        <v>0</v>
      </c>
      <c r="AO33" s="32" t="e">
        <f>+AJ37*AN33^2+AK37*AN33+AL37</f>
        <v>#DIV/0!</v>
      </c>
      <c r="AQ33" s="31">
        <f>+C34</f>
        <v>0</v>
      </c>
      <c r="AR33" s="32">
        <f>+F34</f>
        <v>0</v>
      </c>
      <c r="AT33" s="32" t="s">
        <v>150</v>
      </c>
      <c r="AU33" s="35">
        <f>+H34</f>
        <v>0</v>
      </c>
      <c r="AV33" s="32" t="e">
        <f>+AQ37*AU33^2+AR37*AU33+AS37</f>
        <v>#DIV/0!</v>
      </c>
      <c r="AX33" s="31">
        <f>+C35</f>
        <v>0</v>
      </c>
      <c r="AY33" s="32">
        <f>+F35</f>
        <v>0</v>
      </c>
      <c r="BA33" s="32" t="s">
        <v>150</v>
      </c>
      <c r="BB33" s="35">
        <f>+H35</f>
        <v>0</v>
      </c>
      <c r="BC33" s="32" t="e">
        <f>+AX37*BB33^2+AY37*BB33+AZ37</f>
        <v>#DIV/0!</v>
      </c>
      <c r="BE33" s="31">
        <f>+C36</f>
        <v>0</v>
      </c>
      <c r="BF33" s="32">
        <f>+F36</f>
        <v>0</v>
      </c>
      <c r="BH33" s="32" t="s">
        <v>150</v>
      </c>
      <c r="BI33" s="35">
        <f>+H36</f>
        <v>0</v>
      </c>
      <c r="BJ33" s="32" t="e">
        <f>+BE37*BI33^2+BF37*BI33+BG37</f>
        <v>#DIV/0!</v>
      </c>
      <c r="BL33" s="31">
        <f>+C37</f>
        <v>0</v>
      </c>
      <c r="BM33" s="32">
        <f>+F37</f>
        <v>0</v>
      </c>
      <c r="BO33" s="32" t="s">
        <v>150</v>
      </c>
      <c r="BP33" s="35">
        <f>+H37</f>
        <v>0</v>
      </c>
      <c r="BQ33" s="32" t="e">
        <f>+BL37*BP33^2+BM37*BP33+BN37</f>
        <v>#DIV/0!</v>
      </c>
      <c r="BS33" s="31">
        <f>+C38</f>
        <v>0</v>
      </c>
      <c r="BT33" s="32">
        <f>+F38</f>
        <v>0</v>
      </c>
      <c r="BV33" s="32" t="s">
        <v>150</v>
      </c>
      <c r="BW33" s="35">
        <f>+H38</f>
        <v>0</v>
      </c>
      <c r="BX33" s="32" t="e">
        <f>+BS37*BW33^2+BT37*BW33+BU37</f>
        <v>#DIV/0!</v>
      </c>
      <c r="BZ33" s="31">
        <f>+C39</f>
        <v>0</v>
      </c>
      <c r="CA33" s="32">
        <f>+F39</f>
        <v>0</v>
      </c>
      <c r="CC33" s="32" t="s">
        <v>150</v>
      </c>
      <c r="CD33" s="35">
        <f>+H39</f>
        <v>0</v>
      </c>
      <c r="CE33" s="32" t="e">
        <f>+BZ37*CD33^2+CA37*CD33+CB37</f>
        <v>#DIV/0!</v>
      </c>
    </row>
    <row r="34" spans="1:83" x14ac:dyDescent="0.25">
      <c r="A34" s="7"/>
      <c r="B34" s="11"/>
      <c r="C34" s="11"/>
      <c r="D34" s="11"/>
      <c r="E34" s="12"/>
      <c r="F34" s="12"/>
      <c r="G34" s="12"/>
      <c r="H34" s="11"/>
      <c r="I34" s="16"/>
      <c r="J34" s="12"/>
      <c r="K34" s="12"/>
      <c r="L34" s="13"/>
      <c r="M34" s="36"/>
      <c r="N34" s="36"/>
      <c r="P34" s="42"/>
      <c r="Q34" s="42"/>
      <c r="R34" s="42"/>
      <c r="S34" s="14"/>
      <c r="U34" s="14"/>
      <c r="W34" s="14"/>
      <c r="X34" s="12"/>
      <c r="Y34" s="12"/>
      <c r="AA34" s="12" t="s">
        <v>171</v>
      </c>
      <c r="AC34" s="31">
        <f>+D32</f>
        <v>0</v>
      </c>
      <c r="AD34" s="32">
        <f>+G32</f>
        <v>0</v>
      </c>
      <c r="AF34" s="32" t="s">
        <v>151</v>
      </c>
      <c r="AG34" s="35">
        <f>+I32</f>
        <v>0</v>
      </c>
      <c r="AH34" s="32" t="e">
        <f>+AC37*AG34^2+AD37*AG34+AE37</f>
        <v>#DIV/0!</v>
      </c>
      <c r="AJ34" s="31">
        <f>+D33</f>
        <v>0</v>
      </c>
      <c r="AK34" s="32">
        <f>+G33</f>
        <v>0</v>
      </c>
      <c r="AM34" s="32" t="s">
        <v>151</v>
      </c>
      <c r="AN34" s="35">
        <f>+I33</f>
        <v>0</v>
      </c>
      <c r="AO34" s="32" t="e">
        <f>+AJ37*AN34^2+AK37*AN34+AL37</f>
        <v>#DIV/0!</v>
      </c>
      <c r="AQ34" s="31">
        <f>+D34</f>
        <v>0</v>
      </c>
      <c r="AR34" s="32">
        <f>+G34</f>
        <v>0</v>
      </c>
      <c r="AT34" s="32" t="s">
        <v>151</v>
      </c>
      <c r="AU34" s="35">
        <f>+I34</f>
        <v>0</v>
      </c>
      <c r="AV34" s="32" t="e">
        <f>+AQ37*AU34^2+AR37*AU34+AS37</f>
        <v>#DIV/0!</v>
      </c>
      <c r="AX34" s="31">
        <f>+D35</f>
        <v>0</v>
      </c>
      <c r="AY34" s="32">
        <f>+G35</f>
        <v>0</v>
      </c>
      <c r="BA34" s="32" t="s">
        <v>151</v>
      </c>
      <c r="BB34" s="35">
        <f>+I35</f>
        <v>0</v>
      </c>
      <c r="BC34" s="32" t="e">
        <f>+AX37*BB34^2+AY37*BB34+AZ37</f>
        <v>#DIV/0!</v>
      </c>
      <c r="BE34" s="31">
        <f>+D36</f>
        <v>0</v>
      </c>
      <c r="BF34" s="32">
        <f>+G36</f>
        <v>0</v>
      </c>
      <c r="BH34" s="32" t="s">
        <v>151</v>
      </c>
      <c r="BI34" s="35">
        <f>+I36</f>
        <v>0</v>
      </c>
      <c r="BJ34" s="32" t="e">
        <f>+BE37*BI34^2+BF37*BI34+BG37</f>
        <v>#DIV/0!</v>
      </c>
      <c r="BL34" s="31">
        <f>+D37</f>
        <v>0</v>
      </c>
      <c r="BM34" s="32">
        <f>+G37</f>
        <v>0</v>
      </c>
      <c r="BO34" s="32" t="s">
        <v>151</v>
      </c>
      <c r="BP34" s="35">
        <f>+I37</f>
        <v>0</v>
      </c>
      <c r="BQ34" s="32" t="e">
        <f>+BL37*BP34^2+BM37*BP34+BN37</f>
        <v>#DIV/0!</v>
      </c>
      <c r="BS34" s="31">
        <f>+D38</f>
        <v>0</v>
      </c>
      <c r="BT34" s="32">
        <f>+G38</f>
        <v>0</v>
      </c>
      <c r="BV34" s="32" t="s">
        <v>151</v>
      </c>
      <c r="BW34" s="35">
        <f>+I38</f>
        <v>0</v>
      </c>
      <c r="BX34" s="32" t="e">
        <f>+BS37*BW34^2+BT37*BW34+BU37</f>
        <v>#DIV/0!</v>
      </c>
      <c r="BZ34" s="31">
        <f>+D39</f>
        <v>0</v>
      </c>
      <c r="CA34" s="32">
        <f>+G39</f>
        <v>0</v>
      </c>
      <c r="CC34" s="32" t="s">
        <v>151</v>
      </c>
      <c r="CD34" s="35">
        <f>+I39</f>
        <v>0</v>
      </c>
      <c r="CE34" s="32" t="e">
        <f>+BZ37*CD34^2+CA37*CD34+CB37</f>
        <v>#DIV/0!</v>
      </c>
    </row>
    <row r="35" spans="1:83" x14ac:dyDescent="0.25">
      <c r="A35" s="7"/>
      <c r="B35" s="11"/>
      <c r="C35" s="11"/>
      <c r="D35" s="11"/>
      <c r="E35" s="12"/>
      <c r="F35" s="12"/>
      <c r="G35" s="12"/>
      <c r="H35" s="16"/>
      <c r="I35" s="16"/>
      <c r="J35" s="12"/>
      <c r="K35" s="12"/>
      <c r="L35" s="13"/>
      <c r="M35" s="36"/>
      <c r="N35" s="36"/>
      <c r="P35" s="42"/>
      <c r="Q35" s="42"/>
      <c r="R35" s="42"/>
      <c r="S35" s="14"/>
      <c r="U35" s="14"/>
      <c r="W35" s="14"/>
      <c r="X35" s="12"/>
      <c r="Y35" s="12"/>
      <c r="AA35" s="12" t="s">
        <v>172</v>
      </c>
      <c r="AC35" s="34" cm="1">
        <f t="array" ref="AC35:AE35">+LINEST(AD32:AD34,AC32:AC34^{1,2})</f>
        <v>0</v>
      </c>
      <c r="AD35" s="34">
        <v>0</v>
      </c>
      <c r="AE35" s="34">
        <v>0</v>
      </c>
      <c r="AG35" s="33" t="e">
        <f>+OR(AG32=MIN(AG32:AG34,AC32:AC34),AG32=MAX(AG32:AG34,AC32:AC34))*1</f>
        <v>#DIV/0!</v>
      </c>
      <c r="AJ35" s="34" cm="1">
        <f t="array" ref="AJ35:AL35">+LINEST(AK32:AK34,AJ32:AJ34^{1,2})</f>
        <v>0</v>
      </c>
      <c r="AK35" s="34">
        <v>0</v>
      </c>
      <c r="AL35" s="34">
        <v>0</v>
      </c>
      <c r="AN35" s="33" t="e">
        <f>+OR(AN32=MIN(AN32:AN34,AJ32:AJ34),AN32=MAX(AN32:AN34,AJ32:AJ34))*1</f>
        <v>#DIV/0!</v>
      </c>
      <c r="AQ35" s="34" cm="1">
        <f t="array" ref="AQ35:AS35">+LINEST(AR32:AR34,AQ32:AQ34^{1,2})</f>
        <v>0</v>
      </c>
      <c r="AR35" s="34">
        <v>0</v>
      </c>
      <c r="AS35" s="34">
        <v>0</v>
      </c>
      <c r="AU35" s="33" t="e">
        <f>+OR(AU32=MIN(AU32:AU34,AQ32:AQ34),AU32=MAX(AU32:AU34,AQ32:AQ34))*1</f>
        <v>#DIV/0!</v>
      </c>
      <c r="AX35" s="34" cm="1">
        <f t="array" ref="AX35:AZ35">+LINEST(AY32:AY34,AX32:AX34^{1,2})</f>
        <v>0</v>
      </c>
      <c r="AY35" s="34">
        <v>0</v>
      </c>
      <c r="AZ35" s="34">
        <v>0</v>
      </c>
      <c r="BB35" s="33" t="e">
        <f>+OR(BB32=MIN(BB32:BB34,AX32:AX34),BB32=MAX(BB32:BB34,AX32:AX34))*1</f>
        <v>#DIV/0!</v>
      </c>
      <c r="BE35" s="34" cm="1">
        <f t="array" ref="BE35:BG35">+LINEST(BF32:BF34,BE32:BE34^{1,2})</f>
        <v>0</v>
      </c>
      <c r="BF35" s="34">
        <v>0</v>
      </c>
      <c r="BG35" s="34">
        <v>0</v>
      </c>
      <c r="BI35" s="33" t="e">
        <f>+OR(BI32=MIN(BI32:BI34,BE32:BE34),BI32=MAX(BI32:BI34,BE32:BE34))*1</f>
        <v>#DIV/0!</v>
      </c>
      <c r="BL35" s="34" cm="1">
        <f t="array" ref="BL35:BN35">+LINEST(BM32:BM34,BL32:BL34^{1,2})</f>
        <v>0</v>
      </c>
      <c r="BM35" s="34">
        <v>0</v>
      </c>
      <c r="BN35" s="34">
        <v>0</v>
      </c>
      <c r="BP35" s="33" t="e">
        <f>+OR(BP32=MIN(BP32:BP34,BL32:BL34),BP32=MAX(BP32:BP34,BL32:BL34))*1</f>
        <v>#DIV/0!</v>
      </c>
      <c r="BS35" s="34" cm="1">
        <f t="array" ref="BS35:BU35">+LINEST(BT32:BT34,BS32:BS34^{1,2})</f>
        <v>0</v>
      </c>
      <c r="BT35" s="34">
        <v>0</v>
      </c>
      <c r="BU35" s="34">
        <v>0</v>
      </c>
      <c r="BW35" s="33" t="e">
        <f>+OR(BW32=MIN(BW32:BW34,BS32:BS34),BW32=MAX(BW32:BW34,BS32:BS34))*1</f>
        <v>#DIV/0!</v>
      </c>
      <c r="BZ35" s="34" cm="1">
        <f t="array" ref="BZ35:CB35">+LINEST(CA32:CA34,BZ32:BZ34^{1,2})</f>
        <v>0</v>
      </c>
      <c r="CA35" s="34">
        <v>0</v>
      </c>
      <c r="CB35" s="34">
        <v>0</v>
      </c>
      <c r="CD35" s="33" t="e">
        <f>+OR(CD32=MIN(CD32:CD34,BZ32:BZ34),CD32=MAX(CD32:CD34,BZ32:BZ34))*1</f>
        <v>#DIV/0!</v>
      </c>
    </row>
    <row r="36" spans="1:83" x14ac:dyDescent="0.25">
      <c r="A36" s="7"/>
      <c r="B36" s="11"/>
      <c r="C36" s="11"/>
      <c r="D36" s="11"/>
      <c r="E36" s="12"/>
      <c r="F36" s="12"/>
      <c r="G36" s="12"/>
      <c r="H36" s="16"/>
      <c r="I36" s="16"/>
      <c r="J36" s="12"/>
      <c r="K36" s="12"/>
      <c r="L36" s="13"/>
      <c r="M36" s="36"/>
      <c r="N36" s="36"/>
      <c r="P36" s="42"/>
      <c r="Q36" s="42"/>
      <c r="R36" s="42"/>
      <c r="S36" s="14"/>
      <c r="U36" s="14"/>
      <c r="W36" s="14"/>
      <c r="X36" s="12"/>
      <c r="Y36" s="12"/>
      <c r="AA36" s="12" t="s">
        <v>173</v>
      </c>
      <c r="AD36" s="34" cm="1">
        <f t="array" ref="AD36:AE36">+LINEST(AD32:AD34,AC32:AC34^{1})</f>
        <v>0</v>
      </c>
      <c r="AE36" s="34">
        <v>0</v>
      </c>
      <c r="AG36" s="33" t="e">
        <f>+NOT(AG35)*1</f>
        <v>#DIV/0!</v>
      </c>
      <c r="AK36" s="34" cm="1">
        <f t="array" ref="AK36:AL36">+LINEST(AK32:AK34,AJ32:AJ34^{1})</f>
        <v>0</v>
      </c>
      <c r="AL36" s="34">
        <v>0</v>
      </c>
      <c r="AN36" s="33" t="e">
        <f>+NOT(AN35)*1</f>
        <v>#DIV/0!</v>
      </c>
      <c r="AR36" s="34" cm="1">
        <f t="array" ref="AR36:AS36">+LINEST(AR32:AR34,AQ32:AQ34^{1})</f>
        <v>0</v>
      </c>
      <c r="AS36" s="34">
        <v>0</v>
      </c>
      <c r="AU36" s="33" t="e">
        <f>+NOT(AU35)*1</f>
        <v>#DIV/0!</v>
      </c>
      <c r="AY36" s="34" cm="1">
        <f t="array" ref="AY36:AZ36">+LINEST(AY32:AY34,AX32:AX34^{1})</f>
        <v>0</v>
      </c>
      <c r="AZ36" s="34">
        <v>0</v>
      </c>
      <c r="BB36" s="33" t="e">
        <f>+NOT(BB35)*1</f>
        <v>#DIV/0!</v>
      </c>
      <c r="BF36" s="34" cm="1">
        <f t="array" ref="BF36:BG36">+LINEST(BF32:BF34,BE32:BE34^{1})</f>
        <v>0</v>
      </c>
      <c r="BG36" s="34">
        <v>0</v>
      </c>
      <c r="BI36" s="33" t="e">
        <f>+NOT(BI35)*1</f>
        <v>#DIV/0!</v>
      </c>
      <c r="BM36" s="34" cm="1">
        <f t="array" ref="BM36:BN36">+LINEST(BM32:BM34,BL32:BL34^{1})</f>
        <v>0</v>
      </c>
      <c r="BN36" s="34">
        <v>0</v>
      </c>
      <c r="BP36" s="33" t="e">
        <f>+NOT(BP35)*1</f>
        <v>#DIV/0!</v>
      </c>
      <c r="BT36" s="34" cm="1">
        <f t="array" ref="BT36:BU36">+LINEST(BT32:BT34,BS32:BS34^{1})</f>
        <v>0</v>
      </c>
      <c r="BU36" s="34">
        <v>0</v>
      </c>
      <c r="BW36" s="33" t="e">
        <f>+NOT(BW35)*1</f>
        <v>#DIV/0!</v>
      </c>
      <c r="CA36" s="34" cm="1">
        <f t="array" ref="CA36:CB36">+LINEST(CA32:CA34,BZ32:BZ34^{1})</f>
        <v>0</v>
      </c>
      <c r="CB36" s="34">
        <v>0</v>
      </c>
      <c r="CD36" s="33" t="e">
        <f>+NOT(CD35)*1</f>
        <v>#DIV/0!</v>
      </c>
    </row>
    <row r="37" spans="1:83" x14ac:dyDescent="0.25">
      <c r="A37" s="7"/>
      <c r="B37" s="11"/>
      <c r="C37" s="11"/>
      <c r="D37" s="11"/>
      <c r="E37" s="12"/>
      <c r="F37" s="12"/>
      <c r="G37" s="12"/>
      <c r="H37" s="16"/>
      <c r="I37" s="16"/>
      <c r="J37" s="12"/>
      <c r="K37" s="12"/>
      <c r="L37" s="13"/>
      <c r="M37" s="36"/>
      <c r="N37" s="36"/>
      <c r="P37" s="42"/>
      <c r="Q37" s="42"/>
      <c r="R37" s="42"/>
      <c r="S37" s="14"/>
      <c r="U37" s="14"/>
      <c r="W37" s="14"/>
      <c r="X37" s="12"/>
      <c r="Y37" s="12"/>
      <c r="AA37" s="12" t="s">
        <v>174</v>
      </c>
      <c r="AC37" s="34" t="e">
        <f>+SUMPRODUCT(AC35:AC36,AG35:AG36)</f>
        <v>#DIV/0!</v>
      </c>
      <c r="AD37" s="34" t="e">
        <f>+SUMPRODUCT(AD35:AD36,AG35:AG36)</f>
        <v>#DIV/0!</v>
      </c>
      <c r="AE37" s="34" t="e">
        <f>+SUMPRODUCT(AE35:AE36,AG35:AG36)</f>
        <v>#DIV/0!</v>
      </c>
      <c r="AJ37" s="34" t="e">
        <f>+SUMPRODUCT(AJ35:AJ36,AN35:AN36)</f>
        <v>#DIV/0!</v>
      </c>
      <c r="AK37" s="34" t="e">
        <f>+SUMPRODUCT(AK35:AK36,AN35:AN36)</f>
        <v>#DIV/0!</v>
      </c>
      <c r="AL37" s="34" t="e">
        <f>+SUMPRODUCT(AL35:AL36,AN35:AN36)</f>
        <v>#DIV/0!</v>
      </c>
      <c r="AQ37" s="34" t="e">
        <f>+SUMPRODUCT(AQ35:AQ36,AU35:AU36)</f>
        <v>#DIV/0!</v>
      </c>
      <c r="AR37" s="34" t="e">
        <f>+SUMPRODUCT(AR35:AR36,AU35:AU36)</f>
        <v>#DIV/0!</v>
      </c>
      <c r="AS37" s="34" t="e">
        <f>+SUMPRODUCT(AS35:AS36,AU35:AU36)</f>
        <v>#DIV/0!</v>
      </c>
      <c r="AX37" s="34" t="e">
        <f>+SUMPRODUCT(AX35:AX36,BB35:BB36)</f>
        <v>#DIV/0!</v>
      </c>
      <c r="AY37" s="34" t="e">
        <f>+SUMPRODUCT(AY35:AY36,BB35:BB36)</f>
        <v>#DIV/0!</v>
      </c>
      <c r="AZ37" s="34" t="e">
        <f>+SUMPRODUCT(AZ35:AZ36,BB35:BB36)</f>
        <v>#DIV/0!</v>
      </c>
      <c r="BE37" s="34" t="e">
        <f>+SUMPRODUCT(BE35:BE36,BI35:BI36)</f>
        <v>#DIV/0!</v>
      </c>
      <c r="BF37" s="34" t="e">
        <f>+SUMPRODUCT(BF35:BF36,BI35:BI36)</f>
        <v>#DIV/0!</v>
      </c>
      <c r="BG37" s="34" t="e">
        <f>+SUMPRODUCT(BG35:BG36,BI35:BI36)</f>
        <v>#DIV/0!</v>
      </c>
      <c r="BL37" s="34" t="e">
        <f>+SUMPRODUCT(BL35:BL36,BP35:BP36)</f>
        <v>#DIV/0!</v>
      </c>
      <c r="BM37" s="34" t="e">
        <f>+SUMPRODUCT(BM35:BM36,BP35:BP36)</f>
        <v>#DIV/0!</v>
      </c>
      <c r="BN37" s="34" t="e">
        <f>+SUMPRODUCT(BN35:BN36,BP35:BP36)</f>
        <v>#DIV/0!</v>
      </c>
      <c r="BS37" s="34" t="e">
        <f>+SUMPRODUCT(BS35:BS36,BW35:BW36)</f>
        <v>#DIV/0!</v>
      </c>
      <c r="BT37" s="34" t="e">
        <f>+SUMPRODUCT(BT35:BT36,BW35:BW36)</f>
        <v>#DIV/0!</v>
      </c>
      <c r="BU37" s="34" t="e">
        <f>+SUMPRODUCT(BU35:BU36,BW35:BW36)</f>
        <v>#DIV/0!</v>
      </c>
      <c r="BZ37" s="34" t="e">
        <f>+SUMPRODUCT(BZ35:BZ36,CD35:CD36)</f>
        <v>#DIV/0!</v>
      </c>
      <c r="CA37" s="34" t="e">
        <f>+SUMPRODUCT(CA35:CA36,CD35:CD36)</f>
        <v>#DIV/0!</v>
      </c>
      <c r="CB37" s="34" t="e">
        <f>+SUMPRODUCT(CB35:CB36,CD35:CD36)</f>
        <v>#DIV/0!</v>
      </c>
    </row>
    <row r="38" spans="1:83" x14ac:dyDescent="0.25">
      <c r="A38" s="7"/>
      <c r="B38" s="11"/>
      <c r="C38" s="11"/>
      <c r="D38" s="11"/>
      <c r="E38" s="12"/>
      <c r="F38" s="12"/>
      <c r="G38" s="12"/>
      <c r="H38" s="11"/>
      <c r="I38" s="16"/>
      <c r="J38" s="12"/>
      <c r="K38" s="12"/>
      <c r="L38" s="13"/>
      <c r="M38" s="36"/>
      <c r="N38" s="36"/>
      <c r="P38" s="42"/>
      <c r="Q38" s="42"/>
      <c r="R38" s="42"/>
      <c r="S38" s="14"/>
      <c r="U38" s="14"/>
      <c r="W38" s="14"/>
      <c r="X38" s="12"/>
      <c r="Y38" s="12"/>
      <c r="AA38" s="12" t="s">
        <v>175</v>
      </c>
    </row>
    <row r="39" spans="1:83" x14ac:dyDescent="0.25">
      <c r="A39" s="7"/>
      <c r="B39" s="11"/>
      <c r="C39" s="11"/>
      <c r="D39" s="11"/>
      <c r="E39" s="12"/>
      <c r="F39" s="12"/>
      <c r="G39" s="12"/>
      <c r="H39" s="16"/>
      <c r="I39" s="16"/>
      <c r="J39" s="12"/>
      <c r="K39" s="12"/>
      <c r="L39" s="13"/>
      <c r="M39" s="36"/>
      <c r="N39" s="36"/>
      <c r="P39" s="42"/>
      <c r="Q39" s="42"/>
      <c r="R39" s="42"/>
      <c r="S39" s="14"/>
      <c r="U39" s="14"/>
      <c r="W39" s="14"/>
      <c r="X39" s="12"/>
      <c r="Y39" s="12"/>
      <c r="AA39" s="12" t="s">
        <v>176</v>
      </c>
    </row>
    <row r="40" spans="1:83" x14ac:dyDescent="0.25">
      <c r="A40" s="7"/>
      <c r="B40" s="11"/>
      <c r="C40" s="11"/>
      <c r="D40" s="11"/>
      <c r="E40" s="12"/>
      <c r="F40" s="12"/>
      <c r="G40" s="12"/>
      <c r="H40" s="16"/>
      <c r="I40" s="16"/>
      <c r="J40" s="12"/>
      <c r="K40" s="12"/>
      <c r="L40" s="13"/>
      <c r="M40" s="36"/>
      <c r="N40" s="36"/>
      <c r="P40" s="42"/>
      <c r="Q40" s="42"/>
      <c r="R40" s="42"/>
      <c r="S40" s="14"/>
      <c r="U40" s="14"/>
      <c r="W40" s="14"/>
      <c r="X40" s="12"/>
      <c r="Y40" s="12"/>
      <c r="AA40" s="12"/>
    </row>
    <row r="41" spans="1:83" x14ac:dyDescent="0.25">
      <c r="A41" s="7"/>
      <c r="B41" s="11"/>
      <c r="C41" s="11"/>
      <c r="D41" s="11"/>
      <c r="E41" s="12"/>
      <c r="F41" s="12"/>
      <c r="G41" s="12"/>
      <c r="H41" s="16"/>
      <c r="I41" s="16"/>
      <c r="J41" s="12"/>
      <c r="K41" s="12"/>
      <c r="L41" s="13"/>
      <c r="M41" s="36"/>
      <c r="N41" s="36"/>
      <c r="P41" s="42"/>
      <c r="Q41" s="42"/>
      <c r="R41" s="42"/>
      <c r="S41" s="14"/>
      <c r="U41" s="14"/>
      <c r="W41" s="14"/>
      <c r="X41" s="12"/>
      <c r="Y41" s="12"/>
      <c r="AA41" s="12"/>
    </row>
    <row r="42" spans="1:83" x14ac:dyDescent="0.25">
      <c r="A42" s="7"/>
      <c r="B42" s="11"/>
      <c r="C42" s="11"/>
      <c r="D42" s="11"/>
      <c r="E42" s="12"/>
      <c r="F42" s="12"/>
      <c r="G42" s="12"/>
      <c r="H42" s="16"/>
      <c r="I42" s="16"/>
      <c r="J42" s="12"/>
      <c r="K42" s="12"/>
      <c r="L42" s="13"/>
      <c r="M42" s="36"/>
      <c r="N42" s="36"/>
      <c r="P42" s="42"/>
      <c r="Q42" s="42"/>
      <c r="R42" s="42"/>
      <c r="S42" s="14"/>
      <c r="U42" s="14"/>
      <c r="W42" s="14"/>
      <c r="X42" s="12"/>
      <c r="Y42" s="12"/>
      <c r="AA42" s="12"/>
    </row>
    <row r="43" spans="1:83" x14ac:dyDescent="0.25">
      <c r="A43" s="7" t="s">
        <v>144</v>
      </c>
      <c r="B43" s="7"/>
      <c r="C43" s="7"/>
      <c r="D43" s="7"/>
      <c r="E43" s="7"/>
      <c r="F43" s="7"/>
      <c r="G43" s="7"/>
      <c r="H43" s="11"/>
      <c r="I43" s="11"/>
      <c r="J43" s="7"/>
      <c r="K43" s="7"/>
      <c r="L43" s="7"/>
      <c r="X43" s="7"/>
      <c r="Y43" s="7"/>
      <c r="AA43" s="12"/>
    </row>
    <row r="44" spans="1:83" x14ac:dyDescent="0.25">
      <c r="A44" s="10" t="s">
        <v>214</v>
      </c>
      <c r="B44" s="7"/>
      <c r="C44" s="7"/>
      <c r="D44" s="7"/>
      <c r="E44" s="7"/>
      <c r="F44" s="7"/>
      <c r="G44" s="7"/>
      <c r="H44" s="11"/>
      <c r="I44" s="11"/>
      <c r="J44" s="7"/>
      <c r="K44" s="7"/>
      <c r="L44" s="7"/>
      <c r="X44" s="7"/>
      <c r="Y44" s="7"/>
      <c r="AA44" s="12"/>
      <c r="AC44" s="94" t="str">
        <f>+A45</f>
        <v>Neutropenia - Adverse event cost</v>
      </c>
      <c r="AD44" s="94"/>
      <c r="AE44" s="94"/>
      <c r="AF44" s="94"/>
      <c r="AG44" s="94"/>
      <c r="AH44" s="94"/>
      <c r="AJ44" s="94">
        <f>+A46</f>
        <v>0</v>
      </c>
      <c r="AK44" s="94"/>
      <c r="AL44" s="94"/>
      <c r="AM44" s="94"/>
      <c r="AN44" s="94"/>
      <c r="AO44" s="94"/>
      <c r="AQ44" s="94">
        <f>+A47</f>
        <v>0</v>
      </c>
      <c r="AR44" s="94"/>
      <c r="AS44" s="94"/>
      <c r="AT44" s="94"/>
      <c r="AU44" s="94"/>
      <c r="AV44" s="94"/>
      <c r="AX44" s="94">
        <f>+A48</f>
        <v>0</v>
      </c>
      <c r="AY44" s="94"/>
      <c r="AZ44" s="94"/>
      <c r="BA44" s="94"/>
      <c r="BB44" s="94"/>
      <c r="BC44" s="94"/>
      <c r="BE44" s="94">
        <f>+A49</f>
        <v>0</v>
      </c>
      <c r="BF44" s="94"/>
      <c r="BG44" s="94"/>
      <c r="BH44" s="94"/>
      <c r="BI44" s="94"/>
      <c r="BJ44" s="94"/>
      <c r="BL44" s="94">
        <f>+A50</f>
        <v>0</v>
      </c>
      <c r="BM44" s="94"/>
      <c r="BN44" s="94"/>
      <c r="BO44" s="94"/>
      <c r="BP44" s="94"/>
      <c r="BQ44" s="94"/>
    </row>
    <row r="45" spans="1:83" x14ac:dyDescent="0.25">
      <c r="A45" s="7" t="s">
        <v>72</v>
      </c>
      <c r="B45" s="12">
        <f>+C45+((E45-F45)/(G45-F45))*(D45-C45)</f>
        <v>13632.156971600458</v>
      </c>
      <c r="C45" s="51">
        <f>+'ICER Fig E3'!D13</f>
        <v>1.49</v>
      </c>
      <c r="D45" s="12">
        <f>+'ICER Fig E3'!E13</f>
        <v>77892</v>
      </c>
      <c r="E45" s="12">
        <f t="shared" ref="E45" si="17">+CE_BC_rucaparib_Platinum</f>
        <v>369175</v>
      </c>
      <c r="F45" s="12">
        <f>+'ICER Fig E3'!B13</f>
        <v>367197</v>
      </c>
      <c r="G45" s="12">
        <f>+'ICER Fig E3'!C13</f>
        <v>378500</v>
      </c>
      <c r="H45" s="12">
        <v>10636</v>
      </c>
      <c r="I45" s="12">
        <v>16850</v>
      </c>
      <c r="J45" s="12">
        <f>+AH46</f>
        <v>368740.21581062954</v>
      </c>
      <c r="K45" s="12">
        <f>+AH47</f>
        <v>369641.953929946</v>
      </c>
      <c r="L45" s="13">
        <f t="shared" ref="L45" si="18">+S45</f>
        <v>1.221288168641514E-3</v>
      </c>
      <c r="M45" s="36" t="str">
        <f t="shared" ref="M45:N45" si="19">+IF(X45,"YES","NO")</f>
        <v>NO</v>
      </c>
      <c r="N45" s="36" t="str">
        <f t="shared" si="19"/>
        <v>NO</v>
      </c>
      <c r="O45" s="2"/>
      <c r="P45" s="48">
        <f t="shared" ref="P45" si="20">+MIN(E45,J45,K45)</f>
        <v>368740.21581062954</v>
      </c>
      <c r="Q45" s="42">
        <f t="shared" ref="Q45" si="21">+MEDIAN(E45,J45,K45)</f>
        <v>369175</v>
      </c>
      <c r="R45" s="42">
        <f t="shared" ref="R45" si="22">+MAX(E45,J45,K45)</f>
        <v>369641.953929946</v>
      </c>
      <c r="S45" s="14">
        <f t="shared" ref="S45" si="23">+AVERAGE((Q45-P45)/Q45,(R45-Q45)/Q45)</f>
        <v>1.221288168641514E-3</v>
      </c>
      <c r="T45" t="b">
        <f t="shared" ref="T45" si="24">+AND(E45&lt;=Benchmark1,J45&lt;=Benchmark1,K45&lt;=Benchmark1)</f>
        <v>0</v>
      </c>
      <c r="U45" s="14" t="b">
        <f t="shared" ref="U45" si="25">+AND(E45&gt;Benchmark1,J45&gt;Benchmark1,K45&gt;Benchmark1)</f>
        <v>1</v>
      </c>
      <c r="V45" t="b">
        <f t="shared" ref="V45" si="26">+AND(E45&lt;=Benchmark2,J45&lt;=Benchmark2,K45&lt;=Benchmark2)</f>
        <v>0</v>
      </c>
      <c r="W45" s="14" t="b">
        <f t="shared" ref="W45" si="27">+AND(E45&gt;Benchmark2,J45&gt;Benchmark2,K45&gt;Benchmark2)</f>
        <v>1</v>
      </c>
      <c r="X45" s="12" t="b">
        <f t="shared" ref="X45" si="28">+AND(NOT(T45),NOT(U45))</f>
        <v>0</v>
      </c>
      <c r="Y45" s="12" t="b">
        <f t="shared" ref="Y45" si="29">+AND(NOT(V45),NOT(W45))</f>
        <v>0</v>
      </c>
      <c r="AA45" s="12" t="s">
        <v>44</v>
      </c>
      <c r="AC45" s="31">
        <f>+B45</f>
        <v>13632.156971600458</v>
      </c>
      <c r="AD45" s="32">
        <f>+E45</f>
        <v>369175</v>
      </c>
      <c r="AF45" s="32" t="s">
        <v>149</v>
      </c>
      <c r="AG45" s="35">
        <f>-AD48/(2*AC48)</f>
        <v>-3.8929066931806437E+19</v>
      </c>
      <c r="AJ45" s="31">
        <f>+B46</f>
        <v>0</v>
      </c>
      <c r="AK45" s="32">
        <f>+E46</f>
        <v>0</v>
      </c>
      <c r="AM45" s="32" t="s">
        <v>149</v>
      </c>
      <c r="AN45" s="35" t="e">
        <f>-AK48/(2*AJ48)</f>
        <v>#DIV/0!</v>
      </c>
      <c r="AQ45" s="31">
        <f>+B47</f>
        <v>0</v>
      </c>
      <c r="AR45" s="32">
        <f>+E47</f>
        <v>0</v>
      </c>
      <c r="AT45" s="32" t="s">
        <v>149</v>
      </c>
      <c r="AU45" s="35" t="e">
        <f>-AR48/(2*AQ48)</f>
        <v>#DIV/0!</v>
      </c>
      <c r="AX45" s="31">
        <f>+B48</f>
        <v>0</v>
      </c>
      <c r="AY45" s="32">
        <f>+E48</f>
        <v>0</v>
      </c>
      <c r="BA45" s="32" t="s">
        <v>149</v>
      </c>
      <c r="BB45" s="35" t="e">
        <f>-AY48/(2*AX48)</f>
        <v>#DIV/0!</v>
      </c>
      <c r="BE45" s="31">
        <f>+B49</f>
        <v>0</v>
      </c>
      <c r="BF45" s="32">
        <f>+E49</f>
        <v>0</v>
      </c>
      <c r="BH45" s="32" t="s">
        <v>149</v>
      </c>
      <c r="BI45" s="35" t="e">
        <f>-BF48/(2*BE48)</f>
        <v>#DIV/0!</v>
      </c>
      <c r="BL45" s="31">
        <f>+B50</f>
        <v>0</v>
      </c>
      <c r="BM45" s="32">
        <f>+E50</f>
        <v>0</v>
      </c>
      <c r="BO45" s="32" t="s">
        <v>149</v>
      </c>
      <c r="BP45" s="35" t="e">
        <f>-BM48/(2*BL48)</f>
        <v>#DIV/0!</v>
      </c>
    </row>
    <row r="46" spans="1:83" x14ac:dyDescent="0.25">
      <c r="A46" s="7"/>
      <c r="B46" s="11"/>
      <c r="C46" s="11"/>
      <c r="D46" s="11"/>
      <c r="E46" s="12"/>
      <c r="F46" s="12"/>
      <c r="G46" s="12"/>
      <c r="H46" s="16"/>
      <c r="I46" s="16"/>
      <c r="J46" s="12"/>
      <c r="K46" s="12"/>
      <c r="L46" s="13"/>
      <c r="M46" s="36"/>
      <c r="N46" s="36"/>
      <c r="O46" s="2"/>
      <c r="P46" s="42"/>
      <c r="Q46" s="42"/>
      <c r="R46" s="42"/>
      <c r="S46" s="14"/>
      <c r="U46" s="14"/>
      <c r="W46" s="14"/>
      <c r="X46" s="12"/>
      <c r="Y46" s="12"/>
      <c r="AA46" s="12" t="s">
        <v>45</v>
      </c>
      <c r="AC46" s="31">
        <f>+C45</f>
        <v>1.49</v>
      </c>
      <c r="AD46" s="32">
        <f>+F45</f>
        <v>367197</v>
      </c>
      <c r="AF46" s="32" t="s">
        <v>150</v>
      </c>
      <c r="AG46" s="35">
        <f>+H45</f>
        <v>10636</v>
      </c>
      <c r="AH46" s="32">
        <f>+AC50*AG46^2+AD50*AG46+AE50</f>
        <v>368740.21581062954</v>
      </c>
      <c r="AJ46" s="31">
        <f>+C46</f>
        <v>0</v>
      </c>
      <c r="AK46" s="32">
        <f>+F46</f>
        <v>0</v>
      </c>
      <c r="AM46" s="32" t="s">
        <v>150</v>
      </c>
      <c r="AN46" s="35">
        <f>+H46</f>
        <v>0</v>
      </c>
      <c r="AO46" s="32" t="e">
        <f>+AJ50*AN46^2+AK50*AN46+AL50</f>
        <v>#DIV/0!</v>
      </c>
      <c r="AQ46" s="31">
        <f>+C47</f>
        <v>0</v>
      </c>
      <c r="AR46" s="32">
        <f>+F47</f>
        <v>0</v>
      </c>
      <c r="AT46" s="32" t="s">
        <v>150</v>
      </c>
      <c r="AU46" s="35">
        <f>+H47</f>
        <v>0</v>
      </c>
      <c r="AV46" s="32" t="e">
        <f>+AQ50*AU46^2+AR50*AU46+AS50</f>
        <v>#DIV/0!</v>
      </c>
      <c r="AX46" s="31">
        <f>+C48</f>
        <v>0</v>
      </c>
      <c r="AY46" s="32">
        <f>+F48</f>
        <v>0</v>
      </c>
      <c r="BA46" s="32" t="s">
        <v>150</v>
      </c>
      <c r="BB46" s="35">
        <f>+H48</f>
        <v>0</v>
      </c>
      <c r="BC46" s="32" t="e">
        <f>+AX50*BB46^2+AY50*BB46+AZ50</f>
        <v>#DIV/0!</v>
      </c>
      <c r="BE46" s="31">
        <f>+C49</f>
        <v>0</v>
      </c>
      <c r="BF46" s="32">
        <f>+F49</f>
        <v>0</v>
      </c>
      <c r="BH46" s="32" t="s">
        <v>150</v>
      </c>
      <c r="BI46" s="35">
        <f>+H49</f>
        <v>0</v>
      </c>
      <c r="BJ46" s="32" t="e">
        <f>+BE50*BI46^2+BF50*BI46+BG50</f>
        <v>#DIV/0!</v>
      </c>
      <c r="BL46" s="31">
        <f>+C50</f>
        <v>0</v>
      </c>
      <c r="BM46" s="32">
        <f>+F50</f>
        <v>0</v>
      </c>
      <c r="BO46" s="32" t="s">
        <v>150</v>
      </c>
      <c r="BP46" s="35">
        <f>+H50</f>
        <v>0</v>
      </c>
      <c r="BQ46" s="32" t="e">
        <f>+BL50*BP46^2+BM50*BP46+BN50</f>
        <v>#DIV/0!</v>
      </c>
    </row>
    <row r="47" spans="1:83" x14ac:dyDescent="0.25">
      <c r="A47" s="7"/>
      <c r="B47" s="11"/>
      <c r="C47" s="11"/>
      <c r="D47" s="11"/>
      <c r="E47" s="12"/>
      <c r="F47" s="12"/>
      <c r="G47" s="12"/>
      <c r="H47" s="11"/>
      <c r="I47" s="16"/>
      <c r="J47" s="12"/>
      <c r="K47" s="12"/>
      <c r="L47" s="13"/>
      <c r="M47" s="36"/>
      <c r="N47" s="36"/>
      <c r="P47" s="42"/>
      <c r="Q47" s="42"/>
      <c r="R47" s="42"/>
      <c r="S47" s="14"/>
      <c r="U47" s="14"/>
      <c r="W47" s="14"/>
      <c r="X47" s="12"/>
      <c r="Y47" s="12"/>
      <c r="AA47" s="12" t="s">
        <v>46</v>
      </c>
      <c r="AC47" s="31">
        <f>+D45</f>
        <v>77892</v>
      </c>
      <c r="AD47" s="32">
        <f>+G45</f>
        <v>378500</v>
      </c>
      <c r="AF47" s="32" t="s">
        <v>151</v>
      </c>
      <c r="AG47" s="35">
        <f>+I45</f>
        <v>16850</v>
      </c>
      <c r="AH47" s="32">
        <f>+AC50*AG47^2+AD50*AG47+AE50</f>
        <v>369641.953929946</v>
      </c>
      <c r="AJ47" s="31">
        <f>+D46</f>
        <v>0</v>
      </c>
      <c r="AK47" s="32">
        <f>+G46</f>
        <v>0</v>
      </c>
      <c r="AM47" s="32" t="s">
        <v>151</v>
      </c>
      <c r="AN47" s="35">
        <f>+I46</f>
        <v>0</v>
      </c>
      <c r="AO47" s="32" t="e">
        <f>+AJ50*AN47^2+AK50*AN47+AL50</f>
        <v>#DIV/0!</v>
      </c>
      <c r="AQ47" s="31">
        <f>+D47</f>
        <v>0</v>
      </c>
      <c r="AR47" s="32">
        <f>+G47</f>
        <v>0</v>
      </c>
      <c r="AT47" s="32" t="s">
        <v>151</v>
      </c>
      <c r="AU47" s="35">
        <f>+I47</f>
        <v>0</v>
      </c>
      <c r="AV47" s="32" t="e">
        <f>+AQ50*AU47^2+AR50*AU47+AS50</f>
        <v>#DIV/0!</v>
      </c>
      <c r="AX47" s="31">
        <f>+D48</f>
        <v>0</v>
      </c>
      <c r="AY47" s="32">
        <f>+G48</f>
        <v>0</v>
      </c>
      <c r="BA47" s="32" t="s">
        <v>151</v>
      </c>
      <c r="BB47" s="35">
        <f>+I48</f>
        <v>0</v>
      </c>
      <c r="BC47" s="32" t="e">
        <f>+AX50*BB47^2+AY50*BB47+AZ50</f>
        <v>#DIV/0!</v>
      </c>
      <c r="BE47" s="31">
        <f>+D49</f>
        <v>0</v>
      </c>
      <c r="BF47" s="32">
        <f>+G49</f>
        <v>0</v>
      </c>
      <c r="BH47" s="32" t="s">
        <v>151</v>
      </c>
      <c r="BI47" s="35">
        <f>+I49</f>
        <v>0</v>
      </c>
      <c r="BJ47" s="32" t="e">
        <f>+BE50*BI47^2+BF50*BI47+BG50</f>
        <v>#DIV/0!</v>
      </c>
      <c r="BL47" s="31">
        <f>+D50</f>
        <v>0</v>
      </c>
      <c r="BM47" s="32">
        <f>+G50</f>
        <v>0</v>
      </c>
      <c r="BO47" s="32" t="s">
        <v>151</v>
      </c>
      <c r="BP47" s="35">
        <f>+I50</f>
        <v>0</v>
      </c>
      <c r="BQ47" s="32" t="e">
        <f>+BL50*BP47^2+BM50*BP47+BN50</f>
        <v>#DIV/0!</v>
      </c>
    </row>
    <row r="48" spans="1:83" x14ac:dyDescent="0.25">
      <c r="A48" s="7"/>
      <c r="B48" s="11"/>
      <c r="C48" s="11"/>
      <c r="D48" s="11"/>
      <c r="E48" s="12"/>
      <c r="F48" s="12"/>
      <c r="G48" s="12"/>
      <c r="H48" s="16"/>
      <c r="I48" s="16"/>
      <c r="J48" s="12"/>
      <c r="K48" s="12"/>
      <c r="L48" s="13"/>
      <c r="M48" s="36"/>
      <c r="N48" s="36"/>
      <c r="P48" s="42"/>
      <c r="Q48" s="42"/>
      <c r="R48" s="42"/>
      <c r="S48" s="14"/>
      <c r="U48" s="14"/>
      <c r="W48" s="14"/>
      <c r="X48" s="12"/>
      <c r="Y48" s="12"/>
      <c r="AA48" s="12" t="s">
        <v>48</v>
      </c>
      <c r="AC48" s="34" cm="1">
        <f t="array" ref="AC48:AE48">+LINEST(AD45:AD47,AC45:AC47^{1,2})</f>
        <v>1.8638252456495622E-21</v>
      </c>
      <c r="AD48" s="34">
        <v>0.14511395547416475</v>
      </c>
      <c r="AE48" s="34">
        <v>367196.78378020634</v>
      </c>
      <c r="AG48" s="33">
        <f>+OR(AG45=MIN(AG45:AG47,AC45:AC47),AG45=MAX(AG45:AG47,AC45:AC47))*1</f>
        <v>1</v>
      </c>
      <c r="AJ48" s="34" cm="1">
        <f t="array" ref="AJ48:AL48">+LINEST(AK45:AK47,AJ45:AJ47^{1,2})</f>
        <v>0</v>
      </c>
      <c r="AK48" s="34">
        <v>0</v>
      </c>
      <c r="AL48" s="34">
        <v>0</v>
      </c>
      <c r="AN48" s="33" t="e">
        <f>+OR(AN45=MIN(AN45:AN47,AJ45:AJ47),AN45=MAX(AN45:AN47,AJ45:AJ47))*1</f>
        <v>#DIV/0!</v>
      </c>
      <c r="AQ48" s="34" cm="1">
        <f t="array" ref="AQ48:AS48">+LINEST(AR45:AR47,AQ45:AQ47^{1,2})</f>
        <v>0</v>
      </c>
      <c r="AR48" s="34">
        <v>0</v>
      </c>
      <c r="AS48" s="34">
        <v>0</v>
      </c>
      <c r="AU48" s="33" t="e">
        <f>+OR(AU45=MIN(AU45:AU47,AQ45:AQ47),AU45=MAX(AU45:AU47,AQ45:AQ47))*1</f>
        <v>#DIV/0!</v>
      </c>
      <c r="AX48" s="34" cm="1">
        <f t="array" ref="AX48:AZ48">+LINEST(AY45:AY47,AX45:AX47^{1,2})</f>
        <v>0</v>
      </c>
      <c r="AY48" s="34">
        <v>0</v>
      </c>
      <c r="AZ48" s="34">
        <v>0</v>
      </c>
      <c r="BB48" s="33" t="e">
        <f>+OR(BB45=MIN(BB45:BB47,AX45:AX47),BB45=MAX(BB45:BB47,AX45:AX47))*1</f>
        <v>#DIV/0!</v>
      </c>
      <c r="BE48" s="47" cm="1">
        <f t="array" ref="BE48:BG48">+LINEST(BF45:BF47,BE45:BE47^{1,2})</f>
        <v>0</v>
      </c>
      <c r="BF48" s="34">
        <v>0</v>
      </c>
      <c r="BG48" s="34">
        <v>0</v>
      </c>
      <c r="BI48" s="33" t="e">
        <f>+OR(BI45=MIN(BI45:BI47,BE45:BE47),BI45=MAX(BI45:BI47,BE45:BE47))*1</f>
        <v>#DIV/0!</v>
      </c>
      <c r="BL48" s="34" cm="1">
        <f t="array" ref="BL48:BN48">+LINEST(BM45:BM47,BL45:BL47^{1,2})</f>
        <v>0</v>
      </c>
      <c r="BM48" s="34">
        <v>0</v>
      </c>
      <c r="BN48" s="34">
        <v>0</v>
      </c>
      <c r="BP48" s="33" t="e">
        <f>+OR(BP45=MIN(BP45:BP47,BL45:BL47),BP45=MAX(BP45:BP47,BL45:BL47))*1</f>
        <v>#DIV/0!</v>
      </c>
    </row>
    <row r="49" spans="1:68" x14ac:dyDescent="0.25">
      <c r="A49" s="7"/>
      <c r="B49" s="11"/>
      <c r="C49" s="11"/>
      <c r="D49" s="11"/>
      <c r="E49" s="12"/>
      <c r="F49" s="12"/>
      <c r="G49" s="12"/>
      <c r="H49" s="11"/>
      <c r="I49" s="16"/>
      <c r="J49" s="12"/>
      <c r="K49" s="12"/>
      <c r="L49" s="13"/>
      <c r="M49" s="36"/>
      <c r="N49" s="36"/>
      <c r="P49" s="42"/>
      <c r="Q49" s="42"/>
      <c r="R49" s="42"/>
      <c r="S49" s="14"/>
      <c r="U49" s="14"/>
      <c r="W49" s="14"/>
      <c r="X49" s="12"/>
      <c r="Y49" s="12"/>
      <c r="AA49" s="12" t="s">
        <v>50</v>
      </c>
      <c r="AD49" s="34" cm="1">
        <f t="array" ref="AD49:AE49">+LINEST(AD45:AD47,AC45:AC47^{1})</f>
        <v>0.14511395547416497</v>
      </c>
      <c r="AE49" s="34">
        <v>367196.78378020634</v>
      </c>
      <c r="AG49" s="33">
        <f>+NOT(AG48)*1</f>
        <v>0</v>
      </c>
      <c r="AK49" s="34" cm="1">
        <f t="array" ref="AK49:AL49">+LINEST(AK45:AK47,AJ45:AJ47^{1})</f>
        <v>0</v>
      </c>
      <c r="AL49" s="34">
        <v>0</v>
      </c>
      <c r="AN49" s="33" t="e">
        <f>+NOT(AN48)*1</f>
        <v>#DIV/0!</v>
      </c>
      <c r="AR49" s="34" cm="1">
        <f t="array" ref="AR49:AS49">+LINEST(AR45:AR47,AQ45:AQ47^{1})</f>
        <v>0</v>
      </c>
      <c r="AS49" s="34">
        <v>0</v>
      </c>
      <c r="AU49" s="33" t="e">
        <f>+NOT(AU48)*1</f>
        <v>#DIV/0!</v>
      </c>
      <c r="AY49" s="34" cm="1">
        <f t="array" ref="AY49:AZ49">+LINEST(AY45:AY47,AX45:AX47^{1})</f>
        <v>0</v>
      </c>
      <c r="AZ49" s="34">
        <v>0</v>
      </c>
      <c r="BB49" s="33" t="e">
        <f>+NOT(BB48)*1</f>
        <v>#DIV/0!</v>
      </c>
      <c r="BF49" s="34" cm="1">
        <f t="array" ref="BF49:BG49">+LINEST(BF45:BF47,BE45:BE47^{1})</f>
        <v>0</v>
      </c>
      <c r="BG49" s="34">
        <v>0</v>
      </c>
      <c r="BI49" s="33" t="e">
        <f>+NOT(BI48)*1</f>
        <v>#DIV/0!</v>
      </c>
      <c r="BM49" s="34" cm="1">
        <f t="array" ref="BM49:BN49">+LINEST(BM45:BM47,BL45:BL47^{1})</f>
        <v>0</v>
      </c>
      <c r="BN49" s="34">
        <v>0</v>
      </c>
      <c r="BP49" s="33" t="e">
        <f>+NOT(BP48)*1</f>
        <v>#DIV/0!</v>
      </c>
    </row>
    <row r="50" spans="1:68" x14ac:dyDescent="0.25">
      <c r="A50" s="7"/>
      <c r="B50" s="11"/>
      <c r="C50" s="11"/>
      <c r="D50" s="11"/>
      <c r="E50" s="12"/>
      <c r="F50" s="12"/>
      <c r="G50" s="12"/>
      <c r="H50" s="16"/>
      <c r="I50" s="16"/>
      <c r="J50" s="12"/>
      <c r="K50" s="12"/>
      <c r="L50" s="13"/>
      <c r="M50" s="36"/>
      <c r="N50" s="36"/>
      <c r="P50" s="42"/>
      <c r="Q50" s="42"/>
      <c r="R50" s="42"/>
      <c r="S50" s="14"/>
      <c r="U50" s="14"/>
      <c r="W50" s="14"/>
      <c r="X50" s="12"/>
      <c r="Y50" s="12"/>
      <c r="AA50" s="12" t="s">
        <v>52</v>
      </c>
      <c r="AC50" s="34">
        <f>+SUMPRODUCT(AC48:AC49,AG48:AG49)</f>
        <v>1.8638252456495622E-21</v>
      </c>
      <c r="AD50" s="34">
        <f>+SUMPRODUCT(AD48:AD49,AG48:AG49)</f>
        <v>0.14511395547416475</v>
      </c>
      <c r="AE50" s="34">
        <f>+SUMPRODUCT(AE48:AE49,AG48:AG49)</f>
        <v>367196.78378020634</v>
      </c>
      <c r="AJ50" s="34" t="e">
        <f>+SUMPRODUCT(AJ48:AJ49,AN48:AN49)</f>
        <v>#DIV/0!</v>
      </c>
      <c r="AK50" s="34" t="e">
        <f>+SUMPRODUCT(AK48:AK49,AN48:AN49)</f>
        <v>#DIV/0!</v>
      </c>
      <c r="AL50" s="34" t="e">
        <f>+SUMPRODUCT(AL48:AL49,AN48:AN49)</f>
        <v>#DIV/0!</v>
      </c>
      <c r="AQ50" s="34" t="e">
        <f>+SUMPRODUCT(AQ48:AQ49,AU48:AU49)</f>
        <v>#DIV/0!</v>
      </c>
      <c r="AR50" s="34" t="e">
        <f>+SUMPRODUCT(AR48:AR49,AU48:AU49)</f>
        <v>#DIV/0!</v>
      </c>
      <c r="AS50" s="34" t="e">
        <f>+SUMPRODUCT(AS48:AS49,AU48:AU49)</f>
        <v>#DIV/0!</v>
      </c>
      <c r="AX50" s="34" t="e">
        <f>+SUMPRODUCT(AX48:AX49,BB48:BB49)</f>
        <v>#DIV/0!</v>
      </c>
      <c r="AY50" s="34" t="e">
        <f>+SUMPRODUCT(AY48:AY49,BB48:BB49)</f>
        <v>#DIV/0!</v>
      </c>
      <c r="AZ50" s="34" t="e">
        <f>+SUMPRODUCT(AZ48:AZ49,BB48:BB49)</f>
        <v>#DIV/0!</v>
      </c>
      <c r="BE50" s="34" t="e">
        <f>+SUMPRODUCT(BE48:BE49,BI48:BI49)</f>
        <v>#DIV/0!</v>
      </c>
      <c r="BF50" s="34" t="e">
        <f>+SUMPRODUCT(BF48:BF49,BI48:BI49)</f>
        <v>#DIV/0!</v>
      </c>
      <c r="BG50" s="34" t="e">
        <f>+SUMPRODUCT(BG48:BG49,BI48:BI49)</f>
        <v>#DIV/0!</v>
      </c>
      <c r="BL50" s="34" t="e">
        <f>+SUMPRODUCT(BL48:BL49,BP48:BP49)</f>
        <v>#DIV/0!</v>
      </c>
      <c r="BM50" s="34" t="e">
        <f>+SUMPRODUCT(BM48:BM49,BP48:BP49)</f>
        <v>#DIV/0!</v>
      </c>
      <c r="BN50" s="34" t="e">
        <f>+SUMPRODUCT(BN48:BN49,BP48:BP49)</f>
        <v>#DIV/0!</v>
      </c>
    </row>
    <row r="51" spans="1:68" x14ac:dyDescent="0.25">
      <c r="AA51" s="12"/>
    </row>
    <row r="52" spans="1:68" x14ac:dyDescent="0.25">
      <c r="E52" s="1"/>
      <c r="F52" s="1"/>
      <c r="G52" s="1"/>
      <c r="X52" s="1">
        <v>1000</v>
      </c>
      <c r="Y52" s="1">
        <v>1000</v>
      </c>
      <c r="AA52" s="12"/>
    </row>
    <row r="53" spans="1:68" x14ac:dyDescent="0.25">
      <c r="A53" t="s">
        <v>53</v>
      </c>
      <c r="B53" s="45">
        <v>100000</v>
      </c>
      <c r="AA53" s="12"/>
    </row>
    <row r="54" spans="1:68" x14ac:dyDescent="0.25">
      <c r="A54" t="s">
        <v>54</v>
      </c>
      <c r="B54" s="45">
        <v>150000</v>
      </c>
      <c r="AA54" s="12"/>
    </row>
    <row r="55" spans="1:68" x14ac:dyDescent="0.25">
      <c r="AA55" s="12"/>
    </row>
    <row r="56" spans="1:68" x14ac:dyDescent="0.25">
      <c r="A56" t="s">
        <v>105</v>
      </c>
      <c r="B56">
        <v>1000</v>
      </c>
      <c r="AA56" s="12"/>
    </row>
    <row r="57" spans="1:68" x14ac:dyDescent="0.25">
      <c r="A57" t="s">
        <v>106</v>
      </c>
      <c r="B57">
        <v>0</v>
      </c>
      <c r="AA57" s="12"/>
    </row>
    <row r="58" spans="1:68" x14ac:dyDescent="0.25">
      <c r="AA58" s="12"/>
    </row>
    <row r="59" spans="1:68" x14ac:dyDescent="0.25">
      <c r="B59" s="17"/>
      <c r="C59" s="17"/>
      <c r="E59" s="17"/>
      <c r="F59" s="17"/>
      <c r="AA59" s="12"/>
    </row>
    <row r="60" spans="1:68" x14ac:dyDescent="0.25">
      <c r="B60" s="18"/>
      <c r="C60" s="18"/>
      <c r="AA60" s="12"/>
    </row>
    <row r="61" spans="1:68" x14ac:dyDescent="0.25">
      <c r="B61" s="17"/>
      <c r="C61" s="17"/>
      <c r="E61" s="17"/>
      <c r="F61" s="17"/>
      <c r="AA61" s="12"/>
    </row>
    <row r="62" spans="1:68" x14ac:dyDescent="0.25">
      <c r="AA62" s="12"/>
    </row>
    <row r="63" spans="1:68" x14ac:dyDescent="0.25">
      <c r="AA63" s="12"/>
    </row>
    <row r="64" spans="1:68" x14ac:dyDescent="0.25">
      <c r="B64" s="17"/>
      <c r="C64" s="17"/>
      <c r="E64" s="17"/>
      <c r="F64" s="17"/>
      <c r="AA64" s="12"/>
    </row>
    <row r="68" spans="2:7" x14ac:dyDescent="0.25">
      <c r="B68" s="17"/>
      <c r="C68" s="17"/>
      <c r="F68" s="17"/>
      <c r="G68" s="17"/>
    </row>
    <row r="90" spans="1:9" x14ac:dyDescent="0.25">
      <c r="A90" s="3"/>
    </row>
    <row r="91" spans="1:9" x14ac:dyDescent="0.25">
      <c r="B91" s="17"/>
      <c r="C91" s="17"/>
      <c r="D91" s="2"/>
      <c r="E91" s="2"/>
      <c r="F91" s="17"/>
      <c r="G91" s="17"/>
      <c r="H91" s="14"/>
      <c r="I91" s="14"/>
    </row>
    <row r="94" spans="1:9" x14ac:dyDescent="0.25">
      <c r="A94" s="3"/>
    </row>
    <row r="95" spans="1:9" x14ac:dyDescent="0.25">
      <c r="B95" s="17"/>
      <c r="C95" s="17"/>
      <c r="D95" s="2"/>
      <c r="E95" s="2"/>
      <c r="F95" s="17"/>
      <c r="G95" s="17"/>
      <c r="H95" s="14"/>
      <c r="I95" s="14"/>
    </row>
  </sheetData>
  <mergeCells count="33">
    <mergeCell ref="BS31:BX31"/>
    <mergeCell ref="BZ31:CE31"/>
    <mergeCell ref="AC44:AH44"/>
    <mergeCell ref="AJ44:AO44"/>
    <mergeCell ref="AQ44:AV44"/>
    <mergeCell ref="AX44:BC44"/>
    <mergeCell ref="BE44:BJ44"/>
    <mergeCell ref="BL44:BQ44"/>
    <mergeCell ref="AC31:AH31"/>
    <mergeCell ref="AJ31:AO31"/>
    <mergeCell ref="AQ31:AV31"/>
    <mergeCell ref="AX31:BC31"/>
    <mergeCell ref="BE31:BJ31"/>
    <mergeCell ref="BL31:BQ31"/>
    <mergeCell ref="BL20:BQ20"/>
    <mergeCell ref="AJ2:AO2"/>
    <mergeCell ref="AQ2:AV2"/>
    <mergeCell ref="AX2:BC2"/>
    <mergeCell ref="AC11:AH11"/>
    <mergeCell ref="AJ11:AO11"/>
    <mergeCell ref="AQ11:AV11"/>
    <mergeCell ref="AX11:BC11"/>
    <mergeCell ref="AC2:AH2"/>
    <mergeCell ref="AC20:AH20"/>
    <mergeCell ref="AJ20:AO20"/>
    <mergeCell ref="AQ20:AV20"/>
    <mergeCell ref="AX20:BC20"/>
    <mergeCell ref="BE20:BJ20"/>
    <mergeCell ref="B1:D1"/>
    <mergeCell ref="E1:G1"/>
    <mergeCell ref="H1:I1"/>
    <mergeCell ref="J1:K1"/>
    <mergeCell ref="L1:N1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F01E0-BC10-46D6-8148-6C6D68F72458}">
  <sheetPr>
    <tabColor rgb="FFFFC000"/>
  </sheetPr>
  <dimension ref="A1:F7"/>
  <sheetViews>
    <sheetView workbookViewId="0">
      <selection activeCell="E2" sqref="E2"/>
    </sheetView>
  </sheetViews>
  <sheetFormatPr defaultRowHeight="15" x14ac:dyDescent="0.25"/>
  <cols>
    <col min="1" max="1" width="9.140625" style="1"/>
    <col min="2" max="2" width="12.140625" customWidth="1"/>
    <col min="3" max="3" width="29.28515625" customWidth="1"/>
    <col min="5" max="5" width="16.5703125" customWidth="1"/>
    <col min="6" max="6" width="19" customWidth="1"/>
  </cols>
  <sheetData>
    <row r="1" spans="1:6" x14ac:dyDescent="0.25">
      <c r="A1" s="21" t="s">
        <v>136</v>
      </c>
      <c r="B1" s="21" t="s">
        <v>137</v>
      </c>
      <c r="C1" s="29"/>
      <c r="E1" s="30" t="s">
        <v>1</v>
      </c>
      <c r="F1" s="30" t="s">
        <v>132</v>
      </c>
    </row>
    <row r="2" spans="1:6" x14ac:dyDescent="0.25">
      <c r="A2" s="21" t="s">
        <v>138</v>
      </c>
      <c r="B2" s="21" t="s">
        <v>141</v>
      </c>
      <c r="C2" s="29" t="s">
        <v>107</v>
      </c>
      <c r="D2" s="23">
        <v>146210</v>
      </c>
      <c r="E2" s="30" t="s">
        <v>146</v>
      </c>
      <c r="F2" s="30" t="s">
        <v>133</v>
      </c>
    </row>
    <row r="3" spans="1:6" x14ac:dyDescent="0.25">
      <c r="A3" s="21" t="s">
        <v>138</v>
      </c>
      <c r="B3" s="21" t="s">
        <v>142</v>
      </c>
      <c r="C3" s="29" t="s">
        <v>143</v>
      </c>
      <c r="D3" s="23">
        <v>324116</v>
      </c>
      <c r="E3" s="30" t="s">
        <v>146</v>
      </c>
      <c r="F3" s="30" t="s">
        <v>134</v>
      </c>
    </row>
    <row r="4" spans="1:6" x14ac:dyDescent="0.25">
      <c r="A4" s="21" t="s">
        <v>139</v>
      </c>
      <c r="B4" s="21" t="s">
        <v>142</v>
      </c>
      <c r="C4" s="29" t="s">
        <v>110</v>
      </c>
      <c r="D4" s="23">
        <v>291454</v>
      </c>
      <c r="E4" s="30" t="s">
        <v>147</v>
      </c>
      <c r="F4" s="30" t="s">
        <v>135</v>
      </c>
    </row>
    <row r="5" spans="1:6" x14ac:dyDescent="0.25">
      <c r="A5" s="21" t="s">
        <v>140</v>
      </c>
      <c r="B5" s="21" t="s">
        <v>141</v>
      </c>
      <c r="C5" s="29" t="s">
        <v>108</v>
      </c>
      <c r="D5" s="23">
        <v>294593</v>
      </c>
      <c r="E5" s="30" t="s">
        <v>148</v>
      </c>
      <c r="F5" s="30" t="s">
        <v>145</v>
      </c>
    </row>
    <row r="6" spans="1:6" x14ac:dyDescent="0.25">
      <c r="A6" s="21" t="s">
        <v>140</v>
      </c>
      <c r="B6" s="21" t="s">
        <v>142</v>
      </c>
      <c r="C6" s="29" t="s">
        <v>109</v>
      </c>
      <c r="D6" s="23">
        <v>369175</v>
      </c>
      <c r="E6" s="30" t="s">
        <v>148</v>
      </c>
      <c r="F6" s="30" t="s">
        <v>144</v>
      </c>
    </row>
    <row r="7" spans="1:6" x14ac:dyDescent="0.25">
      <c r="A7" s="2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F575-5829-47D8-A44B-C8D41C42AE2C}">
  <sheetPr>
    <tabColor rgb="FFFFC000"/>
  </sheetPr>
  <dimension ref="A1:D20"/>
  <sheetViews>
    <sheetView workbookViewId="0">
      <selection activeCell="E2" sqref="E2"/>
    </sheetView>
  </sheetViews>
  <sheetFormatPr defaultRowHeight="12.75" x14ac:dyDescent="0.2"/>
  <cols>
    <col min="1" max="1" width="55" style="19" customWidth="1"/>
    <col min="2" max="16384" width="9.140625" style="19"/>
  </cols>
  <sheetData>
    <row r="1" spans="1:4" x14ac:dyDescent="0.2">
      <c r="A1" s="19" t="s">
        <v>56</v>
      </c>
    </row>
    <row r="3" spans="1:4" x14ac:dyDescent="0.2">
      <c r="A3" s="20"/>
      <c r="B3" s="21" t="s">
        <v>1</v>
      </c>
      <c r="C3" s="21" t="s">
        <v>0</v>
      </c>
      <c r="D3" s="21" t="s">
        <v>2</v>
      </c>
    </row>
    <row r="4" spans="1:4" x14ac:dyDescent="0.2">
      <c r="A4" s="20" t="s">
        <v>60</v>
      </c>
    </row>
    <row r="5" spans="1:4" x14ac:dyDescent="0.2">
      <c r="A5" s="19" t="s">
        <v>57</v>
      </c>
      <c r="B5" s="21">
        <v>0.77</v>
      </c>
      <c r="C5" s="21">
        <v>0.72</v>
      </c>
      <c r="D5" s="21">
        <v>0.82</v>
      </c>
    </row>
    <row r="6" spans="1:4" x14ac:dyDescent="0.2">
      <c r="A6" s="19" t="s">
        <v>58</v>
      </c>
      <c r="B6" s="21">
        <v>0.77</v>
      </c>
      <c r="C6" s="21">
        <v>0.72</v>
      </c>
      <c r="D6" s="21">
        <v>0.82</v>
      </c>
    </row>
    <row r="7" spans="1:4" x14ac:dyDescent="0.2">
      <c r="A7" s="19" t="s">
        <v>59</v>
      </c>
      <c r="B7" s="21">
        <v>0.79769999999999996</v>
      </c>
      <c r="C7" s="21">
        <v>0.75719999999999998</v>
      </c>
      <c r="D7" s="21">
        <v>0.83819999999999995</v>
      </c>
    </row>
    <row r="8" spans="1:4" x14ac:dyDescent="0.2">
      <c r="A8" s="43" t="s">
        <v>55</v>
      </c>
      <c r="B8" s="41">
        <v>0.5</v>
      </c>
      <c r="C8" s="41">
        <v>0.37</v>
      </c>
      <c r="D8" s="41">
        <v>0.63</v>
      </c>
    </row>
    <row r="9" spans="1:4" x14ac:dyDescent="0.2">
      <c r="B9" s="21"/>
      <c r="C9" s="21"/>
      <c r="D9" s="21"/>
    </row>
    <row r="10" spans="1:4" x14ac:dyDescent="0.2">
      <c r="A10" s="20" t="s">
        <v>61</v>
      </c>
      <c r="B10" s="21"/>
      <c r="C10" s="21"/>
      <c r="D10" s="21"/>
    </row>
    <row r="11" spans="1:4" x14ac:dyDescent="0.2">
      <c r="A11" s="19" t="s">
        <v>62</v>
      </c>
      <c r="B11" s="21">
        <v>0.77</v>
      </c>
      <c r="C11" s="21">
        <v>0.73</v>
      </c>
      <c r="D11" s="21">
        <v>0.80800000000000005</v>
      </c>
    </row>
    <row r="12" spans="1:4" x14ac:dyDescent="0.2">
      <c r="A12" s="19" t="s">
        <v>63</v>
      </c>
      <c r="B12" s="21">
        <v>0.77</v>
      </c>
      <c r="C12" s="21">
        <v>0.73</v>
      </c>
      <c r="D12" s="21">
        <v>0.80800000000000005</v>
      </c>
    </row>
    <row r="13" spans="1:4" x14ac:dyDescent="0.2">
      <c r="A13" s="19" t="s">
        <v>58</v>
      </c>
      <c r="B13" s="21">
        <v>0.77</v>
      </c>
      <c r="C13" s="21">
        <v>0.73</v>
      </c>
      <c r="D13" s="21">
        <v>0.80800000000000005</v>
      </c>
    </row>
    <row r="14" spans="1:4" x14ac:dyDescent="0.2">
      <c r="A14" s="19" t="s">
        <v>64</v>
      </c>
      <c r="B14" s="21">
        <v>0.71</v>
      </c>
      <c r="C14" s="21">
        <v>0.66</v>
      </c>
      <c r="D14" s="21">
        <v>0.76</v>
      </c>
    </row>
    <row r="15" spans="1:4" x14ac:dyDescent="0.2">
      <c r="A15" s="19" t="s">
        <v>65</v>
      </c>
      <c r="B15" s="21">
        <v>0.71</v>
      </c>
      <c r="C15" s="21">
        <v>0.66</v>
      </c>
      <c r="D15" s="21">
        <v>0.76</v>
      </c>
    </row>
    <row r="16" spans="1:4" x14ac:dyDescent="0.2">
      <c r="A16" s="19" t="s">
        <v>66</v>
      </c>
      <c r="B16" s="21">
        <v>0.71</v>
      </c>
      <c r="C16" s="21">
        <v>0.66</v>
      </c>
      <c r="D16" s="21">
        <v>0.76</v>
      </c>
    </row>
    <row r="17" spans="1:4" x14ac:dyDescent="0.2">
      <c r="A17" s="19" t="s">
        <v>67</v>
      </c>
      <c r="B17" s="21">
        <v>0.68</v>
      </c>
      <c r="C17" s="21">
        <v>0.55000000000000004</v>
      </c>
      <c r="D17" s="21">
        <v>0.8</v>
      </c>
    </row>
    <row r="18" spans="1:4" x14ac:dyDescent="0.2">
      <c r="A18" s="39" t="s">
        <v>68</v>
      </c>
      <c r="B18" s="38">
        <v>0.68</v>
      </c>
      <c r="C18" s="38">
        <v>0.55000000000000004</v>
      </c>
      <c r="D18" s="38">
        <v>0.8</v>
      </c>
    </row>
    <row r="19" spans="1:4" x14ac:dyDescent="0.2">
      <c r="A19" s="19" t="s">
        <v>69</v>
      </c>
      <c r="B19" s="21">
        <v>0.72</v>
      </c>
      <c r="C19" s="21">
        <v>0.57999999999999996</v>
      </c>
      <c r="D19" s="21">
        <v>0.84</v>
      </c>
    </row>
    <row r="20" spans="1:4" x14ac:dyDescent="0.2">
      <c r="A20" s="19" t="s">
        <v>70</v>
      </c>
      <c r="B20" s="21">
        <v>0.65</v>
      </c>
      <c r="C20" s="21">
        <v>0.52</v>
      </c>
      <c r="D20" s="21">
        <v>0.77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242A-10E8-4FC7-957F-BFC5555A9E90}">
  <sheetPr>
    <tabColor rgb="FFFFC000"/>
  </sheetPr>
  <dimension ref="A1:E21"/>
  <sheetViews>
    <sheetView workbookViewId="0">
      <selection activeCell="A37" sqref="A37"/>
    </sheetView>
  </sheetViews>
  <sheetFormatPr defaultRowHeight="12.75" x14ac:dyDescent="0.2"/>
  <cols>
    <col min="1" max="1" width="55" style="19" customWidth="1"/>
    <col min="2" max="2" width="9.5703125" style="19" bestFit="1" customWidth="1"/>
    <col min="3" max="3" width="9.140625" style="19"/>
    <col min="4" max="4" width="9.85546875" style="19" bestFit="1" customWidth="1"/>
    <col min="5" max="5" width="11.7109375" style="19" bestFit="1" customWidth="1"/>
    <col min="6" max="16384" width="9.140625" style="19"/>
  </cols>
  <sheetData>
    <row r="1" spans="1:5" x14ac:dyDescent="0.2">
      <c r="A1" s="19" t="s">
        <v>111</v>
      </c>
    </row>
    <row r="3" spans="1:5" x14ac:dyDescent="0.2">
      <c r="B3" s="96" t="s">
        <v>82</v>
      </c>
      <c r="C3" s="96"/>
      <c r="D3" s="96" t="s">
        <v>83</v>
      </c>
      <c r="E3" s="96"/>
    </row>
    <row r="4" spans="1:5" x14ac:dyDescent="0.2">
      <c r="A4" s="20"/>
      <c r="B4" s="21" t="s">
        <v>0</v>
      </c>
      <c r="C4" s="21" t="s">
        <v>2</v>
      </c>
      <c r="D4" s="21" t="s">
        <v>0</v>
      </c>
      <c r="E4" s="21" t="s">
        <v>2</v>
      </c>
    </row>
    <row r="5" spans="1:5" x14ac:dyDescent="0.2">
      <c r="A5" s="20"/>
    </row>
    <row r="6" spans="1:5" x14ac:dyDescent="0.2">
      <c r="A6" s="39" t="s">
        <v>112</v>
      </c>
      <c r="B6" s="37">
        <v>116037</v>
      </c>
      <c r="C6" s="37">
        <v>197590</v>
      </c>
      <c r="D6" s="38">
        <v>0.37</v>
      </c>
      <c r="E6" s="38">
        <v>0.63</v>
      </c>
    </row>
    <row r="7" spans="1:5" x14ac:dyDescent="0.2">
      <c r="A7" s="19" t="s">
        <v>113</v>
      </c>
      <c r="B7" s="23">
        <v>125464</v>
      </c>
      <c r="C7" s="23">
        <v>169064</v>
      </c>
      <c r="D7" s="27">
        <v>10015</v>
      </c>
      <c r="E7" s="27">
        <v>14837</v>
      </c>
    </row>
    <row r="8" spans="1:5" x14ac:dyDescent="0.2">
      <c r="A8" s="19" t="s">
        <v>114</v>
      </c>
      <c r="B8" s="23">
        <v>118857</v>
      </c>
      <c r="C8" s="23">
        <v>152013</v>
      </c>
      <c r="D8" s="24">
        <v>1.48</v>
      </c>
      <c r="E8" s="27">
        <v>77892</v>
      </c>
    </row>
    <row r="9" spans="1:5" x14ac:dyDescent="0.2">
      <c r="A9" s="39" t="s">
        <v>115</v>
      </c>
      <c r="B9" s="37">
        <v>137006</v>
      </c>
      <c r="C9" s="37">
        <v>156741</v>
      </c>
      <c r="D9" s="40">
        <v>0.37</v>
      </c>
      <c r="E9" s="40">
        <v>0.63</v>
      </c>
    </row>
    <row r="10" spans="1:5" x14ac:dyDescent="0.2">
      <c r="A10" s="19" t="s">
        <v>77</v>
      </c>
      <c r="B10" s="23">
        <v>139655</v>
      </c>
      <c r="C10" s="23">
        <v>157358</v>
      </c>
      <c r="D10" s="28">
        <v>2.1</v>
      </c>
      <c r="E10" s="28">
        <v>10.76</v>
      </c>
    </row>
    <row r="11" spans="1:5" x14ac:dyDescent="0.2">
      <c r="A11" s="39" t="s">
        <v>89</v>
      </c>
      <c r="B11" s="37">
        <v>139032</v>
      </c>
      <c r="C11" s="37">
        <v>154791</v>
      </c>
      <c r="D11" s="40">
        <v>0.72</v>
      </c>
      <c r="E11" s="40">
        <v>0.82</v>
      </c>
    </row>
    <row r="12" spans="1:5" x14ac:dyDescent="0.2">
      <c r="A12" s="19" t="s">
        <v>116</v>
      </c>
      <c r="B12" s="23">
        <v>135032</v>
      </c>
      <c r="C12" s="23">
        <v>148756</v>
      </c>
      <c r="D12" s="24">
        <v>3.39</v>
      </c>
      <c r="E12" s="27">
        <v>57182</v>
      </c>
    </row>
    <row r="13" spans="1:5" x14ac:dyDescent="0.2">
      <c r="A13" s="39" t="s">
        <v>117</v>
      </c>
      <c r="B13" s="37">
        <v>143803</v>
      </c>
      <c r="C13" s="37">
        <v>153942</v>
      </c>
      <c r="D13" s="40">
        <v>0.75</v>
      </c>
      <c r="E13" s="40">
        <v>0.83</v>
      </c>
    </row>
    <row r="14" spans="1:5" x14ac:dyDescent="0.2">
      <c r="A14" s="19" t="s">
        <v>118</v>
      </c>
      <c r="B14" s="23">
        <v>140985</v>
      </c>
      <c r="C14" s="23">
        <v>150955</v>
      </c>
      <c r="D14" s="27">
        <v>2643</v>
      </c>
      <c r="E14" s="27">
        <v>3915</v>
      </c>
    </row>
    <row r="15" spans="1:5" x14ac:dyDescent="0.2">
      <c r="A15" s="19" t="s">
        <v>119</v>
      </c>
      <c r="B15" s="23">
        <v>140614</v>
      </c>
      <c r="C15" s="23">
        <v>147669</v>
      </c>
      <c r="D15" s="24">
        <v>6.85</v>
      </c>
      <c r="E15" s="27">
        <v>19482</v>
      </c>
    </row>
    <row r="16" spans="1:5" x14ac:dyDescent="0.2">
      <c r="A16" s="19" t="s">
        <v>120</v>
      </c>
      <c r="B16" s="23">
        <v>140854</v>
      </c>
      <c r="C16" s="23">
        <v>147513</v>
      </c>
      <c r="D16" s="24">
        <v>8.26</v>
      </c>
      <c r="E16" s="27">
        <v>55153</v>
      </c>
    </row>
    <row r="17" spans="2:4" x14ac:dyDescent="0.2">
      <c r="B17" s="21"/>
      <c r="C17" s="21"/>
      <c r="D17" s="21"/>
    </row>
    <row r="18" spans="2:4" x14ac:dyDescent="0.2">
      <c r="B18" s="21"/>
      <c r="C18" s="21"/>
      <c r="D18" s="21"/>
    </row>
    <row r="19" spans="2:4" x14ac:dyDescent="0.2">
      <c r="B19" s="21"/>
      <c r="C19" s="21"/>
      <c r="D19" s="21"/>
    </row>
    <row r="20" spans="2:4" x14ac:dyDescent="0.2">
      <c r="B20" s="21"/>
      <c r="C20" s="21"/>
      <c r="D20" s="21"/>
    </row>
    <row r="21" spans="2:4" x14ac:dyDescent="0.2">
      <c r="B21" s="21"/>
      <c r="C21" s="21"/>
      <c r="D21" s="21"/>
    </row>
  </sheetData>
  <mergeCells count="2">
    <mergeCell ref="B3:C3"/>
    <mergeCell ref="D3:E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D580-C7AE-4C83-A609-16B82531FB70}">
  <sheetPr>
    <tabColor rgb="FFFFC000"/>
  </sheetPr>
  <dimension ref="A1:E21"/>
  <sheetViews>
    <sheetView workbookViewId="0">
      <selection activeCell="A16" sqref="A16"/>
    </sheetView>
  </sheetViews>
  <sheetFormatPr defaultRowHeight="12.75" x14ac:dyDescent="0.2"/>
  <cols>
    <col min="1" max="1" width="55" style="19" customWidth="1"/>
    <col min="2" max="2" width="9.5703125" style="19" bestFit="1" customWidth="1"/>
    <col min="3" max="3" width="9.140625" style="19"/>
    <col min="4" max="4" width="9.85546875" style="19" bestFit="1" customWidth="1"/>
    <col min="5" max="5" width="11.7109375" style="19" bestFit="1" customWidth="1"/>
    <col min="6" max="16384" width="9.140625" style="19"/>
  </cols>
  <sheetData>
    <row r="1" spans="1:5" x14ac:dyDescent="0.2">
      <c r="A1" s="19" t="s">
        <v>121</v>
      </c>
    </row>
    <row r="3" spans="1:5" x14ac:dyDescent="0.2">
      <c r="B3" s="96" t="s">
        <v>82</v>
      </c>
      <c r="C3" s="96"/>
      <c r="D3" s="96" t="s">
        <v>83</v>
      </c>
      <c r="E3" s="96"/>
    </row>
    <row r="4" spans="1:5" x14ac:dyDescent="0.2">
      <c r="A4" s="20"/>
      <c r="B4" s="21" t="s">
        <v>0</v>
      </c>
      <c r="C4" s="21" t="s">
        <v>2</v>
      </c>
      <c r="D4" s="21" t="s">
        <v>0</v>
      </c>
      <c r="E4" s="21" t="s">
        <v>2</v>
      </c>
    </row>
    <row r="5" spans="1:5" x14ac:dyDescent="0.2">
      <c r="A5" s="20"/>
    </row>
    <row r="6" spans="1:5" x14ac:dyDescent="0.2">
      <c r="A6" s="39" t="s">
        <v>122</v>
      </c>
      <c r="B6" s="37">
        <v>193009</v>
      </c>
      <c r="C6" s="37">
        <v>538196</v>
      </c>
      <c r="D6" s="40">
        <v>0.55000000000000004</v>
      </c>
      <c r="E6" s="40">
        <v>0.8</v>
      </c>
    </row>
    <row r="7" spans="1:5" x14ac:dyDescent="0.2">
      <c r="A7" s="39" t="s">
        <v>123</v>
      </c>
      <c r="B7" s="37">
        <v>225429</v>
      </c>
      <c r="C7" s="37">
        <v>432333</v>
      </c>
      <c r="D7" s="40">
        <v>0.55000000000000004</v>
      </c>
      <c r="E7" s="40">
        <v>0.8</v>
      </c>
    </row>
    <row r="8" spans="1:5" x14ac:dyDescent="0.2">
      <c r="A8" s="19" t="s">
        <v>124</v>
      </c>
      <c r="B8" s="23">
        <v>240956</v>
      </c>
      <c r="C8" s="23">
        <v>347083</v>
      </c>
      <c r="D8" s="27">
        <v>10958</v>
      </c>
      <c r="E8" s="27">
        <v>16232</v>
      </c>
    </row>
    <row r="9" spans="1:5" x14ac:dyDescent="0.2">
      <c r="A9" s="39" t="s">
        <v>125</v>
      </c>
      <c r="B9" s="37">
        <v>266565</v>
      </c>
      <c r="C9" s="37">
        <v>323928</v>
      </c>
      <c r="D9" s="40">
        <v>0.72</v>
      </c>
      <c r="E9" s="40">
        <v>0.82</v>
      </c>
    </row>
    <row r="10" spans="1:5" x14ac:dyDescent="0.2">
      <c r="A10" s="39" t="s">
        <v>126</v>
      </c>
      <c r="B10" s="37">
        <v>274188</v>
      </c>
      <c r="C10" s="37">
        <v>312063</v>
      </c>
      <c r="D10" s="40">
        <v>0.66</v>
      </c>
      <c r="E10" s="40">
        <v>0.76</v>
      </c>
    </row>
    <row r="11" spans="1:5" x14ac:dyDescent="0.2">
      <c r="A11" s="19" t="s">
        <v>127</v>
      </c>
      <c r="B11" s="23">
        <v>286786</v>
      </c>
      <c r="C11" s="23">
        <v>311963</v>
      </c>
      <c r="D11" s="24">
        <v>3.39</v>
      </c>
      <c r="E11" s="27">
        <v>57182</v>
      </c>
    </row>
    <row r="12" spans="1:5" x14ac:dyDescent="0.2">
      <c r="A12" s="19" t="s">
        <v>114</v>
      </c>
      <c r="B12" s="23">
        <v>287316</v>
      </c>
      <c r="C12" s="23">
        <v>310968</v>
      </c>
      <c r="D12" s="24">
        <v>1.48</v>
      </c>
      <c r="E12" s="27">
        <v>77892</v>
      </c>
    </row>
    <row r="13" spans="1:5" x14ac:dyDescent="0.2">
      <c r="A13" s="39" t="s">
        <v>128</v>
      </c>
      <c r="B13" s="37">
        <v>281412</v>
      </c>
      <c r="C13" s="37">
        <v>301723</v>
      </c>
      <c r="D13" s="40">
        <v>0.66</v>
      </c>
      <c r="E13" s="40">
        <v>0.76</v>
      </c>
    </row>
    <row r="14" spans="1:5" x14ac:dyDescent="0.2">
      <c r="A14" s="19" t="s">
        <v>129</v>
      </c>
      <c r="B14" s="23">
        <v>288597</v>
      </c>
      <c r="C14" s="23">
        <v>303335</v>
      </c>
      <c r="D14" s="26">
        <v>5.0199999999999996</v>
      </c>
      <c r="E14" s="27">
        <v>38830</v>
      </c>
    </row>
    <row r="15" spans="1:5" x14ac:dyDescent="0.2">
      <c r="A15" s="19" t="s">
        <v>130</v>
      </c>
      <c r="B15" s="23">
        <v>290529</v>
      </c>
      <c r="C15" s="23">
        <v>294145</v>
      </c>
      <c r="D15" s="27">
        <v>125</v>
      </c>
      <c r="E15" s="27">
        <v>26587</v>
      </c>
    </row>
    <row r="16" spans="1:5" x14ac:dyDescent="0.2">
      <c r="A16" s="39" t="s">
        <v>131</v>
      </c>
      <c r="B16" s="37">
        <v>289755</v>
      </c>
      <c r="C16" s="37">
        <v>293095</v>
      </c>
      <c r="D16" s="44">
        <v>0.66</v>
      </c>
      <c r="E16" s="44">
        <v>0.76</v>
      </c>
    </row>
    <row r="17" spans="2:4" x14ac:dyDescent="0.2">
      <c r="B17" s="21"/>
      <c r="C17" s="21"/>
      <c r="D17" s="21"/>
    </row>
    <row r="18" spans="2:4" x14ac:dyDescent="0.2">
      <c r="B18" s="21"/>
      <c r="C18" s="21"/>
      <c r="D18" s="21"/>
    </row>
    <row r="19" spans="2:4" x14ac:dyDescent="0.2">
      <c r="B19" s="21"/>
      <c r="C19" s="21"/>
      <c r="D19" s="21"/>
    </row>
    <row r="20" spans="2:4" x14ac:dyDescent="0.2">
      <c r="B20" s="21"/>
      <c r="C20" s="21"/>
      <c r="D20" s="21"/>
    </row>
    <row r="21" spans="2:4" x14ac:dyDescent="0.2">
      <c r="B21" s="21"/>
      <c r="C21" s="21"/>
      <c r="D21" s="21"/>
    </row>
  </sheetData>
  <mergeCells count="2">
    <mergeCell ref="B3:C3"/>
    <mergeCell ref="D3:E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93164-C501-46B6-9E82-FEFDB54DCC13}">
  <sheetPr>
    <tabColor rgb="FFFFC000"/>
  </sheetPr>
  <dimension ref="A1:E21"/>
  <sheetViews>
    <sheetView workbookViewId="0">
      <selection activeCell="D36" sqref="D36"/>
    </sheetView>
  </sheetViews>
  <sheetFormatPr defaultRowHeight="12.75" x14ac:dyDescent="0.2"/>
  <cols>
    <col min="1" max="1" width="55" style="19" customWidth="1"/>
    <col min="2" max="2" width="9.5703125" style="19" bestFit="1" customWidth="1"/>
    <col min="3" max="16384" width="9.140625" style="19"/>
  </cols>
  <sheetData>
    <row r="1" spans="1:5" x14ac:dyDescent="0.2">
      <c r="A1" s="19" t="s">
        <v>84</v>
      </c>
    </row>
    <row r="3" spans="1:5" x14ac:dyDescent="0.2">
      <c r="B3" s="96" t="s">
        <v>82</v>
      </c>
      <c r="C3" s="96"/>
      <c r="D3" s="96" t="s">
        <v>83</v>
      </c>
      <c r="E3" s="96"/>
    </row>
    <row r="4" spans="1:5" x14ac:dyDescent="0.2">
      <c r="A4" s="20"/>
      <c r="B4" s="21" t="s">
        <v>0</v>
      </c>
      <c r="C4" s="21" t="s">
        <v>2</v>
      </c>
      <c r="D4" s="21" t="s">
        <v>0</v>
      </c>
      <c r="E4" s="21" t="s">
        <v>2</v>
      </c>
    </row>
    <row r="5" spans="1:5" x14ac:dyDescent="0.2">
      <c r="A5" s="20"/>
    </row>
    <row r="6" spans="1:5" x14ac:dyDescent="0.2">
      <c r="A6" s="19" t="s">
        <v>71</v>
      </c>
      <c r="B6" s="23">
        <v>233562</v>
      </c>
      <c r="C6" s="23">
        <v>361823</v>
      </c>
      <c r="D6" s="23">
        <v>10207</v>
      </c>
      <c r="E6" s="23">
        <v>15121</v>
      </c>
    </row>
    <row r="7" spans="1:5" x14ac:dyDescent="0.2">
      <c r="A7" s="39" t="s">
        <v>74</v>
      </c>
      <c r="B7" s="37">
        <v>253735</v>
      </c>
      <c r="C7" s="37">
        <v>351135</v>
      </c>
      <c r="D7" s="41">
        <v>0.37</v>
      </c>
      <c r="E7" s="41">
        <v>0.62</v>
      </c>
    </row>
    <row r="8" spans="1:5" x14ac:dyDescent="0.2">
      <c r="A8" s="39" t="s">
        <v>75</v>
      </c>
      <c r="B8" s="37">
        <v>258863</v>
      </c>
      <c r="C8" s="37">
        <v>341766</v>
      </c>
      <c r="D8" s="38">
        <v>0.37</v>
      </c>
      <c r="E8" s="38">
        <v>0.62</v>
      </c>
    </row>
    <row r="9" spans="1:5" x14ac:dyDescent="0.2">
      <c r="A9" s="39" t="s">
        <v>76</v>
      </c>
      <c r="B9" s="37">
        <v>268045</v>
      </c>
      <c r="C9" s="37">
        <v>329647</v>
      </c>
      <c r="D9" s="38">
        <v>0.72</v>
      </c>
      <c r="E9" s="38">
        <v>0.82</v>
      </c>
    </row>
    <row r="10" spans="1:5" x14ac:dyDescent="0.2">
      <c r="A10" s="19" t="s">
        <v>72</v>
      </c>
      <c r="B10" s="23">
        <v>262854</v>
      </c>
      <c r="C10" s="23">
        <v>301326</v>
      </c>
      <c r="D10" s="22">
        <v>1.48</v>
      </c>
      <c r="E10" s="23">
        <v>77892</v>
      </c>
    </row>
    <row r="11" spans="1:5" x14ac:dyDescent="0.2">
      <c r="A11" s="39" t="s">
        <v>73</v>
      </c>
      <c r="B11" s="37">
        <v>288738</v>
      </c>
      <c r="C11" s="37">
        <v>313675</v>
      </c>
      <c r="D11" s="38">
        <v>0.75</v>
      </c>
      <c r="E11" s="38">
        <v>0.83</v>
      </c>
    </row>
    <row r="12" spans="1:5" x14ac:dyDescent="0.2">
      <c r="A12" s="19" t="s">
        <v>77</v>
      </c>
      <c r="B12" s="23">
        <v>287420</v>
      </c>
      <c r="C12" s="23">
        <v>310725</v>
      </c>
      <c r="D12" s="21">
        <v>2.41</v>
      </c>
      <c r="E12" s="21">
        <v>12.3</v>
      </c>
    </row>
    <row r="13" spans="1:5" x14ac:dyDescent="0.2">
      <c r="A13" s="19" t="s">
        <v>78</v>
      </c>
      <c r="B13" s="23">
        <v>288071</v>
      </c>
      <c r="C13" s="23">
        <v>300514</v>
      </c>
      <c r="D13" s="23">
        <v>2643</v>
      </c>
      <c r="E13" s="23">
        <v>3915</v>
      </c>
    </row>
    <row r="14" spans="1:5" x14ac:dyDescent="0.2">
      <c r="A14" s="19" t="s">
        <v>79</v>
      </c>
      <c r="B14" s="23">
        <v>292488</v>
      </c>
      <c r="C14" s="23">
        <v>303346</v>
      </c>
      <c r="D14" s="22">
        <v>5.0199999999999996</v>
      </c>
      <c r="E14" s="23">
        <v>38830</v>
      </c>
    </row>
    <row r="15" spans="1:5" x14ac:dyDescent="0.2">
      <c r="A15" s="19" t="s">
        <v>80</v>
      </c>
      <c r="B15" s="23">
        <v>286290</v>
      </c>
      <c r="C15" s="23">
        <v>296483</v>
      </c>
      <c r="D15" s="22">
        <v>3.39</v>
      </c>
      <c r="E15" s="23">
        <v>57182</v>
      </c>
    </row>
    <row r="16" spans="1:5" x14ac:dyDescent="0.2">
      <c r="A16" s="19" t="s">
        <v>81</v>
      </c>
      <c r="B16" s="23">
        <v>288529</v>
      </c>
      <c r="C16" s="23">
        <v>296173</v>
      </c>
      <c r="D16" s="22">
        <v>6.85</v>
      </c>
      <c r="E16" s="23">
        <v>19482</v>
      </c>
    </row>
    <row r="17" spans="2:4" x14ac:dyDescent="0.2">
      <c r="B17" s="21"/>
      <c r="C17" s="21"/>
      <c r="D17" s="21"/>
    </row>
    <row r="18" spans="2:4" x14ac:dyDescent="0.2">
      <c r="B18" s="21"/>
      <c r="C18" s="21"/>
      <c r="D18" s="21"/>
    </row>
    <row r="19" spans="2:4" x14ac:dyDescent="0.2">
      <c r="B19" s="21"/>
      <c r="C19" s="21"/>
      <c r="D19" s="21"/>
    </row>
    <row r="20" spans="2:4" x14ac:dyDescent="0.2">
      <c r="B20" s="21"/>
      <c r="C20" s="21"/>
      <c r="D20" s="21"/>
    </row>
    <row r="21" spans="2:4" x14ac:dyDescent="0.2">
      <c r="B21" s="21"/>
      <c r="C21" s="21"/>
      <c r="D21" s="21"/>
    </row>
  </sheetData>
  <mergeCells count="2">
    <mergeCell ref="B3:C3"/>
    <mergeCell ref="D3:E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534EA-D476-4EB8-98D8-29D64FCB94D9}">
  <sheetPr>
    <tabColor rgb="FFFFC000"/>
  </sheetPr>
  <dimension ref="A1:E21"/>
  <sheetViews>
    <sheetView workbookViewId="0">
      <selection activeCell="D36" sqref="D36"/>
    </sheetView>
  </sheetViews>
  <sheetFormatPr defaultRowHeight="12.75" x14ac:dyDescent="0.2"/>
  <cols>
    <col min="1" max="1" width="55" style="19" customWidth="1"/>
    <col min="2" max="2" width="9.5703125" style="19" bestFit="1" customWidth="1"/>
    <col min="3" max="3" width="9.140625" style="19"/>
    <col min="4" max="4" width="9.85546875" style="19" bestFit="1" customWidth="1"/>
    <col min="5" max="5" width="11.7109375" style="19" bestFit="1" customWidth="1"/>
    <col min="6" max="16384" width="9.140625" style="19"/>
  </cols>
  <sheetData>
    <row r="1" spans="1:5" x14ac:dyDescent="0.2">
      <c r="A1" s="19" t="s">
        <v>85</v>
      </c>
    </row>
    <row r="3" spans="1:5" x14ac:dyDescent="0.2">
      <c r="B3" s="96" t="s">
        <v>82</v>
      </c>
      <c r="C3" s="96"/>
      <c r="D3" s="96" t="s">
        <v>83</v>
      </c>
      <c r="E3" s="96"/>
    </row>
    <row r="4" spans="1:5" x14ac:dyDescent="0.2">
      <c r="A4" s="20"/>
      <c r="B4" s="21" t="s">
        <v>0</v>
      </c>
      <c r="C4" s="21" t="s">
        <v>2</v>
      </c>
      <c r="D4" s="21" t="s">
        <v>0</v>
      </c>
      <c r="E4" s="21" t="s">
        <v>2</v>
      </c>
    </row>
    <row r="5" spans="1:5" x14ac:dyDescent="0.2">
      <c r="A5" s="20"/>
    </row>
    <row r="6" spans="1:5" x14ac:dyDescent="0.2">
      <c r="A6" s="19" t="s">
        <v>86</v>
      </c>
      <c r="B6" s="23">
        <v>226093</v>
      </c>
      <c r="C6" s="23">
        <v>538641</v>
      </c>
      <c r="D6" s="21">
        <v>0.52</v>
      </c>
      <c r="E6" s="21">
        <v>0.77</v>
      </c>
    </row>
    <row r="7" spans="1:5" x14ac:dyDescent="0.2">
      <c r="A7" s="19" t="s">
        <v>87</v>
      </c>
      <c r="B7" s="23">
        <v>259709</v>
      </c>
      <c r="C7" s="23">
        <v>443977</v>
      </c>
      <c r="D7" s="21">
        <v>0.52</v>
      </c>
      <c r="E7" s="21">
        <v>0.77</v>
      </c>
    </row>
    <row r="8" spans="1:5" x14ac:dyDescent="0.2">
      <c r="A8" s="19" t="s">
        <v>88</v>
      </c>
      <c r="B8" s="23">
        <v>284913</v>
      </c>
      <c r="C8" s="23">
        <v>367302</v>
      </c>
      <c r="D8" s="27">
        <v>10015</v>
      </c>
      <c r="E8" s="27">
        <v>14837</v>
      </c>
    </row>
    <row r="9" spans="1:5" x14ac:dyDescent="0.2">
      <c r="A9" s="19" t="s">
        <v>89</v>
      </c>
      <c r="B9" s="23">
        <v>295162</v>
      </c>
      <c r="C9" s="23">
        <v>362271</v>
      </c>
      <c r="D9" s="21">
        <v>0.72</v>
      </c>
      <c r="E9" s="21">
        <v>0.82</v>
      </c>
    </row>
    <row r="10" spans="1:5" x14ac:dyDescent="0.2">
      <c r="A10" s="19" t="s">
        <v>90</v>
      </c>
      <c r="B10" s="23">
        <v>291926</v>
      </c>
      <c r="C10" s="23">
        <v>358440</v>
      </c>
      <c r="D10" s="21">
        <v>0.57999999999999996</v>
      </c>
      <c r="E10" s="21">
        <v>0.84</v>
      </c>
    </row>
    <row r="11" spans="1:5" x14ac:dyDescent="0.2">
      <c r="A11" s="19" t="s">
        <v>91</v>
      </c>
      <c r="B11" s="23">
        <v>296539</v>
      </c>
      <c r="C11" s="23">
        <v>362987</v>
      </c>
      <c r="D11" s="21">
        <v>0.57999999999999996</v>
      </c>
      <c r="E11" s="21">
        <v>0.84</v>
      </c>
    </row>
    <row r="12" spans="1:5" x14ac:dyDescent="0.2">
      <c r="A12" s="19" t="s">
        <v>92</v>
      </c>
      <c r="B12" s="23">
        <v>305454</v>
      </c>
      <c r="C12" s="23">
        <v>346304</v>
      </c>
      <c r="D12" s="21">
        <v>0.66</v>
      </c>
      <c r="E12" s="21">
        <v>0.76</v>
      </c>
    </row>
    <row r="13" spans="1:5" x14ac:dyDescent="0.2">
      <c r="A13" s="19" t="s">
        <v>93</v>
      </c>
      <c r="B13" s="23">
        <v>309992</v>
      </c>
      <c r="C13" s="23">
        <v>338838</v>
      </c>
      <c r="D13" s="21">
        <v>0.66</v>
      </c>
      <c r="E13" s="21">
        <v>0.76</v>
      </c>
    </row>
    <row r="14" spans="1:5" x14ac:dyDescent="0.2">
      <c r="A14" s="19" t="s">
        <v>94</v>
      </c>
      <c r="B14" s="23">
        <v>321565</v>
      </c>
      <c r="C14" s="23">
        <v>326587</v>
      </c>
      <c r="D14" s="21">
        <v>0.66</v>
      </c>
      <c r="E14" s="21">
        <v>0.76</v>
      </c>
    </row>
    <row r="15" spans="1:5" x14ac:dyDescent="0.2">
      <c r="A15" s="19" t="s">
        <v>79</v>
      </c>
      <c r="B15" s="23">
        <v>323481</v>
      </c>
      <c r="C15" s="23">
        <v>326756</v>
      </c>
      <c r="D15" s="27">
        <v>5</v>
      </c>
      <c r="E15" s="27">
        <v>38830</v>
      </c>
    </row>
    <row r="16" spans="1:5" x14ac:dyDescent="0.2">
      <c r="A16" s="19" t="s">
        <v>95</v>
      </c>
      <c r="B16" s="23">
        <v>322778</v>
      </c>
      <c r="C16" s="23">
        <v>325590</v>
      </c>
      <c r="D16" s="27">
        <v>433</v>
      </c>
      <c r="E16" s="25">
        <v>642.15409999999997</v>
      </c>
    </row>
    <row r="17" spans="2:4" x14ac:dyDescent="0.2">
      <c r="B17" s="21"/>
      <c r="C17" s="21"/>
      <c r="D17" s="21"/>
    </row>
    <row r="18" spans="2:4" x14ac:dyDescent="0.2">
      <c r="B18" s="21"/>
      <c r="C18" s="21"/>
      <c r="D18" s="21"/>
    </row>
    <row r="19" spans="2:4" x14ac:dyDescent="0.2">
      <c r="B19" s="21"/>
      <c r="C19" s="21"/>
      <c r="D19" s="21"/>
    </row>
    <row r="20" spans="2:4" x14ac:dyDescent="0.2">
      <c r="B20" s="21"/>
      <c r="C20" s="21"/>
      <c r="D20" s="21"/>
    </row>
    <row r="21" spans="2:4" x14ac:dyDescent="0.2">
      <c r="B21" s="21"/>
      <c r="C21" s="21"/>
      <c r="D21" s="21"/>
    </row>
  </sheetData>
  <mergeCells count="2">
    <mergeCell ref="B3:C3"/>
    <mergeCell ref="D3:E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C204C-2840-4A7D-A095-5DBE389B9B65}">
  <sheetPr>
    <tabColor rgb="FFFFC000"/>
  </sheetPr>
  <dimension ref="A1:E21"/>
  <sheetViews>
    <sheetView workbookViewId="0">
      <selection activeCell="D36" sqref="D36"/>
    </sheetView>
  </sheetViews>
  <sheetFormatPr defaultRowHeight="12.75" x14ac:dyDescent="0.2"/>
  <cols>
    <col min="1" max="1" width="55" style="19" customWidth="1"/>
    <col min="2" max="2" width="9.5703125" style="19" bestFit="1" customWidth="1"/>
    <col min="3" max="3" width="9.140625" style="19"/>
    <col min="4" max="4" width="9.85546875" style="19" bestFit="1" customWidth="1"/>
    <col min="5" max="5" width="11.7109375" style="19" bestFit="1" customWidth="1"/>
    <col min="6" max="16384" width="9.140625" style="19"/>
  </cols>
  <sheetData>
    <row r="1" spans="1:5" x14ac:dyDescent="0.2">
      <c r="A1" s="19" t="s">
        <v>96</v>
      </c>
    </row>
    <row r="3" spans="1:5" x14ac:dyDescent="0.2">
      <c r="B3" s="96" t="s">
        <v>82</v>
      </c>
      <c r="C3" s="96"/>
      <c r="D3" s="96" t="s">
        <v>83</v>
      </c>
      <c r="E3" s="96"/>
    </row>
    <row r="4" spans="1:5" x14ac:dyDescent="0.2">
      <c r="A4" s="20"/>
      <c r="B4" s="21" t="s">
        <v>0</v>
      </c>
      <c r="C4" s="21" t="s">
        <v>2</v>
      </c>
      <c r="D4" s="21" t="s">
        <v>0</v>
      </c>
      <c r="E4" s="21" t="s">
        <v>2</v>
      </c>
    </row>
    <row r="5" spans="1:5" x14ac:dyDescent="0.2">
      <c r="A5" s="20"/>
    </row>
    <row r="6" spans="1:5" x14ac:dyDescent="0.2">
      <c r="A6" s="19" t="s">
        <v>97</v>
      </c>
      <c r="B6" s="23">
        <v>216897</v>
      </c>
      <c r="C6" s="23">
        <v>1000613</v>
      </c>
      <c r="D6" s="21">
        <v>0.55000000000000004</v>
      </c>
      <c r="E6" s="21">
        <v>0.8</v>
      </c>
    </row>
    <row r="7" spans="1:5" x14ac:dyDescent="0.2">
      <c r="A7" s="19" t="s">
        <v>98</v>
      </c>
      <c r="B7" s="23">
        <v>253990</v>
      </c>
      <c r="C7" s="23">
        <v>745123</v>
      </c>
      <c r="D7" s="21">
        <v>0.55000000000000004</v>
      </c>
      <c r="E7" s="21">
        <v>0.8</v>
      </c>
    </row>
    <row r="8" spans="1:5" x14ac:dyDescent="0.2">
      <c r="A8" s="19" t="s">
        <v>99</v>
      </c>
      <c r="B8" s="23">
        <v>302876</v>
      </c>
      <c r="C8" s="23">
        <v>442209</v>
      </c>
      <c r="D8" s="27">
        <v>10207</v>
      </c>
      <c r="E8" s="27">
        <v>15121</v>
      </c>
    </row>
    <row r="9" spans="1:5" x14ac:dyDescent="0.2">
      <c r="A9" s="19" t="s">
        <v>100</v>
      </c>
      <c r="B9" s="23">
        <v>333334</v>
      </c>
      <c r="C9" s="23">
        <v>417356</v>
      </c>
      <c r="D9" s="21">
        <v>0.72</v>
      </c>
      <c r="E9" s="21">
        <v>0.82</v>
      </c>
    </row>
    <row r="10" spans="1:5" x14ac:dyDescent="0.2">
      <c r="A10" s="19" t="s">
        <v>101</v>
      </c>
      <c r="B10" s="23">
        <v>346940</v>
      </c>
      <c r="C10" s="23">
        <v>395775</v>
      </c>
      <c r="D10" s="21">
        <v>0.66</v>
      </c>
      <c r="E10" s="21">
        <v>0.76</v>
      </c>
    </row>
    <row r="11" spans="1:5" x14ac:dyDescent="0.2">
      <c r="A11" s="19" t="s">
        <v>102</v>
      </c>
      <c r="B11" s="23">
        <v>352574</v>
      </c>
      <c r="C11" s="23">
        <v>386531</v>
      </c>
      <c r="D11" s="21">
        <v>0.66</v>
      </c>
      <c r="E11" s="21">
        <v>0.76</v>
      </c>
    </row>
    <row r="12" spans="1:5" x14ac:dyDescent="0.2">
      <c r="A12" s="19" t="s">
        <v>79</v>
      </c>
      <c r="B12" s="23">
        <v>366210</v>
      </c>
      <c r="C12" s="23">
        <v>381503</v>
      </c>
      <c r="D12" s="26">
        <v>5.0199999999999996</v>
      </c>
      <c r="E12" s="27">
        <v>38830</v>
      </c>
    </row>
    <row r="13" spans="1:5" x14ac:dyDescent="0.2">
      <c r="A13" s="19" t="s">
        <v>72</v>
      </c>
      <c r="B13" s="23">
        <v>367197</v>
      </c>
      <c r="C13" s="23">
        <v>378500</v>
      </c>
      <c r="D13" s="26">
        <v>1.49</v>
      </c>
      <c r="E13" s="27">
        <v>77892</v>
      </c>
    </row>
    <row r="14" spans="1:5" x14ac:dyDescent="0.2">
      <c r="A14" s="19" t="s">
        <v>80</v>
      </c>
      <c r="B14" s="23">
        <v>368076</v>
      </c>
      <c r="C14" s="23">
        <v>374003</v>
      </c>
      <c r="D14" s="26">
        <v>3.4</v>
      </c>
      <c r="E14" s="27">
        <v>57182</v>
      </c>
    </row>
    <row r="15" spans="1:5" x14ac:dyDescent="0.2">
      <c r="A15" s="19" t="s">
        <v>103</v>
      </c>
      <c r="B15" s="23">
        <v>366387</v>
      </c>
      <c r="C15" s="23">
        <v>371874</v>
      </c>
      <c r="D15" s="21">
        <v>0.66</v>
      </c>
      <c r="E15" s="21">
        <v>0.76</v>
      </c>
    </row>
    <row r="16" spans="1:5" x14ac:dyDescent="0.2">
      <c r="A16" s="19" t="s">
        <v>104</v>
      </c>
      <c r="B16" s="23">
        <v>367802</v>
      </c>
      <c r="C16" s="23">
        <v>370688</v>
      </c>
      <c r="D16" s="26">
        <v>433.49</v>
      </c>
      <c r="E16" s="26">
        <v>642.15</v>
      </c>
    </row>
    <row r="17" spans="2:4" x14ac:dyDescent="0.2">
      <c r="B17" s="21"/>
      <c r="C17" s="21"/>
      <c r="D17" s="21"/>
    </row>
    <row r="18" spans="2:4" x14ac:dyDescent="0.2">
      <c r="B18" s="21"/>
      <c r="C18" s="21"/>
      <c r="D18" s="21"/>
    </row>
    <row r="19" spans="2:4" x14ac:dyDescent="0.2">
      <c r="B19" s="21"/>
      <c r="C19" s="21"/>
      <c r="D19" s="21"/>
    </row>
    <row r="20" spans="2:4" x14ac:dyDescent="0.2">
      <c r="B20" s="21"/>
      <c r="C20" s="21"/>
      <c r="D20" s="21"/>
    </row>
    <row r="21" spans="2:4" x14ac:dyDescent="0.2">
      <c r="B21" s="21"/>
      <c r="C21" s="21"/>
      <c r="D21" s="21"/>
    </row>
  </sheetData>
  <mergeCells count="2">
    <mergeCell ref="B3:C3"/>
    <mergeCell ref="D3:E3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19</vt:i4>
      </vt:variant>
    </vt:vector>
  </HeadingPairs>
  <TitlesOfParts>
    <vt:vector size="35" baseType="lpstr">
      <vt:lpstr>Figures - Main</vt:lpstr>
      <vt:lpstr>Figures</vt:lpstr>
      <vt:lpstr>CS 1 - Table 1-1 fmt</vt:lpstr>
      <vt:lpstr>CS 1 - Table 1-2</vt:lpstr>
      <vt:lpstr>CS 1 - Table 1-3 fmt</vt:lpstr>
      <vt:lpstr>CS 1 - Table 1-4 fmt</vt:lpstr>
      <vt:lpstr>CS 1 - Table 1-1</vt:lpstr>
      <vt:lpstr>CS 1 - Table 1-3</vt:lpstr>
      <vt:lpstr>CS 1 - Table 1-4</vt:lpstr>
      <vt:lpstr>ICER Base case</vt:lpstr>
      <vt:lpstr>ICER Table 5pt3</vt:lpstr>
      <vt:lpstr>ICER Fig 5pt2</vt:lpstr>
      <vt:lpstr>ICER Fig 5pt3</vt:lpstr>
      <vt:lpstr>ICER Fig E1</vt:lpstr>
      <vt:lpstr>ICER Fig E2</vt:lpstr>
      <vt:lpstr>ICER Fig E3</vt:lpstr>
      <vt:lpstr>'CS 1 - Table 1-3'!Benchmark1</vt:lpstr>
      <vt:lpstr>'CS 1 - Table 1-4'!Benchmark1</vt:lpstr>
      <vt:lpstr>Benchmark1</vt:lpstr>
      <vt:lpstr>'CS 1 - Table 1-3'!Benchmark2</vt:lpstr>
      <vt:lpstr>'CS 1 - Table 1-4'!Benchmark2</vt:lpstr>
      <vt:lpstr>Benchmark2</vt:lpstr>
      <vt:lpstr>CE_BC_nicaparib_Platinum</vt:lpstr>
      <vt:lpstr>CE_BC_olaparib_BRCA</vt:lpstr>
      <vt:lpstr>CE_BC_olaparib_Platinum</vt:lpstr>
      <vt:lpstr>CE_BC_rucaparib_BRCA</vt:lpstr>
      <vt:lpstr>CE_BC_rucaparib_Platinum</vt:lpstr>
      <vt:lpstr>'CS 1 - Table 1-2'!CE_Scale</vt:lpstr>
      <vt:lpstr>'CS 1 - Table 1-3'!CE_Scale</vt:lpstr>
      <vt:lpstr>'CS 1 - Table 1-4'!CE_Scale</vt:lpstr>
      <vt:lpstr>CE_Scale</vt:lpstr>
      <vt:lpstr>'CS 1 - Table 1-2'!RoundPlace</vt:lpstr>
      <vt:lpstr>'CS 1 - Table 1-3'!RoundPlace</vt:lpstr>
      <vt:lpstr>'CS 1 - Table 1-4'!RoundPlace</vt:lpstr>
      <vt:lpstr>RoundPlace</vt:lpstr>
    </vt:vector>
  </TitlesOfParts>
  <Company>Tufts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Cohen, Joshua</dc:creator>
  <cp:lastModifiedBy>Cohen, Joshua</cp:lastModifiedBy>
  <dcterms:created xsi:type="dcterms:W3CDTF">2023-10-10T16:37:24Z</dcterms:created>
  <dcterms:modified xsi:type="dcterms:W3CDTF">2023-11-23T16:11:10Z</dcterms:modified>
</cp:coreProperties>
</file>