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VR\Projects\NPC - HTA\13 - Manuscript\01 - Supplement\13 - Calculations\12 - High cholesterol - new\"/>
    </mc:Choice>
  </mc:AlternateContent>
  <xr:revisionPtr revIDLastSave="0" documentId="13_ncr:1_{F0638946-3FC8-479A-A332-46C2B92671D8}" xr6:coauthVersionLast="46" xr6:coauthVersionMax="46" xr10:uidLastSave="{00000000-0000-0000-0000-000000000000}"/>
  <bookViews>
    <workbookView xWindow="-120" yWindow="-120" windowWidth="29040" windowHeight="15840" firstSheet="2" activeTab="8" xr2:uid="{642FAA30-0104-45DC-9564-C6529DF98A2A}"/>
  </bookViews>
  <sheets>
    <sheet name="Display" sheetId="24" r:id="rId1"/>
    <sheet name="Table 2-1 - inputs" sheetId="5" r:id="rId2"/>
    <sheet name="Table 2-1" sheetId="4" r:id="rId3"/>
    <sheet name="Table 2-1 fmt" sheetId="14" r:id="rId4"/>
    <sheet name="Table 2-2 - inputs" sheetId="21" r:id="rId5"/>
    <sheet name="Table 2-2" sheetId="22" r:id="rId6"/>
    <sheet name="Table 2-2 fmt" sheetId="23" r:id="rId7"/>
    <sheet name="Figures" sheetId="20" r:id="rId8"/>
    <sheet name="Figures - Main" sheetId="25" r:id="rId9"/>
  </sheets>
  <definedNames>
    <definedName name="Benchmark1">Display!$B$3</definedName>
    <definedName name="Benchmark2">Display!$B$4</definedName>
    <definedName name="CE_BC_nicaparib_Platinum">#REF!</definedName>
    <definedName name="CE_BC_olaparib_BRCA">#REF!</definedName>
    <definedName name="CE_BC_olaparib_Platinum">#REF!</definedName>
    <definedName name="CE_BC_rucaparib_BRCA">#REF!</definedName>
    <definedName name="CE_BC_rucaparib_Platinum">#REF!</definedName>
    <definedName name="CE_Scale">Display!$B$6</definedName>
    <definedName name="LDL_C_reduction">'Table 2-2 - inputs'!$AK$32</definedName>
    <definedName name="RoundPlace">Display!$B$7</definedName>
    <definedName name="xBenchmark1" localSheetId="5">'Table 2-2'!#REF!</definedName>
    <definedName name="xBenchmark2" localSheetId="5">'Table 2-2'!#REF!</definedName>
    <definedName name="xCE_Scale" localSheetId="5">'Table 2-2'!#REF!</definedName>
    <definedName name="xRoundPlace" localSheetId="5">'Table 2-2'!$B$20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4" l="1"/>
  <c r="AJ5" i="4"/>
  <c r="AK5" i="4"/>
  <c r="AN5" i="4"/>
  <c r="AQ5" i="4"/>
  <c r="AR5" i="4"/>
  <c r="AU5" i="4"/>
  <c r="AX5" i="4"/>
  <c r="AY5" i="4"/>
  <c r="BB5" i="4"/>
  <c r="AJ6" i="4"/>
  <c r="AK6" i="4"/>
  <c r="AN6" i="4"/>
  <c r="AQ6" i="4"/>
  <c r="AR6" i="4"/>
  <c r="AU6" i="4"/>
  <c r="AX6" i="4"/>
  <c r="AY6" i="4"/>
  <c r="BB6" i="4"/>
  <c r="B12" i="25"/>
  <c r="B11" i="25"/>
  <c r="B10" i="25"/>
  <c r="B9" i="25"/>
  <c r="L1" i="14"/>
  <c r="I5" i="21"/>
  <c r="I6" i="21"/>
  <c r="I7" i="21"/>
  <c r="I7" i="22" s="1"/>
  <c r="BB6" i="22" s="1"/>
  <c r="I4" i="21"/>
  <c r="AK35" i="21"/>
  <c r="AK32" i="21" s="1"/>
  <c r="AJ18" i="21"/>
  <c r="AJ19" i="21"/>
  <c r="AJ14" i="21"/>
  <c r="AJ15" i="21"/>
  <c r="AJ17" i="21"/>
  <c r="AJ13" i="21"/>
  <c r="AJ11" i="21"/>
  <c r="AJ10" i="21"/>
  <c r="AJ9" i="21"/>
  <c r="G5" i="21"/>
  <c r="F5" i="21"/>
  <c r="D4" i="4"/>
  <c r="AC6" i="4" s="1"/>
  <c r="C4" i="4"/>
  <c r="I4" i="5"/>
  <c r="I4" i="4" s="1"/>
  <c r="AG6" i="4" s="1"/>
  <c r="A11" i="23"/>
  <c r="A10" i="23"/>
  <c r="A5" i="22"/>
  <c r="AJ2" i="22" s="1"/>
  <c r="A6" i="22"/>
  <c r="AQ2" i="22" s="1"/>
  <c r="A7" i="22"/>
  <c r="AX2" i="22" s="1"/>
  <c r="A4" i="22"/>
  <c r="AC2" i="22" s="1"/>
  <c r="A8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L1" i="23"/>
  <c r="J1" i="23"/>
  <c r="H1" i="23"/>
  <c r="E1" i="23"/>
  <c r="B1" i="23"/>
  <c r="F9" i="23"/>
  <c r="G9" i="23"/>
  <c r="F10" i="23"/>
  <c r="G10" i="23"/>
  <c r="F11" i="23"/>
  <c r="F12" i="23"/>
  <c r="G12" i="23"/>
  <c r="E11" i="23"/>
  <c r="I4" i="22"/>
  <c r="I4" i="23" s="1"/>
  <c r="I5" i="22"/>
  <c r="I5" i="23" s="1"/>
  <c r="I6" i="22"/>
  <c r="AU6" i="22" s="1"/>
  <c r="G7" i="22"/>
  <c r="AY6" i="22" s="1"/>
  <c r="G6" i="22"/>
  <c r="G6" i="23" s="1"/>
  <c r="G5" i="22"/>
  <c r="AK6" i="22" s="1"/>
  <c r="G4" i="22"/>
  <c r="AD6" i="22" s="1"/>
  <c r="F7" i="22"/>
  <c r="F7" i="23" s="1"/>
  <c r="F6" i="22"/>
  <c r="F6" i="23" s="1"/>
  <c r="F5" i="22"/>
  <c r="AK5" i="22" s="1"/>
  <c r="F4" i="22"/>
  <c r="AD5" i="22" s="1"/>
  <c r="E5" i="22"/>
  <c r="AK4" i="22" s="1"/>
  <c r="E6" i="22"/>
  <c r="E6" i="23" s="1"/>
  <c r="C11" i="20" s="1"/>
  <c r="C11" i="25" s="1"/>
  <c r="E7" i="22"/>
  <c r="E4" i="22"/>
  <c r="AD4" i="22" s="1"/>
  <c r="C7" i="22"/>
  <c r="C7" i="23" s="1"/>
  <c r="D7" i="22"/>
  <c r="AX6" i="22" s="1"/>
  <c r="C4" i="22"/>
  <c r="AC5" i="22" s="1"/>
  <c r="D4" i="22"/>
  <c r="D4" i="23" s="1"/>
  <c r="C5" i="22"/>
  <c r="C5" i="23" s="1"/>
  <c r="D5" i="22"/>
  <c r="D5" i="23" s="1"/>
  <c r="C6" i="22"/>
  <c r="C6" i="23" s="1"/>
  <c r="D6" i="22"/>
  <c r="D6" i="23" s="1"/>
  <c r="B5" i="22"/>
  <c r="AJ4" i="22" s="1"/>
  <c r="B6" i="22"/>
  <c r="B6" i="23" s="1"/>
  <c r="B7" i="22"/>
  <c r="B7" i="23" s="1"/>
  <c r="B4" i="22"/>
  <c r="AC4" i="22" s="1"/>
  <c r="H9" i="23"/>
  <c r="C10" i="23"/>
  <c r="D10" i="23"/>
  <c r="C12" i="23"/>
  <c r="D12" i="23"/>
  <c r="B12" i="23"/>
  <c r="H4" i="4"/>
  <c r="AG5" i="4" s="1"/>
  <c r="B4" i="4"/>
  <c r="G4" i="4"/>
  <c r="AD6" i="4" s="1"/>
  <c r="F4" i="4"/>
  <c r="AD5" i="4" s="1"/>
  <c r="A4" i="4"/>
  <c r="A3" i="23" s="1"/>
  <c r="E4" i="4"/>
  <c r="D11" i="23"/>
  <c r="D9" i="23"/>
  <c r="C11" i="23"/>
  <c r="C9" i="23"/>
  <c r="B10" i="23"/>
  <c r="B11" i="23"/>
  <c r="B9" i="23"/>
  <c r="AK18" i="21" l="1"/>
  <c r="AK19" i="21" s="1"/>
  <c r="H7" i="21" s="1"/>
  <c r="H7" i="22" s="1"/>
  <c r="BB5" i="22" s="1"/>
  <c r="AK10" i="21"/>
  <c r="AK11" i="21" s="1"/>
  <c r="AK6" i="21"/>
  <c r="AK7" i="21" s="1"/>
  <c r="AK14" i="21"/>
  <c r="AK15" i="21" s="1"/>
  <c r="H6" i="21" s="1"/>
  <c r="H6" i="22" s="1"/>
  <c r="AU5" i="22" s="1"/>
  <c r="AR6" i="22"/>
  <c r="AY5" i="22"/>
  <c r="AR5" i="22"/>
  <c r="G11" i="23"/>
  <c r="AC6" i="22"/>
  <c r="H6" i="23"/>
  <c r="AX5" i="22"/>
  <c r="A4" i="23"/>
  <c r="B9" i="20" s="1"/>
  <c r="AG6" i="22"/>
  <c r="AN6" i="22"/>
  <c r="G7" i="23"/>
  <c r="E4" i="23"/>
  <c r="AQ5" i="22"/>
  <c r="AJ5" i="22"/>
  <c r="AQ4" i="22"/>
  <c r="B4" i="23"/>
  <c r="AX4" i="22"/>
  <c r="D7" i="23"/>
  <c r="AJ6" i="22"/>
  <c r="E9" i="23"/>
  <c r="A12" i="23"/>
  <c r="A6" i="23"/>
  <c r="B11" i="20" s="1"/>
  <c r="H12" i="23"/>
  <c r="I11" i="23"/>
  <c r="A7" i="23"/>
  <c r="B12" i="20" s="1"/>
  <c r="A5" i="23"/>
  <c r="B10" i="20" s="1"/>
  <c r="A9" i="23"/>
  <c r="B5" i="23"/>
  <c r="E5" i="23"/>
  <c r="G5" i="23"/>
  <c r="E10" i="23"/>
  <c r="I9" i="23"/>
  <c r="H10" i="23"/>
  <c r="AQ6" i="22"/>
  <c r="C4" i="23"/>
  <c r="F4" i="23"/>
  <c r="I6" i="23"/>
  <c r="I12" i="23"/>
  <c r="E7" i="23"/>
  <c r="F5" i="23"/>
  <c r="E12" i="23"/>
  <c r="H11" i="23"/>
  <c r="G4" i="23"/>
  <c r="I7" i="23"/>
  <c r="I10" i="23"/>
  <c r="AY4" i="22"/>
  <c r="AR4" i="22"/>
  <c r="C9" i="20" l="1"/>
  <c r="C9" i="25" s="1"/>
  <c r="C10" i="20"/>
  <c r="C10" i="25" s="1"/>
  <c r="H7" i="23"/>
  <c r="C12" i="20"/>
  <c r="C12" i="25" s="1"/>
  <c r="H5" i="21"/>
  <c r="H5" i="22" s="1"/>
  <c r="H4" i="21"/>
  <c r="H4" i="22" s="1"/>
  <c r="AQ7" i="22" a="1"/>
  <c r="C2" i="14"/>
  <c r="D2" i="14"/>
  <c r="E2" i="14"/>
  <c r="F2" i="14"/>
  <c r="G2" i="14"/>
  <c r="H2" i="14"/>
  <c r="I2" i="14"/>
  <c r="J2" i="14"/>
  <c r="K2" i="14"/>
  <c r="L2" i="14"/>
  <c r="M2" i="14"/>
  <c r="N2" i="14"/>
  <c r="B2" i="14"/>
  <c r="J1" i="14"/>
  <c r="H1" i="14"/>
  <c r="E1" i="14"/>
  <c r="B1" i="14"/>
  <c r="H10" i="14"/>
  <c r="I10" i="14"/>
  <c r="H11" i="14"/>
  <c r="I11" i="14"/>
  <c r="H12" i="14"/>
  <c r="I12" i="14"/>
  <c r="I9" i="14"/>
  <c r="H9" i="14"/>
  <c r="F9" i="14"/>
  <c r="G9" i="14"/>
  <c r="F10" i="14"/>
  <c r="G10" i="14"/>
  <c r="F11" i="14"/>
  <c r="G11" i="14"/>
  <c r="F12" i="14"/>
  <c r="G12" i="14"/>
  <c r="A10" i="14"/>
  <c r="A11" i="14"/>
  <c r="A12" i="14"/>
  <c r="A9" i="14"/>
  <c r="A8" i="14"/>
  <c r="G7" i="14"/>
  <c r="F7" i="14"/>
  <c r="G6" i="14"/>
  <c r="F6" i="14"/>
  <c r="G5" i="14"/>
  <c r="F5" i="14"/>
  <c r="C4" i="14"/>
  <c r="D4" i="14"/>
  <c r="C5" i="14"/>
  <c r="D5" i="14"/>
  <c r="C6" i="14"/>
  <c r="D6" i="14"/>
  <c r="C7" i="14"/>
  <c r="D7" i="14"/>
  <c r="I7" i="14"/>
  <c r="I6" i="14"/>
  <c r="I5" i="14"/>
  <c r="I4" i="14"/>
  <c r="H5" i="14"/>
  <c r="H6" i="14"/>
  <c r="H7" i="14"/>
  <c r="H4" i="14"/>
  <c r="G4" i="14"/>
  <c r="F4" i="14"/>
  <c r="AK4" i="4"/>
  <c r="A7" i="14"/>
  <c r="A6" i="14"/>
  <c r="A5" i="14"/>
  <c r="A4" i="14"/>
  <c r="A3" i="14"/>
  <c r="AX2" i="4"/>
  <c r="AQ2" i="4"/>
  <c r="AJ2" i="4"/>
  <c r="AC2" i="4"/>
  <c r="AD4" i="4"/>
  <c r="AX4" i="4"/>
  <c r="AQ4" i="4"/>
  <c r="AJ4" i="4"/>
  <c r="AC4" i="4"/>
  <c r="AD8" i="4" l="1" a="1"/>
  <c r="AD8" i="4" s="1"/>
  <c r="AC7" i="4" a="1"/>
  <c r="AC7" i="4" s="1"/>
  <c r="C2" i="20"/>
  <c r="C2" i="25"/>
  <c r="B4" i="20"/>
  <c r="B4" i="25"/>
  <c r="AG5" i="22"/>
  <c r="H4" i="23"/>
  <c r="AN5" i="22"/>
  <c r="H5" i="23"/>
  <c r="AQ7" i="22"/>
  <c r="AU4" i="22" s="1"/>
  <c r="AU7" i="22" s="1"/>
  <c r="B12" i="14"/>
  <c r="D9" i="14"/>
  <c r="C11" i="14"/>
  <c r="B10" i="14"/>
  <c r="B4" i="14"/>
  <c r="B9" i="14"/>
  <c r="D11" i="14"/>
  <c r="B7" i="14"/>
  <c r="C9" i="14"/>
  <c r="B11" i="14"/>
  <c r="B6" i="14"/>
  <c r="D12" i="14"/>
  <c r="D10" i="14"/>
  <c r="B5" i="14"/>
  <c r="C12" i="14"/>
  <c r="C10" i="14"/>
  <c r="E9" i="14"/>
  <c r="E6" i="14"/>
  <c r="E5" i="14"/>
  <c r="AR4" i="4"/>
  <c r="E7" i="14"/>
  <c r="E4" i="14"/>
  <c r="E11" i="14"/>
  <c r="E10" i="14"/>
  <c r="AY4" i="4"/>
  <c r="E12" i="14"/>
  <c r="C4" i="20" l="1"/>
  <c r="C4" i="25" s="1"/>
  <c r="AU8" i="22"/>
  <c r="K9" i="23" l="1"/>
  <c r="K10" i="23"/>
  <c r="AQ9" i="22"/>
  <c r="J9" i="23" l="1"/>
  <c r="J10" i="23"/>
  <c r="L10" i="23" l="1"/>
  <c r="M10" i="23"/>
  <c r="N10" i="23"/>
  <c r="L9" i="23"/>
  <c r="N9" i="23"/>
  <c r="M9" i="23"/>
  <c r="K9" i="14"/>
  <c r="J9" i="14"/>
  <c r="K11" i="14" l="1"/>
  <c r="J11" i="14"/>
  <c r="L9" i="14" l="1"/>
  <c r="M9" i="14"/>
  <c r="N9" i="14"/>
  <c r="M11" i="14" l="1"/>
  <c r="N11" i="14"/>
  <c r="L11" i="14"/>
  <c r="AG4" i="4" l="1"/>
  <c r="AG7" i="4" s="1"/>
  <c r="AG8" i="4" s="1"/>
  <c r="AC9" i="4" l="1"/>
  <c r="AD9" i="4" l="1"/>
  <c r="AE9" i="4"/>
  <c r="AH5" i="4" l="1"/>
  <c r="J4" i="4" s="1"/>
  <c r="AH6" i="4"/>
  <c r="K4" i="4"/>
  <c r="T4" i="4" l="1"/>
  <c r="J4" i="14"/>
  <c r="J6" i="14"/>
  <c r="K7" i="14"/>
  <c r="J7" i="14"/>
  <c r="K4" i="14"/>
  <c r="J5" i="14"/>
  <c r="K5" i="14"/>
  <c r="K6" i="14"/>
  <c r="V4" i="4"/>
  <c r="P4" i="4"/>
  <c r="R4" i="4"/>
  <c r="Q4" i="4"/>
  <c r="U4" i="4"/>
  <c r="W4" i="4"/>
  <c r="E4" i="20" l="1"/>
  <c r="E4" i="25" s="1"/>
  <c r="D4" i="20"/>
  <c r="D4" i="25" s="1"/>
  <c r="S4" i="4"/>
  <c r="L4" i="4" s="1"/>
  <c r="X4" i="4"/>
  <c r="M4" i="4" s="1"/>
  <c r="Y4" i="4"/>
  <c r="N4" i="4" s="1"/>
  <c r="M4" i="14" l="1"/>
  <c r="M5" i="14"/>
  <c r="M6" i="14"/>
  <c r="N7" i="14"/>
  <c r="N4" i="14"/>
  <c r="L4" i="14"/>
  <c r="M7" i="14"/>
  <c r="N5" i="14"/>
  <c r="L5" i="14"/>
  <c r="L6" i="14"/>
  <c r="L7" i="14"/>
  <c r="N6" i="14"/>
  <c r="K12" i="14" l="1"/>
  <c r="J12" i="14"/>
  <c r="N12" i="14" l="1"/>
  <c r="M12" i="14"/>
  <c r="L12" i="14"/>
  <c r="J10" i="14" l="1"/>
  <c r="K10" i="14"/>
  <c r="N10" i="14" l="1"/>
  <c r="M10" i="14"/>
  <c r="L10" i="14"/>
  <c r="AY8" i="22" l="1" a="1"/>
  <c r="AY8" i="22" s="1"/>
  <c r="AX7" i="22" a="1"/>
  <c r="AX7" i="22" s="1"/>
  <c r="BB4" i="22" s="1"/>
  <c r="BB7" i="22" s="1"/>
  <c r="BB8" i="22" l="1"/>
  <c r="AY9" i="22" s="1"/>
  <c r="AX9" i="22" l="1"/>
  <c r="AZ9" i="22"/>
  <c r="BC5" i="22" l="1"/>
  <c r="J7" i="22" s="1"/>
  <c r="BC6" i="22"/>
  <c r="K7" i="22" s="1"/>
  <c r="K7" i="23" s="1"/>
  <c r="E12" i="20" l="1"/>
  <c r="E12" i="25" s="1"/>
  <c r="J7" i="23"/>
  <c r="Q7" i="22"/>
  <c r="P7" i="22"/>
  <c r="R7" i="22"/>
  <c r="T7" i="22"/>
  <c r="U7" i="22"/>
  <c r="W7" i="22"/>
  <c r="V7" i="22"/>
  <c r="K11" i="23"/>
  <c r="D12" i="20" l="1"/>
  <c r="D12" i="25" s="1"/>
  <c r="S7" i="22"/>
  <c r="L7" i="22" s="1"/>
  <c r="L7" i="23" s="1"/>
  <c r="X7" i="22"/>
  <c r="M7" i="22" s="1"/>
  <c r="M7" i="23" s="1"/>
  <c r="J11" i="23"/>
  <c r="Y7" i="22"/>
  <c r="N7" i="22" s="1"/>
  <c r="N7" i="23" s="1"/>
  <c r="M11" i="23" l="1"/>
  <c r="L11" i="23"/>
  <c r="N11" i="23"/>
  <c r="K12" i="23" l="1"/>
  <c r="J12" i="23"/>
  <c r="L12" i="23" l="1"/>
  <c r="N12" i="23" l="1"/>
  <c r="M12" i="23"/>
  <c r="AK8" i="22" l="1" a="1"/>
  <c r="AK8" i="22" s="1"/>
  <c r="AJ7" i="22" a="1"/>
  <c r="AJ7" i="22" s="1"/>
  <c r="AN4" i="22" s="1"/>
  <c r="AN7" i="22" s="1"/>
  <c r="AN8" i="22" l="1"/>
  <c r="AK9" i="22" s="1"/>
  <c r="AJ9" i="22" l="1"/>
  <c r="AL9" i="22"/>
  <c r="AO5" i="22" s="1"/>
  <c r="J5" i="22" s="1"/>
  <c r="AO6" i="22" l="1"/>
  <c r="K5" i="22" s="1"/>
  <c r="K5" i="23" s="1"/>
  <c r="Q5" i="22"/>
  <c r="T5" i="22"/>
  <c r="R5" i="22"/>
  <c r="J5" i="23"/>
  <c r="V5" i="22"/>
  <c r="P5" i="22"/>
  <c r="W5" i="22"/>
  <c r="U5" i="22"/>
  <c r="D10" i="20" l="1"/>
  <c r="D10" i="25" s="1"/>
  <c r="E10" i="20"/>
  <c r="E10" i="25" s="1"/>
  <c r="S5" i="22"/>
  <c r="L5" i="22" s="1"/>
  <c r="L5" i="23" s="1"/>
  <c r="Y5" i="22"/>
  <c r="N5" i="22" s="1"/>
  <c r="N5" i="23" s="1"/>
  <c r="X5" i="22"/>
  <c r="M5" i="22" s="1"/>
  <c r="M5" i="23" s="1"/>
  <c r="AR8" i="22" a="1"/>
  <c r="AS9" i="22" s="1"/>
  <c r="AR8" i="22" l="1"/>
  <c r="AR9" i="22" s="1"/>
  <c r="AV5" i="22" l="1"/>
  <c r="J6" i="22" s="1"/>
  <c r="AV6" i="22"/>
  <c r="K6" i="22" s="1"/>
  <c r="K6" i="23" s="1"/>
  <c r="E11" i="20" l="1"/>
  <c r="E11" i="25" s="1"/>
  <c r="Q6" i="22"/>
  <c r="V6" i="22"/>
  <c r="U6" i="22"/>
  <c r="T6" i="22"/>
  <c r="W6" i="22"/>
  <c r="J6" i="23"/>
  <c r="P6" i="22"/>
  <c r="R6" i="22"/>
  <c r="D11" i="20" l="1"/>
  <c r="D11" i="25" s="1"/>
  <c r="X6" i="22"/>
  <c r="M6" i="22" s="1"/>
  <c r="M6" i="23" s="1"/>
  <c r="Y6" i="22"/>
  <c r="N6" i="22" s="1"/>
  <c r="N6" i="23" s="1"/>
  <c r="S6" i="22"/>
  <c r="L6" i="22" s="1"/>
  <c r="L6" i="23" s="1"/>
  <c r="AC7" i="22" a="1"/>
  <c r="AC7" i="22" s="1"/>
  <c r="AG4" i="22" l="1"/>
  <c r="AG7" i="22" s="1"/>
  <c r="AG8" i="22" l="1"/>
  <c r="AC9" i="22" s="1"/>
  <c r="AD8" i="22" a="1"/>
  <c r="AD8" i="22" s="1"/>
  <c r="AD9" i="22" s="1"/>
  <c r="AE9" i="22" l="1"/>
  <c r="AH6" i="22" s="1"/>
  <c r="K4" i="22" s="1"/>
  <c r="K4" i="23" s="1"/>
  <c r="E9" i="20" l="1"/>
  <c r="E9" i="25" s="1"/>
  <c r="AH5" i="22"/>
  <c r="J4" i="22" s="1"/>
  <c r="R4" i="22" s="1"/>
  <c r="P4" i="22" l="1"/>
  <c r="V4" i="22"/>
  <c r="T4" i="22"/>
  <c r="W4" i="22"/>
  <c r="Y4" i="22" s="1"/>
  <c r="N4" i="22" s="1"/>
  <c r="N4" i="23" s="1"/>
  <c r="J4" i="23"/>
  <c r="Q4" i="22"/>
  <c r="S4" i="22" s="1"/>
  <c r="L4" i="22" s="1"/>
  <c r="L4" i="23" s="1"/>
  <c r="U4" i="22"/>
  <c r="D9" i="20" l="1"/>
  <c r="D9" i="25" s="1"/>
  <c r="X4" i="22"/>
  <c r="M4" i="22" s="1"/>
  <c r="M4" i="23" s="1"/>
  <c r="AJ7" i="4" a="1"/>
  <c r="AX7" i="4" a="1"/>
  <c r="AY8" i="4" a="1"/>
  <c r="AY8" i="4"/>
  <c r="AJ7" i="4"/>
  <c r="AX7" i="4"/>
  <c r="AK8" i="4" a="1"/>
  <c r="AK8" i="4"/>
  <c r="AR8" i="4" a="1"/>
  <c r="AQ7" i="4" a="1"/>
  <c r="AQ7" i="4"/>
  <c r="AR8" i="4"/>
  <c r="BB4" i="4"/>
  <c r="BB7" i="4"/>
  <c r="BB8" i="4"/>
  <c r="AN4" i="4"/>
  <c r="AN7" i="4"/>
  <c r="AN8" i="4"/>
  <c r="AX9" i="4"/>
  <c r="AY9" i="4"/>
  <c r="AZ9" i="4"/>
  <c r="BC6" i="4"/>
  <c r="BC5" i="4"/>
  <c r="AJ9" i="4"/>
  <c r="AK9" i="4"/>
  <c r="AL9" i="4"/>
  <c r="AO5" i="4"/>
  <c r="AO6" i="4"/>
  <c r="AU4" i="4"/>
  <c r="AU7" i="4"/>
  <c r="AU8" i="4"/>
  <c r="AQ9" i="4"/>
  <c r="AR9" i="4"/>
  <c r="AS9" i="4"/>
  <c r="AV5" i="4"/>
  <c r="AV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<sst xmlns="http://schemas.openxmlformats.org/spreadsheetml/2006/main" count="215" uniqueCount="118">
  <si>
    <t>Base case</t>
  </si>
  <si>
    <t>Lower bound</t>
  </si>
  <si>
    <t>Upper bound</t>
  </si>
  <si>
    <t>Min</t>
  </si>
  <si>
    <t>Median</t>
  </si>
  <si>
    <t>Max</t>
  </si>
  <si>
    <t>Expert 1 CE ratio</t>
  </si>
  <si>
    <t>Expert 2 CE ratio</t>
  </si>
  <si>
    <t>Avg pct deviation</t>
  </si>
  <si>
    <t>Cross $100K benchmark</t>
  </si>
  <si>
    <t>Cross $150K benchmark</t>
  </si>
  <si>
    <t>All &lt;= BM1</t>
  </si>
  <si>
    <t>All &gt; BM1</t>
  </si>
  <si>
    <t>All &lt;= BM2</t>
  </si>
  <si>
    <t>All &gt; BM2</t>
  </si>
  <si>
    <t>Expert 1 ICER</t>
  </si>
  <si>
    <t>Expert 2 ICER</t>
  </si>
  <si>
    <t>Benchmark1</t>
  </si>
  <si>
    <t>Benchmark2</t>
  </si>
  <si>
    <t>CE_Scale</t>
  </si>
  <si>
    <t>RoundPlace</t>
  </si>
  <si>
    <t>extreme</t>
  </si>
  <si>
    <t>Expert 1</t>
  </si>
  <si>
    <t>Expert 2</t>
  </si>
  <si>
    <t>Lower bound assumption</t>
  </si>
  <si>
    <t>Upper bound assumption</t>
  </si>
  <si>
    <t>Expert Group 1</t>
  </si>
  <si>
    <t>Expert Group 2</t>
  </si>
  <si>
    <t>Expert group imputed CE ratios (iv)</t>
  </si>
  <si>
    <t>Influence measures (v)</t>
  </si>
  <si>
    <t>Utility Progressed Disease Olaparib</t>
  </si>
  <si>
    <t>Utility Progressed Disease PLD+C</t>
  </si>
  <si>
    <t>Utility Progression-free Disease on Treatment Olaparib</t>
  </si>
  <si>
    <t xml:space="preserve">Utility Progression-Free Disease on Treatment PLD+C  </t>
  </si>
  <si>
    <t>ICER</t>
  </si>
  <si>
    <t>Assumption Group</t>
  </si>
  <si>
    <t>Utility weights</t>
  </si>
  <si>
    <t>100K Benchmark</t>
  </si>
  <si>
    <t>150K Benchmark</t>
  </si>
  <si>
    <t>Expert group utility weight assumptions (iii)</t>
  </si>
  <si>
    <t>CE ratios from ICER ($000/QALY) (ii)</t>
  </si>
  <si>
    <t>Assumptions</t>
  </si>
  <si>
    <t>CE Ratios</t>
  </si>
  <si>
    <t>Base case (a)</t>
  </si>
  <si>
    <t>(a)</t>
  </si>
  <si>
    <t>Low CE value (b)</t>
  </si>
  <si>
    <t>High CE value (b)</t>
  </si>
  <si>
    <t>(b)</t>
  </si>
  <si>
    <t>Base case (c)</t>
  </si>
  <si>
    <t>Low CE value (d)</t>
  </si>
  <si>
    <t>High CE value (d)</t>
  </si>
  <si>
    <t>Notes - Belimumab</t>
  </si>
  <si>
    <t>(c)</t>
  </si>
  <si>
    <t>Cost-per-QALY base case value comes from Table 4.5</t>
  </si>
  <si>
    <t>(d)</t>
  </si>
  <si>
    <t>For CR, PR, and AD, utility weight lower and upper cost-effectiveness values come from Table E15 for Belimumab</t>
  </si>
  <si>
    <t>For CR, PR, and AD, utility weight lower and upper utility values come from Table E15 for Belimumab</t>
  </si>
  <si>
    <t>Experts</t>
  </si>
  <si>
    <t>For CR, PR, AD, and ESRD, utility weight base case values come from Table 4.4.</t>
  </si>
  <si>
    <t>Notes - Voclosporin</t>
  </si>
  <si>
    <t>Same as note (a) for Belimumab</t>
  </si>
  <si>
    <t>For CR, PR, and AD, utility weight lower and upper utility values come from Table E17 for Voclosporin</t>
  </si>
  <si>
    <t>Cost-per-QALY base case value comes from Table 4.6</t>
  </si>
  <si>
    <t>For CR, PR, and AD, utility weight lower and upper cost-effectiveness values come from Table E17 for Voclosporin</t>
  </si>
  <si>
    <t>Assumption</t>
  </si>
  <si>
    <t>From Table 5.3, second column from left, page 54.  Using values for patient who are statin intolerant.</t>
  </si>
  <si>
    <t>From Table 5.3, third column from left, page 54.  Using values for patients who are statin intolerant</t>
  </si>
  <si>
    <t>From Figure 5.2 - Bottom of figure.</t>
  </si>
  <si>
    <t>CE values read digitally from Figure 5.2 - Using 8th analysis from top of figure.</t>
  </si>
  <si>
    <t>Group 1 (e)</t>
  </si>
  <si>
    <t>(e)</t>
  </si>
  <si>
    <t>Table D9</t>
  </si>
  <si>
    <t>Group 2 (f)</t>
  </si>
  <si>
    <t>(f)</t>
  </si>
  <si>
    <t>ICER base case value.</t>
  </si>
  <si>
    <t>Bempedoic acid</t>
  </si>
  <si>
    <t>Expert group assumptions for LDL-C reduction (iii)</t>
  </si>
  <si>
    <t>ICER assumptions for LDL-C reduction (i)</t>
  </si>
  <si>
    <t>Based on dataset used</t>
  </si>
  <si>
    <t>ACS</t>
  </si>
  <si>
    <t>Elective revascularization</t>
  </si>
  <si>
    <t>Stroke</t>
  </si>
  <si>
    <t>CV Death</t>
  </si>
  <si>
    <t>Notes</t>
  </si>
  <si>
    <t>Table 5.3, second column from left</t>
  </si>
  <si>
    <t>Table 5.3, third column from left</t>
  </si>
  <si>
    <t>Event rate ratio per mmol LDL-C from ICER (i)</t>
  </si>
  <si>
    <t>CE values read digitally from Figure 5.2 - Using 2nd, 10th, 11th analyses from top of figure.</t>
  </si>
  <si>
    <t>CV Mortality</t>
  </si>
  <si>
    <t>Calculation of risk ratio per mmol/L LDL-C</t>
  </si>
  <si>
    <t>See calculations, near Column AJ.</t>
  </si>
  <si>
    <t>One minus risk ratio in Table 4.5, column 2, row 5 (MACE)</t>
  </si>
  <si>
    <t>Rate reduction for treatment (i)</t>
  </si>
  <si>
    <t>Rate reduction per mmol/L LDL-C (ii)</t>
  </si>
  <si>
    <t>Risk ratio per mmol/L LDL-C (iii)</t>
  </si>
  <si>
    <t xml:space="preserve">(i) Rate reduction for treatment is 1 - risk ratio for treatmentRisk ratio per mmol/L LDL-C equals 1 - (rate reduction for treatment per mmol/L LDL-C). </t>
  </si>
  <si>
    <t xml:space="preserve">   - For ACS and Elective revascularization, we used Table 4.5, row 5, column 2.</t>
  </si>
  <si>
    <t xml:space="preserve">   - For stroke, we used Table 4.5, row 3, column 2.</t>
  </si>
  <si>
    <t xml:space="preserve">   - For death, we used Table 4.5, row 1, column 2.</t>
  </si>
  <si>
    <t>(ii) To compute the rate reduction per mmol/L reduction in LDL-C, we divided the treatment rate reduction by treatment reduction of LDL-C in mmol/L.  See computation of this value, below.</t>
  </si>
  <si>
    <t>(iii) Risk ratio per mmol/L LDL-C is 1 - the rate reduction (item ii).</t>
  </si>
  <si>
    <t>Calculation of Treatment reduction of LDL-C in mmol/L</t>
  </si>
  <si>
    <t>LDL_C_reduction</t>
  </si>
  <si>
    <t>(i) Baseline LDL-C</t>
  </si>
  <si>
    <t>(iii) Baseline LDL-C (mmol/L)</t>
  </si>
  <si>
    <t>(ii) Conversion mg/mmol</t>
  </si>
  <si>
    <t>(iv) Percent reduction in LDL-C</t>
  </si>
  <si>
    <t>From Table 4.3</t>
  </si>
  <si>
    <t>Calculated</t>
  </si>
  <si>
    <t>From NIH</t>
  </si>
  <si>
    <t>NIH</t>
  </si>
  <si>
    <t>https://www.ncbi.nlm.nih.gov/books/NBK83505/</t>
  </si>
  <si>
    <t>Table 5.3</t>
  </si>
  <si>
    <t>One minus risk ratio in Table 4.5, column 2, row 3 (non-fatal stroke)</t>
  </si>
  <si>
    <t>Assume no impact on CV mortality</t>
  </si>
  <si>
    <t>Group 2 (e)</t>
  </si>
  <si>
    <t>Direct estimation of clinical benefit for:</t>
  </si>
  <si>
    <t>Do ratios from the three groups cross a value benchmark (vi)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</si>
</sst>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/>
    <xf numFmtId="2" fontId="6" fillId="0" borderId="0" xfId="0" applyNumberFormat="1" applyFont="1" applyAlignment="1">
      <alignment horizontal="center"/>
    </xf>
    <xf numFmtId="164" fontId="6" fillId="0" borderId="0" xfId="1" applyNumberFormat="1" applyFont="1"/>
    <xf numFmtId="9" fontId="6" fillId="0" borderId="0" xfId="2" applyFont="1" applyAlignment="1">
      <alignment horizontal="center"/>
    </xf>
    <xf numFmtId="9" fontId="0" fillId="0" borderId="0" xfId="2" applyFont="1"/>
    <xf numFmtId="0" fontId="6" fillId="0" borderId="0" xfId="0" applyFont="1" applyAlignment="1">
      <alignment horizontal="center"/>
    </xf>
    <xf numFmtId="6" fontId="0" fillId="0" borderId="0" xfId="0" applyNumberForma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2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/>
    <xf numFmtId="3" fontId="11" fillId="0" borderId="0" xfId="0" applyNumberFormat="1" applyFont="1" applyAlignment="1">
      <alignment horizontal="center"/>
    </xf>
    <xf numFmtId="2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44" fontId="9" fillId="0" borderId="0" xfId="1" applyFont="1"/>
    <xf numFmtId="6" fontId="9" fillId="0" borderId="0" xfId="0" applyNumberFormat="1" applyFont="1"/>
    <xf numFmtId="164" fontId="9" fillId="0" borderId="0" xfId="1" applyNumberFormat="1" applyFont="1"/>
    <xf numFmtId="164" fontId="9" fillId="0" borderId="0" xfId="0" applyNumberFormat="1" applyFont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164" fontId="6" fillId="0" borderId="1" xfId="1" applyNumberFormat="1" applyFont="1" applyBorder="1"/>
    <xf numFmtId="9" fontId="6" fillId="0" borderId="1" xfId="2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64" fontId="13" fillId="0" borderId="0" xfId="1" applyNumberFormat="1" applyFont="1" applyAlignment="1">
      <alignment horizontal="center"/>
    </xf>
    <xf numFmtId="164" fontId="12" fillId="0" borderId="0" xfId="1" applyNumberFormat="1" applyFont="1" applyAlignment="1">
      <alignment horizontal="center"/>
    </xf>
    <xf numFmtId="164" fontId="6" fillId="0" borderId="0" xfId="0" applyNumberFormat="1" applyFont="1"/>
    <xf numFmtId="9" fontId="6" fillId="0" borderId="0" xfId="2" applyFont="1"/>
    <xf numFmtId="0" fontId="6" fillId="0" borderId="1" xfId="0" applyFont="1" applyBorder="1" applyAlignment="1">
      <alignment horizontal="center"/>
    </xf>
    <xf numFmtId="166" fontId="9" fillId="0" borderId="0" xfId="2" applyNumberFormat="1" applyFont="1" applyAlignment="1">
      <alignment horizontal="center"/>
    </xf>
    <xf numFmtId="0" fontId="10" fillId="0" borderId="0" xfId="0" applyFont="1" applyAlignment="1"/>
    <xf numFmtId="166" fontId="6" fillId="0" borderId="0" xfId="2" applyNumberFormat="1" applyFont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14" fillId="0" borderId="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2" fontId="9" fillId="0" borderId="0" xfId="0" applyNumberFormat="1" applyFont="1"/>
    <xf numFmtId="166" fontId="9" fillId="0" borderId="0" xfId="0" applyNumberFormat="1" applyFont="1"/>
    <xf numFmtId="0" fontId="16" fillId="0" borderId="0" xfId="3" applyFont="1"/>
    <xf numFmtId="9" fontId="11" fillId="0" borderId="8" xfId="0" applyNumberFormat="1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0" fontId="11" fillId="0" borderId="6" xfId="0" applyFont="1" applyBorder="1"/>
    <xf numFmtId="44" fontId="0" fillId="0" borderId="0" xfId="0" applyNumberFormat="1"/>
    <xf numFmtId="44" fontId="6" fillId="0" borderId="1" xfId="1" applyNumberFormat="1" applyFont="1" applyBorder="1"/>
    <xf numFmtId="166" fontId="6" fillId="0" borderId="1" xfId="2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Figures!$C$3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Figures!$C$4:$C$13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Figures!$H$4:$H$13</c:f>
              <c:numCache>
                <c:formatCode>General</c:formatCode>
                <c:ptCount val="10"/>
                <c:pt idx="0">
                  <c:v>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15A-4C54-8224-D3B95E7B7A6B}"/>
            </c:ext>
          </c:extLst>
        </c:ser>
        <c:ser>
          <c:idx val="6"/>
          <c:order val="1"/>
          <c:tx>
            <c:strRef>
              <c:f>Figures!$D$3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>
              <a:noFill/>
            </a:ln>
          </c:spPr>
          <c:xVal>
            <c:numRef>
              <c:f>Figures!$D$4:$D$13</c:f>
              <c:numCache>
                <c:formatCode>_("$"* #,##0_);_("$"* \(#,##0\);_("$"* "-"??_);_(@_)</c:formatCode>
                <c:ptCount val="10"/>
                <c:pt idx="0">
                  <c:v>196.67</c:v>
                </c:pt>
                <c:pt idx="5">
                  <c:v>155.55000000000001</c:v>
                </c:pt>
                <c:pt idx="6">
                  <c:v>168.22</c:v>
                </c:pt>
                <c:pt idx="7">
                  <c:v>197.17</c:v>
                </c:pt>
                <c:pt idx="8">
                  <c:v>561.85</c:v>
                </c:pt>
              </c:numCache>
            </c:numRef>
          </c:xVal>
          <c:yVal>
            <c:numRef>
              <c:f>Figures!$H$4:$H$13</c:f>
              <c:numCache>
                <c:formatCode>General</c:formatCode>
                <c:ptCount val="10"/>
                <c:pt idx="0">
                  <c:v>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15A-4C54-8224-D3B95E7B7A6B}"/>
            </c:ext>
          </c:extLst>
        </c:ser>
        <c:ser>
          <c:idx val="7"/>
          <c:order val="2"/>
          <c:tx>
            <c:strRef>
              <c:f>Figures!$E$3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>
              <a:noFill/>
            </a:ln>
          </c:spPr>
          <c:xVal>
            <c:numRef>
              <c:f>Figures!$E$4:$E$13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Figures!$H$4:$H$13</c:f>
              <c:numCache>
                <c:formatCode>General</c:formatCode>
                <c:ptCount val="10"/>
                <c:pt idx="0">
                  <c:v>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15A-4C54-8224-D3B95E7B7A6B}"/>
            </c:ext>
          </c:extLst>
        </c:ser>
        <c:ser>
          <c:idx val="8"/>
          <c:order val="3"/>
          <c:tx>
            <c:strRef>
              <c:f>Figures!$F$3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Figures!$F$15:$F$16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Figures!$H$15:$H$16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15A-4C54-8224-D3B95E7B7A6B}"/>
            </c:ext>
          </c:extLst>
        </c:ser>
        <c:ser>
          <c:idx val="9"/>
          <c:order val="4"/>
          <c:tx>
            <c:strRef>
              <c:f>Figures!$G$3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Figures!$G$18:$G$19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Figures!$H$18:$H$19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15A-4C54-8224-D3B95E7B7A6B}"/>
            </c:ext>
          </c:extLst>
        </c:ser>
        <c:ser>
          <c:idx val="0"/>
          <c:order val="5"/>
          <c:tx>
            <c:strRef>
              <c:f>Figures!$C$3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Figures!$C$4:$C$13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Figures!$H$4:$H$13</c:f>
              <c:numCache>
                <c:formatCode>General</c:formatCode>
                <c:ptCount val="10"/>
                <c:pt idx="0">
                  <c:v>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5A-4C54-8224-D3B95E7B7A6B}"/>
            </c:ext>
          </c:extLst>
        </c:ser>
        <c:ser>
          <c:idx val="1"/>
          <c:order val="6"/>
          <c:tx>
            <c:strRef>
              <c:f>Figures!$D$3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Figures!$D$4:$D$13</c:f>
              <c:numCache>
                <c:formatCode>_("$"* #,##0_);_("$"* \(#,##0\);_("$"* "-"??_);_(@_)</c:formatCode>
                <c:ptCount val="10"/>
                <c:pt idx="0">
                  <c:v>196.67</c:v>
                </c:pt>
                <c:pt idx="5">
                  <c:v>155.55000000000001</c:v>
                </c:pt>
                <c:pt idx="6">
                  <c:v>168.22</c:v>
                </c:pt>
                <c:pt idx="7">
                  <c:v>197.17</c:v>
                </c:pt>
                <c:pt idx="8">
                  <c:v>561.85</c:v>
                </c:pt>
              </c:numCache>
            </c:numRef>
          </c:xVal>
          <c:yVal>
            <c:numRef>
              <c:f>Figures!$H$4:$H$13</c:f>
              <c:numCache>
                <c:formatCode>General</c:formatCode>
                <c:ptCount val="10"/>
                <c:pt idx="0">
                  <c:v>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15A-4C54-8224-D3B95E7B7A6B}"/>
            </c:ext>
          </c:extLst>
        </c:ser>
        <c:ser>
          <c:idx val="2"/>
          <c:order val="7"/>
          <c:tx>
            <c:strRef>
              <c:f>Figures!$E$3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Figures!$E$4:$E$13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Figures!$H$4:$H$13</c:f>
              <c:numCache>
                <c:formatCode>General</c:formatCode>
                <c:ptCount val="10"/>
                <c:pt idx="0">
                  <c:v>1</c:v>
                </c:pt>
                <c:pt idx="5">
                  <c:v>2</c:v>
                </c:pt>
                <c:pt idx="6">
                  <c:v>2.25</c:v>
                </c:pt>
                <c:pt idx="7">
                  <c:v>2.5</c:v>
                </c:pt>
                <c:pt idx="8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5A-4C54-8224-D3B95E7B7A6B}"/>
            </c:ext>
          </c:extLst>
        </c:ser>
        <c:ser>
          <c:idx val="3"/>
          <c:order val="8"/>
          <c:tx>
            <c:strRef>
              <c:f>Figures!$F$3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Figures!$F$15:$F$16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Figures!$H$15:$H$16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15A-4C54-8224-D3B95E7B7A6B}"/>
            </c:ext>
          </c:extLst>
        </c:ser>
        <c:ser>
          <c:idx val="4"/>
          <c:order val="9"/>
          <c:tx>
            <c:strRef>
              <c:f>Figures!$G$3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Figures!$G$18:$G$19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Figures!$H$18:$H$19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15A-4C54-8224-D3B95E7B7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</c:valAx>
      <c:valAx>
        <c:axId val="52911819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'Figures - Main'!$C$3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'Figures - Main'!$C$4:$C$13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3">
                  <c:v>157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'Figures - Main'!$H$4:$H$13</c:f>
              <c:numCache>
                <c:formatCode>General</c:formatCode>
                <c:ptCount val="10"/>
                <c:pt idx="0">
                  <c:v>0.5</c:v>
                </c:pt>
                <c:pt idx="3">
                  <c:v>1.5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80-4387-9A91-4899AB6475A1}"/>
            </c:ext>
          </c:extLst>
        </c:ser>
        <c:ser>
          <c:idx val="6"/>
          <c:order val="1"/>
          <c:tx>
            <c:strRef>
              <c:f>'Figures - Main'!$D$3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>
              <a:noFill/>
            </a:ln>
          </c:spPr>
          <c:xVal>
            <c:numRef>
              <c:f>'Figures - Main'!$D$4:$D$13</c:f>
              <c:numCache>
                <c:formatCode>_("$"* #,##0_);_("$"* \(#,##0\);_("$"* "-"??_);_(@_)</c:formatCode>
                <c:ptCount val="10"/>
                <c:pt idx="0">
                  <c:v>196.67</c:v>
                </c:pt>
                <c:pt idx="3">
                  <c:v>522</c:v>
                </c:pt>
                <c:pt idx="5">
                  <c:v>155.55000000000001</c:v>
                </c:pt>
                <c:pt idx="6">
                  <c:v>168.22</c:v>
                </c:pt>
                <c:pt idx="7">
                  <c:v>197.17</c:v>
                </c:pt>
                <c:pt idx="8">
                  <c:v>561.85</c:v>
                </c:pt>
              </c:numCache>
            </c:numRef>
          </c:xVal>
          <c:yVal>
            <c:numRef>
              <c:f>'Figures - Main'!$H$4:$H$13</c:f>
              <c:numCache>
                <c:formatCode>General</c:formatCode>
                <c:ptCount val="10"/>
                <c:pt idx="0">
                  <c:v>0.5</c:v>
                </c:pt>
                <c:pt idx="3">
                  <c:v>1.5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0-4387-9A91-4899AB6475A1}"/>
            </c:ext>
          </c:extLst>
        </c:ser>
        <c:ser>
          <c:idx val="7"/>
          <c:order val="2"/>
          <c:tx>
            <c:strRef>
              <c:f>'Figures - Main'!$E$3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>
              <a:noFill/>
            </a:ln>
          </c:spPr>
          <c:xVal>
            <c:numRef>
              <c:f>'Figures - Main'!$E$4:$E$13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3">
                  <c:v>522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'Figures - Main'!$H$4:$H$13</c:f>
              <c:numCache>
                <c:formatCode>General</c:formatCode>
                <c:ptCount val="10"/>
                <c:pt idx="0">
                  <c:v>0.5</c:v>
                </c:pt>
                <c:pt idx="3">
                  <c:v>1.5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80-4387-9A91-4899AB6475A1}"/>
            </c:ext>
          </c:extLst>
        </c:ser>
        <c:ser>
          <c:idx val="8"/>
          <c:order val="3"/>
          <c:tx>
            <c:strRef>
              <c:f>'Figures - Main'!$F$3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'Figures - Main'!$F$15:$F$16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'Figures - Main'!$H$15:$H$16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0-4387-9A91-4899AB6475A1}"/>
            </c:ext>
          </c:extLst>
        </c:ser>
        <c:ser>
          <c:idx val="9"/>
          <c:order val="4"/>
          <c:tx>
            <c:strRef>
              <c:f>'Figures - Main'!$G$3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xVal>
            <c:numRef>
              <c:f>'Figures - Main'!$G$18:$G$19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'Figures - Main'!$H$18:$H$19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80-4387-9A91-4899AB6475A1}"/>
            </c:ext>
          </c:extLst>
        </c:ser>
        <c:ser>
          <c:idx val="0"/>
          <c:order val="5"/>
          <c:tx>
            <c:strRef>
              <c:f>'Figures - Main'!$C$3</c:f>
              <c:strCache>
                <c:ptCount val="1"/>
                <c:pt idx="0">
                  <c:v>ICER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'Figures - Main'!$C$4:$C$13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3">
                  <c:v>157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'Figures - Main'!$H$4:$H$13</c:f>
              <c:numCache>
                <c:formatCode>General</c:formatCode>
                <c:ptCount val="10"/>
                <c:pt idx="0">
                  <c:v>0.5</c:v>
                </c:pt>
                <c:pt idx="3">
                  <c:v>1.5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0-4387-9A91-4899AB6475A1}"/>
            </c:ext>
          </c:extLst>
        </c:ser>
        <c:ser>
          <c:idx val="1"/>
          <c:order val="6"/>
          <c:tx>
            <c:strRef>
              <c:f>'Figures - Main'!$D$3</c:f>
              <c:strCache>
                <c:ptCount val="1"/>
                <c:pt idx="0">
                  <c:v>Expert Group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'Figures - Main'!$D$4:$D$13</c:f>
              <c:numCache>
                <c:formatCode>_("$"* #,##0_);_("$"* \(#,##0\);_("$"* "-"??_);_(@_)</c:formatCode>
                <c:ptCount val="10"/>
                <c:pt idx="0">
                  <c:v>196.67</c:v>
                </c:pt>
                <c:pt idx="3">
                  <c:v>522</c:v>
                </c:pt>
                <c:pt idx="5">
                  <c:v>155.55000000000001</c:v>
                </c:pt>
                <c:pt idx="6">
                  <c:v>168.22</c:v>
                </c:pt>
                <c:pt idx="7">
                  <c:v>197.17</c:v>
                </c:pt>
                <c:pt idx="8">
                  <c:v>561.85</c:v>
                </c:pt>
              </c:numCache>
            </c:numRef>
          </c:xVal>
          <c:yVal>
            <c:numRef>
              <c:f>'Figures - Main'!$H$4:$H$13</c:f>
              <c:numCache>
                <c:formatCode>General</c:formatCode>
                <c:ptCount val="10"/>
                <c:pt idx="0">
                  <c:v>0.5</c:v>
                </c:pt>
                <c:pt idx="3">
                  <c:v>1.5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80-4387-9A91-4899AB6475A1}"/>
            </c:ext>
          </c:extLst>
        </c:ser>
        <c:ser>
          <c:idx val="2"/>
          <c:order val="7"/>
          <c:tx>
            <c:strRef>
              <c:f>'Figures - Main'!$E$3</c:f>
              <c:strCache>
                <c:ptCount val="1"/>
                <c:pt idx="0">
                  <c:v>Expert Group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'Figures - Main'!$E$4:$E$13</c:f>
              <c:numCache>
                <c:formatCode>_("$"* #,##0_);_("$"* \(#,##0\);_("$"* "-"??_);_(@_)</c:formatCode>
                <c:ptCount val="10"/>
                <c:pt idx="0">
                  <c:v>186.26</c:v>
                </c:pt>
                <c:pt idx="3">
                  <c:v>522</c:v>
                </c:pt>
                <c:pt idx="5">
                  <c:v>186.26</c:v>
                </c:pt>
                <c:pt idx="6">
                  <c:v>186.26</c:v>
                </c:pt>
                <c:pt idx="7">
                  <c:v>186.26</c:v>
                </c:pt>
                <c:pt idx="8">
                  <c:v>186.26</c:v>
                </c:pt>
              </c:numCache>
            </c:numRef>
          </c:xVal>
          <c:yVal>
            <c:numRef>
              <c:f>'Figures - Main'!$H$4:$H$13</c:f>
              <c:numCache>
                <c:formatCode>General</c:formatCode>
                <c:ptCount val="10"/>
                <c:pt idx="0">
                  <c:v>0.5</c:v>
                </c:pt>
                <c:pt idx="3">
                  <c:v>1.5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0-4387-9A91-4899AB6475A1}"/>
            </c:ext>
          </c:extLst>
        </c:ser>
        <c:ser>
          <c:idx val="3"/>
          <c:order val="8"/>
          <c:tx>
            <c:strRef>
              <c:f>'Figures - Main'!$F$3</c:f>
              <c:strCache>
                <c:ptCount val="1"/>
                <c:pt idx="0">
                  <c:v>100K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'Figures - Main'!$F$15:$F$16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'Figures - Main'!$H$15:$H$16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680-4387-9A91-4899AB6475A1}"/>
            </c:ext>
          </c:extLst>
        </c:ser>
        <c:ser>
          <c:idx val="4"/>
          <c:order val="9"/>
          <c:tx>
            <c:strRef>
              <c:f>'Figures - Main'!$G$3</c:f>
              <c:strCache>
                <c:ptCount val="1"/>
                <c:pt idx="0">
                  <c:v>150K Benchmark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'Figures - Main'!$G$18:$G$19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'Figures - Main'!$H$18:$H$19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80-4387-9A91-4899AB64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3168"/>
        <c:axId val="529118192"/>
      </c:scatterChart>
      <c:valAx>
        <c:axId val="5291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Cost-Effectiveness ($000/QALY)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118192"/>
        <c:crosses val="autoZero"/>
        <c:crossBetween val="midCat"/>
      </c:valAx>
      <c:valAx>
        <c:axId val="52911819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3168"/>
        <c:crosses val="autoZero"/>
        <c:crossBetween val="midCat"/>
        <c:maj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171450</xdr:colOff>
      <xdr:row>1</xdr:row>
      <xdr:rowOff>28575</xdr:rowOff>
    </xdr:from>
    <xdr:to>
      <xdr:col>18</xdr:col>
      <xdr:colOff>570840</xdr:colOff>
      <xdr:row>5</xdr:row>
      <xdr:rowOff>123712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2B3A1B-3B34-49A4-9F9A-E25B8586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15475" y="190500"/>
          <a:ext cx="5276190" cy="9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5</xdr:row>
      <xdr:rowOff>114300</xdr:rowOff>
    </xdr:from>
    <xdr:to>
      <xdr:col>18</xdr:col>
      <xdr:colOff>570848</xdr:colOff>
      <xdr:row>14</xdr:row>
      <xdr:rowOff>66499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C1BD65-6F66-498F-A656-CB6A648FC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2625" y="1085850"/>
          <a:ext cx="5219048" cy="14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105165</xdr:colOff>
      <xdr:row>1</xdr:row>
      <xdr:rowOff>42627</xdr:rowOff>
    </xdr:from>
    <xdr:to>
      <xdr:col>33</xdr:col>
      <xdr:colOff>533400</xdr:colOff>
      <xdr:row>30</xdr:row>
      <xdr:rowOff>46781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41FD3F-6C7B-4CC9-B0DE-35E0E2FEB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35590" y="204552"/>
          <a:ext cx="8962635" cy="4861904"/>
        </a:xfrm>
        <a:prstGeom prst="rect">
          <a:avLst/>
        </a:prstGeom>
      </xdr:spPr>
    </xdr:pic>
    <xdr:clientData/>
  </xdr:twoCellAnchor>
  <xdr:twoCellAnchor editAs="oneCell">
    <xdr:from>
      <xdr:col>34</xdr:col>
      <xdr:colOff>66675</xdr:colOff>
      <xdr:row>1</xdr:row>
      <xdr:rowOff>28575</xdr:rowOff>
    </xdr:from>
    <xdr:to>
      <xdr:col>45</xdr:col>
      <xdr:colOff>370599</xdr:colOff>
      <xdr:row>9</xdr:row>
      <xdr:rowOff>76012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2577DB-7988-4E8A-8ECA-E885B05F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41100" y="190500"/>
          <a:ext cx="7009524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2</xdr:row>
      <xdr:rowOff>0</xdr:rowOff>
    </xdr:from>
    <xdr:to>
      <xdr:col>18</xdr:col>
      <xdr:colOff>208798</xdr:colOff>
      <xdr:row>26</xdr:row>
      <xdr:rowOff>13619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462B0C-80E6-4FB3-A52D-CA8DF4912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925" y="323850"/>
          <a:ext cx="4361698" cy="4223669"/>
        </a:xfrm>
        <a:prstGeom prst="rect">
          <a:avLst/>
        </a:prstGeom>
      </xdr:spPr>
    </xdr:pic>
    <xdr:clientData/>
  </xdr:twoCellAnchor>
  <xdr:twoCellAnchor editAs="oneCell">
    <xdr:from>
      <xdr:col>18</xdr:col>
      <xdr:colOff>561975</xdr:colOff>
      <xdr:row>2</xdr:row>
      <xdr:rowOff>38101</xdr:rowOff>
    </xdr:from>
    <xdr:to>
      <xdr:col>33</xdr:col>
      <xdr:colOff>236575</xdr:colOff>
      <xdr:row>29</xdr:row>
      <xdr:rowOff>137644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EC5277-289D-4285-A3E8-C1D364E0A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2800" y="361951"/>
          <a:ext cx="8818600" cy="4795368"/>
        </a:xfrm>
        <a:prstGeom prst="rect">
          <a:avLst/>
        </a:prstGeom>
      </xdr:spPr>
    </xdr:pic>
    <xdr:clientData/>
  </xdr:twoCellAnchor>
  <xdr:twoCellAnchor editAs="oneCell">
    <xdr:from>
      <xdr:col>37</xdr:col>
      <xdr:colOff>561975</xdr:colOff>
      <xdr:row>53</xdr:row>
      <xdr:rowOff>49555</xdr:rowOff>
    </xdr:from>
    <xdr:to>
      <xdr:col>44</xdr:col>
      <xdr:colOff>323850</xdr:colOff>
      <xdr:row>62</xdr:row>
      <xdr:rowOff>16267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EB167D-95F4-49E4-881F-76892EB8C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74875" y="9298330"/>
          <a:ext cx="4029075" cy="142403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48</xdr:row>
      <xdr:rowOff>104775</xdr:rowOff>
    </xdr:from>
    <xdr:to>
      <xdr:col>42</xdr:col>
      <xdr:colOff>428625</xdr:colOff>
      <xdr:row>51</xdr:row>
      <xdr:rowOff>87086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A2228A-93BB-4564-8DDC-F5BA1A88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0" y="8543925"/>
          <a:ext cx="2867025" cy="468086"/>
        </a:xfrm>
        <a:prstGeom prst="rect">
          <a:avLst/>
        </a:prstGeom>
      </xdr:spPr>
    </xdr:pic>
    <xdr:clientData/>
  </xdr:twoCellAnchor>
  <xdr:twoCellAnchor editAs="oneCell">
    <xdr:from>
      <xdr:col>37</xdr:col>
      <xdr:colOff>552451</xdr:colOff>
      <xdr:row>37</xdr:row>
      <xdr:rowOff>19050</xdr:rowOff>
    </xdr:from>
    <xdr:to>
      <xdr:col>45</xdr:col>
      <xdr:colOff>504409</xdr:colOff>
      <xdr:row>44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F5D8A9-2147-49DE-A0E5-ADDC9274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65351" y="6677025"/>
          <a:ext cx="4828758" cy="1162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</xdr:row>
      <xdr:rowOff>214311</xdr:rowOff>
    </xdr:from>
    <xdr:to>
      <xdr:col>18</xdr:col>
      <xdr:colOff>419100</xdr:colOff>
      <xdr:row>18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D4F3D5-8A16-4121-A38E-278AA5E9D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202437</xdr:colOff>
      <xdr:row>10</xdr:row>
      <xdr:rowOff>105163</xdr:rowOff>
    </xdr:from>
    <xdr:ext cx="1731821" cy="25449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A94028-43F4-4115-92F0-70843E8DEB59}"/>
            </a:ext>
          </a:extLst>
        </xdr:cNvPr>
        <xdr:cNvSpPr txBox="1"/>
      </xdr:nvSpPr>
      <xdr:spPr>
        <a:xfrm>
          <a:off x="11932841" y="2398490"/>
          <a:ext cx="1731821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LDL-C reduction data used</a:t>
          </a:r>
        </a:p>
      </xdr:txBody>
    </xdr:sp>
    <xdr:clientData/>
  </xdr:oneCellAnchor>
  <xdr:oneCellAnchor>
    <xdr:from>
      <xdr:col>12</xdr:col>
      <xdr:colOff>169739</xdr:colOff>
      <xdr:row>5</xdr:row>
      <xdr:rowOff>86516</xdr:rowOff>
    </xdr:from>
    <xdr:ext cx="2244653" cy="2544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CBC11F6-EAE5-42E3-AC21-EB3AC2FB27E6}"/>
            </a:ext>
          </a:extLst>
        </xdr:cNvPr>
        <xdr:cNvSpPr txBox="1"/>
      </xdr:nvSpPr>
      <xdr:spPr>
        <a:xfrm>
          <a:off x="11900143" y="1427343"/>
          <a:ext cx="224465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Direct estimation of clinical benefits</a:t>
          </a:r>
        </a:p>
      </xdr:txBody>
    </xdr:sp>
    <xdr:clientData/>
  </xdr:oneCellAnchor>
  <xdr:oneCellAnchor>
    <xdr:from>
      <xdr:col>16</xdr:col>
      <xdr:colOff>256443</xdr:colOff>
      <xdr:row>6</xdr:row>
      <xdr:rowOff>126990</xdr:rowOff>
    </xdr:from>
    <xdr:ext cx="637442" cy="2249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F607E28-EB33-4E8C-A7D0-1D8C17F92DBD}"/>
            </a:ext>
          </a:extLst>
        </xdr:cNvPr>
        <xdr:cNvSpPr txBox="1"/>
      </xdr:nvSpPr>
      <xdr:spPr>
        <a:xfrm>
          <a:off x="14419385" y="1658317"/>
          <a:ext cx="637442" cy="2249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CV death</a:t>
          </a:r>
        </a:p>
      </xdr:txBody>
    </xdr:sp>
    <xdr:clientData/>
  </xdr:oneCellAnchor>
  <xdr:oneCellAnchor>
    <xdr:from>
      <xdr:col>12</xdr:col>
      <xdr:colOff>473045</xdr:colOff>
      <xdr:row>7</xdr:row>
      <xdr:rowOff>59582</xdr:rowOff>
    </xdr:from>
    <xdr:ext cx="1379801" cy="22499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E355A7E-811E-465E-9544-9475260C240D}"/>
            </a:ext>
          </a:extLst>
        </xdr:cNvPr>
        <xdr:cNvSpPr txBox="1"/>
      </xdr:nvSpPr>
      <xdr:spPr>
        <a:xfrm>
          <a:off x="12203449" y="1781409"/>
          <a:ext cx="1379801" cy="22499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Elective revascularization</a:t>
          </a:r>
        </a:p>
      </xdr:txBody>
    </xdr:sp>
    <xdr:clientData/>
  </xdr:oneCellAnchor>
  <xdr:oneCellAnchor>
    <xdr:from>
      <xdr:col>12</xdr:col>
      <xdr:colOff>520211</xdr:colOff>
      <xdr:row>8</xdr:row>
      <xdr:rowOff>21981</xdr:rowOff>
    </xdr:from>
    <xdr:ext cx="454270" cy="18317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C1A2587-133B-4B7B-A33F-92F87FF2408B}"/>
            </a:ext>
          </a:extLst>
        </xdr:cNvPr>
        <xdr:cNvSpPr txBox="1"/>
      </xdr:nvSpPr>
      <xdr:spPr>
        <a:xfrm>
          <a:off x="12250615" y="1934308"/>
          <a:ext cx="454270" cy="1831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Stroke</a:t>
          </a:r>
        </a:p>
      </xdr:txBody>
    </xdr:sp>
    <xdr:clientData/>
  </xdr:oneCellAnchor>
  <xdr:oneCellAnchor>
    <xdr:from>
      <xdr:col>12</xdr:col>
      <xdr:colOff>556846</xdr:colOff>
      <xdr:row>8</xdr:row>
      <xdr:rowOff>189035</xdr:rowOff>
    </xdr:from>
    <xdr:ext cx="357554" cy="18317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1F724F-5378-4295-94BB-F89578609EA0}"/>
            </a:ext>
          </a:extLst>
        </xdr:cNvPr>
        <xdr:cNvSpPr txBox="1"/>
      </xdr:nvSpPr>
      <xdr:spPr>
        <a:xfrm>
          <a:off x="12287250" y="2101362"/>
          <a:ext cx="357554" cy="1831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ACS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</xdr:row>
      <xdr:rowOff>214311</xdr:rowOff>
    </xdr:from>
    <xdr:to>
      <xdr:col>18</xdr:col>
      <xdr:colOff>419100</xdr:colOff>
      <xdr:row>18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F4251-2DE2-462F-A628-09E41205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536759</xdr:colOff>
      <xdr:row>12</xdr:row>
      <xdr:rowOff>185758</xdr:rowOff>
    </xdr:from>
    <xdr:ext cx="1097095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2FDC0D-5C93-4166-A0A1-76C0FC846D79}"/>
            </a:ext>
          </a:extLst>
        </xdr:cNvPr>
        <xdr:cNvSpPr txBox="1"/>
      </xdr:nvSpPr>
      <xdr:spPr>
        <a:xfrm>
          <a:off x="12267163" y="2860085"/>
          <a:ext cx="109709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Bempedoic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acid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535829</xdr:colOff>
      <xdr:row>10</xdr:row>
      <xdr:rowOff>57208</xdr:rowOff>
    </xdr:from>
    <xdr:ext cx="772199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DF43F7-4DB9-4EBA-BEE8-D8231AAA921D}"/>
            </a:ext>
          </a:extLst>
        </xdr:cNvPr>
        <xdr:cNvSpPr txBox="1"/>
      </xdr:nvSpPr>
      <xdr:spPr>
        <a:xfrm>
          <a:off x="12266233" y="2350535"/>
          <a:ext cx="772199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Inclissiran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cbi.nlm.nih.gov/books/NBK83505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8DB6-F6C5-4220-9D69-DA32E4829C25}">
  <sheetPr>
    <tabColor rgb="FF00B0F0"/>
  </sheetPr>
  <dimension ref="A3:B7"/>
  <sheetViews>
    <sheetView workbookViewId="0">
      <selection activeCell="B8" sqref="B8"/>
    </sheetView>
  </sheetViews>
  <sheetFormatPr defaultRowHeight="15" x14ac:dyDescent="0.25"/>
  <cols>
    <col min="1" max="1" width="17.5703125" customWidth="1"/>
  </cols>
  <sheetData>
    <row r="3" spans="1:2" x14ac:dyDescent="0.25">
      <c r="A3" t="s">
        <v>17</v>
      </c>
      <c r="B3" s="33">
        <v>100000</v>
      </c>
    </row>
    <row r="4" spans="1:2" x14ac:dyDescent="0.25">
      <c r="A4" t="s">
        <v>18</v>
      </c>
      <c r="B4" s="33">
        <v>150000</v>
      </c>
    </row>
    <row r="6" spans="1:2" x14ac:dyDescent="0.25">
      <c r="A6" t="s">
        <v>19</v>
      </c>
      <c r="B6">
        <v>1000</v>
      </c>
    </row>
    <row r="7" spans="1:2" x14ac:dyDescent="0.25">
      <c r="A7" t="s">
        <v>20</v>
      </c>
      <c r="B7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575-5829-47D8-A44B-C8D41C42AE2C}">
  <sheetPr>
    <tabColor rgb="FFFFC000"/>
  </sheetPr>
  <dimension ref="A2:I47"/>
  <sheetViews>
    <sheetView workbookViewId="0">
      <selection activeCell="H4" sqref="H4"/>
    </sheetView>
  </sheetViews>
  <sheetFormatPr defaultRowHeight="12.75" x14ac:dyDescent="0.2"/>
  <cols>
    <col min="1" max="1" width="55" style="18" customWidth="1"/>
    <col min="2" max="5" width="9.140625" style="18"/>
    <col min="6" max="7" width="9.85546875" style="18" bestFit="1" customWidth="1"/>
    <col min="8" max="9" width="9.85546875" style="18" customWidth="1"/>
    <col min="10" max="16384" width="9.140625" style="18"/>
  </cols>
  <sheetData>
    <row r="2" spans="1:9" x14ac:dyDescent="0.2">
      <c r="B2" s="67" t="s">
        <v>41</v>
      </c>
      <c r="C2" s="67"/>
      <c r="D2" s="67"/>
      <c r="E2" s="67" t="s">
        <v>42</v>
      </c>
      <c r="F2" s="67"/>
      <c r="G2" s="67"/>
      <c r="H2" s="67" t="s">
        <v>57</v>
      </c>
      <c r="I2" s="67"/>
    </row>
    <row r="3" spans="1:9" ht="25.5" x14ac:dyDescent="0.2">
      <c r="A3" s="19" t="s">
        <v>64</v>
      </c>
      <c r="B3" s="43" t="s">
        <v>43</v>
      </c>
      <c r="C3" s="43" t="s">
        <v>45</v>
      </c>
      <c r="D3" s="43" t="s">
        <v>46</v>
      </c>
      <c r="E3" s="43" t="s">
        <v>48</v>
      </c>
      <c r="F3" s="43" t="s">
        <v>49</v>
      </c>
      <c r="G3" s="43" t="s">
        <v>50</v>
      </c>
      <c r="H3" s="43" t="s">
        <v>69</v>
      </c>
      <c r="I3" s="43" t="s">
        <v>72</v>
      </c>
    </row>
    <row r="4" spans="1:9" x14ac:dyDescent="0.2">
      <c r="A4" s="18" t="s">
        <v>78</v>
      </c>
      <c r="B4" s="49">
        <v>0.246</v>
      </c>
      <c r="C4" s="49">
        <v>0.17599999999999999</v>
      </c>
      <c r="D4" s="49">
        <v>0.315</v>
      </c>
      <c r="E4" s="33">
        <v>186264</v>
      </c>
      <c r="F4" s="33">
        <v>197000</v>
      </c>
      <c r="G4" s="33">
        <v>177333</v>
      </c>
      <c r="H4" s="49">
        <v>0.17799999999999999</v>
      </c>
      <c r="I4" s="49">
        <f>+B4</f>
        <v>0.246</v>
      </c>
    </row>
    <row r="5" spans="1:9" x14ac:dyDescent="0.2">
      <c r="F5" s="33"/>
      <c r="G5" s="33"/>
    </row>
    <row r="8" spans="1:9" x14ac:dyDescent="0.2">
      <c r="B8" s="28"/>
      <c r="C8" s="28"/>
      <c r="D8" s="28"/>
    </row>
    <row r="17" spans="2:9" x14ac:dyDescent="0.2">
      <c r="B17" s="50"/>
      <c r="C17" s="50"/>
      <c r="D17" s="50"/>
      <c r="E17" s="50"/>
      <c r="F17" s="50"/>
      <c r="G17" s="50"/>
      <c r="H17" s="50"/>
      <c r="I17" s="50"/>
    </row>
    <row r="27" spans="2:9" x14ac:dyDescent="0.2">
      <c r="B27" s="28" t="s">
        <v>44</v>
      </c>
      <c r="C27" s="18" t="s">
        <v>65</v>
      </c>
    </row>
    <row r="28" spans="2:9" x14ac:dyDescent="0.2">
      <c r="B28" s="28" t="s">
        <v>47</v>
      </c>
      <c r="C28" s="18" t="s">
        <v>66</v>
      </c>
    </row>
    <row r="29" spans="2:9" x14ac:dyDescent="0.2">
      <c r="B29" s="28" t="s">
        <v>52</v>
      </c>
      <c r="C29" s="18" t="s">
        <v>67</v>
      </c>
    </row>
    <row r="30" spans="2:9" x14ac:dyDescent="0.2">
      <c r="B30" s="28" t="s">
        <v>54</v>
      </c>
      <c r="C30" s="18" t="s">
        <v>68</v>
      </c>
    </row>
    <row r="31" spans="2:9" x14ac:dyDescent="0.2">
      <c r="B31" s="28" t="s">
        <v>70</v>
      </c>
      <c r="C31" s="18" t="s">
        <v>71</v>
      </c>
    </row>
    <row r="32" spans="2:9" x14ac:dyDescent="0.2">
      <c r="B32" s="28" t="s">
        <v>73</v>
      </c>
      <c r="C32" s="18" t="s">
        <v>74</v>
      </c>
    </row>
    <row r="39" spans="1:3" x14ac:dyDescent="0.2">
      <c r="A39" s="19" t="s">
        <v>51</v>
      </c>
      <c r="B39" s="28" t="s">
        <v>44</v>
      </c>
      <c r="C39" s="18" t="s">
        <v>58</v>
      </c>
    </row>
    <row r="40" spans="1:3" x14ac:dyDescent="0.2">
      <c r="B40" s="28" t="s">
        <v>47</v>
      </c>
      <c r="C40" s="18" t="s">
        <v>56</v>
      </c>
    </row>
    <row r="41" spans="1:3" x14ac:dyDescent="0.2">
      <c r="B41" s="28" t="s">
        <v>52</v>
      </c>
      <c r="C41" s="18" t="s">
        <v>53</v>
      </c>
    </row>
    <row r="42" spans="1:3" x14ac:dyDescent="0.2">
      <c r="B42" s="28" t="s">
        <v>54</v>
      </c>
      <c r="C42" s="18" t="s">
        <v>55</v>
      </c>
    </row>
    <row r="43" spans="1:3" x14ac:dyDescent="0.2">
      <c r="B43" s="28"/>
    </row>
    <row r="44" spans="1:3" x14ac:dyDescent="0.2">
      <c r="A44" s="19" t="s">
        <v>59</v>
      </c>
      <c r="B44" s="28" t="s">
        <v>44</v>
      </c>
      <c r="C44" s="18" t="s">
        <v>60</v>
      </c>
    </row>
    <row r="45" spans="1:3" x14ac:dyDescent="0.2">
      <c r="B45" s="28" t="s">
        <v>47</v>
      </c>
      <c r="C45" s="18" t="s">
        <v>61</v>
      </c>
    </row>
    <row r="46" spans="1:3" x14ac:dyDescent="0.2">
      <c r="B46" s="28" t="s">
        <v>52</v>
      </c>
      <c r="C46" s="18" t="s">
        <v>62</v>
      </c>
    </row>
    <row r="47" spans="1:3" x14ac:dyDescent="0.2">
      <c r="B47" s="28" t="s">
        <v>54</v>
      </c>
      <c r="C47" s="18" t="s">
        <v>63</v>
      </c>
    </row>
  </sheetData>
  <mergeCells count="3">
    <mergeCell ref="B2:D2"/>
    <mergeCell ref="E2:G2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B537-BE21-48EF-9454-90509A4B3093}">
  <sheetPr>
    <tabColor rgb="FFFFFF00"/>
  </sheetPr>
  <dimension ref="A1:BN55"/>
  <sheetViews>
    <sheetView workbookViewId="0">
      <selection activeCell="A5" sqref="A5"/>
    </sheetView>
  </sheetViews>
  <sheetFormatPr defaultRowHeight="15" x14ac:dyDescent="0.25"/>
  <cols>
    <col min="1" max="1" width="30.7109375" customWidth="1"/>
    <col min="2" max="2" width="6.5703125" customWidth="1"/>
    <col min="3" max="3" width="6.140625" bestFit="1" customWidth="1"/>
    <col min="4" max="4" width="7.42578125" bestFit="1" customWidth="1"/>
    <col min="5" max="5" width="9.28515625" bestFit="1" customWidth="1"/>
    <col min="6" max="6" width="8.85546875" customWidth="1"/>
    <col min="7" max="7" width="8.5703125" customWidth="1"/>
    <col min="8" max="8" width="8.140625" customWidth="1"/>
    <col min="9" max="9" width="8.28515625" customWidth="1"/>
    <col min="10" max="10" width="8.85546875" customWidth="1"/>
    <col min="11" max="11" width="9.42578125" customWidth="1"/>
    <col min="12" max="14" width="8.140625" customWidth="1"/>
    <col min="15" max="15" width="3.140625" customWidth="1"/>
    <col min="16" max="18" width="8.7109375" customWidth="1"/>
    <col min="19" max="23" width="10.7109375" customWidth="1"/>
    <col min="24" max="24" width="11.42578125" customWidth="1"/>
    <col min="25" max="25" width="9.7109375" customWidth="1"/>
    <col min="26" max="26" width="4" customWidth="1"/>
    <col min="27" max="27" width="50.28515625" hidden="1" customWidth="1"/>
    <col min="28" max="28" width="3.42578125" hidden="1" customWidth="1"/>
    <col min="30" max="30" width="10" bestFit="1" customWidth="1"/>
    <col min="31" max="32" width="10" customWidth="1"/>
    <col min="35" max="35" width="2.7109375" customWidth="1"/>
    <col min="37" max="37" width="10" bestFit="1" customWidth="1"/>
    <col min="38" max="39" width="10" customWidth="1"/>
    <col min="42" max="42" width="3.85546875" customWidth="1"/>
    <col min="44" max="44" width="10" bestFit="1" customWidth="1"/>
    <col min="45" max="46" width="10" customWidth="1"/>
    <col min="49" max="49" width="3" customWidth="1"/>
    <col min="51" max="51" width="10" bestFit="1" customWidth="1"/>
    <col min="52" max="53" width="10" customWidth="1"/>
    <col min="56" max="56" width="3.140625" customWidth="1"/>
    <col min="57" max="57" width="8.7109375" customWidth="1"/>
    <col min="58" max="58" width="10" bestFit="1" customWidth="1"/>
    <col min="63" max="63" width="3.42578125" customWidth="1"/>
    <col min="64" max="64" width="9.140625" customWidth="1"/>
    <col min="65" max="65" width="10" bestFit="1" customWidth="1"/>
    <col min="66" max="66" width="9.5703125" customWidth="1"/>
    <col min="70" max="70" width="4" customWidth="1"/>
    <col min="77" max="77" width="3.42578125" customWidth="1"/>
  </cols>
  <sheetData>
    <row r="1" spans="1:66" ht="39.75" customHeight="1" x14ac:dyDescent="0.25">
      <c r="A1" s="3"/>
      <c r="B1" s="70" t="s">
        <v>77</v>
      </c>
      <c r="C1" s="70"/>
      <c r="D1" s="70"/>
      <c r="E1" s="70" t="s">
        <v>40</v>
      </c>
      <c r="F1" s="70"/>
      <c r="G1" s="70"/>
      <c r="H1" s="70" t="s">
        <v>76</v>
      </c>
      <c r="I1" s="70"/>
      <c r="J1" s="70" t="s">
        <v>28</v>
      </c>
      <c r="K1" s="70"/>
      <c r="L1" s="70" t="s">
        <v>29</v>
      </c>
      <c r="M1" s="70"/>
      <c r="N1" s="70"/>
      <c r="O1" s="3"/>
      <c r="X1" s="6" t="s">
        <v>6</v>
      </c>
      <c r="Y1" s="6" t="s">
        <v>7</v>
      </c>
    </row>
    <row r="2" spans="1:66" ht="36" customHeight="1" x14ac:dyDescent="0.25">
      <c r="A2" s="7"/>
      <c r="B2" s="8" t="s">
        <v>0</v>
      </c>
      <c r="C2" s="8" t="s">
        <v>1</v>
      </c>
      <c r="D2" s="8" t="s">
        <v>2</v>
      </c>
      <c r="E2" s="8" t="s">
        <v>0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26</v>
      </c>
      <c r="K2" s="8" t="s">
        <v>27</v>
      </c>
      <c r="L2" s="8" t="s">
        <v>8</v>
      </c>
      <c r="M2" s="8" t="s">
        <v>9</v>
      </c>
      <c r="N2" s="8" t="s">
        <v>10</v>
      </c>
      <c r="P2" s="25" t="s">
        <v>3</v>
      </c>
      <c r="Q2" s="25" t="s">
        <v>4</v>
      </c>
      <c r="R2" s="25" t="s">
        <v>5</v>
      </c>
      <c r="S2" s="9" t="s">
        <v>8</v>
      </c>
      <c r="T2" s="9" t="s">
        <v>11</v>
      </c>
      <c r="U2" s="9" t="s">
        <v>12</v>
      </c>
      <c r="V2" s="9" t="s">
        <v>13</v>
      </c>
      <c r="W2" s="9" t="s">
        <v>14</v>
      </c>
      <c r="X2" s="9" t="s">
        <v>15</v>
      </c>
      <c r="Y2" s="9" t="s">
        <v>16</v>
      </c>
      <c r="AC2" s="68" t="str">
        <f>+A4</f>
        <v>Based on dataset used</v>
      </c>
      <c r="AD2" s="68"/>
      <c r="AE2" s="68"/>
      <c r="AF2" s="68"/>
      <c r="AG2" s="68"/>
      <c r="AH2" s="68"/>
      <c r="AJ2" s="68">
        <f>+A5</f>
        <v>0</v>
      </c>
      <c r="AK2" s="68"/>
      <c r="AL2" s="68"/>
      <c r="AM2" s="68"/>
      <c r="AN2" s="68"/>
      <c r="AO2" s="68"/>
      <c r="AQ2" s="68">
        <f>+A6</f>
        <v>0</v>
      </c>
      <c r="AR2" s="68"/>
      <c r="AS2" s="68"/>
      <c r="AT2" s="68"/>
      <c r="AU2" s="68"/>
      <c r="AV2" s="68"/>
      <c r="AX2" s="68">
        <f>+A7</f>
        <v>0</v>
      </c>
      <c r="AY2" s="68"/>
      <c r="AZ2" s="68"/>
      <c r="BA2" s="68"/>
      <c r="BB2" s="68"/>
      <c r="BC2" s="68"/>
    </row>
    <row r="3" spans="1:66" x14ac:dyDescent="0.25">
      <c r="A3" s="10" t="s">
        <v>75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P3" s="22"/>
      <c r="Q3" s="22"/>
      <c r="R3" s="22"/>
      <c r="BN3" s="2"/>
    </row>
    <row r="4" spans="1:66" x14ac:dyDescent="0.25">
      <c r="A4" s="7" t="str">
        <f>+'Table 2-1 - inputs'!A4</f>
        <v>Based on dataset used</v>
      </c>
      <c r="B4" s="51">
        <f>+'Table 2-1 - inputs'!B4</f>
        <v>0.246</v>
      </c>
      <c r="C4" s="51">
        <f>+'Table 2-1 - inputs'!C4</f>
        <v>0.17599999999999999</v>
      </c>
      <c r="D4" s="51">
        <f>+'Table 2-1 - inputs'!D4</f>
        <v>0.315</v>
      </c>
      <c r="E4" s="12">
        <f>+'Table 2-1 - inputs'!E4</f>
        <v>186264</v>
      </c>
      <c r="F4" s="12">
        <f>+'Table 2-1 - inputs'!F4</f>
        <v>197000</v>
      </c>
      <c r="G4" s="12">
        <f>+'Table 2-1 - inputs'!G4</f>
        <v>177333</v>
      </c>
      <c r="H4" s="51">
        <f>+'Table 2-1 - inputs'!H4</f>
        <v>0.17799999999999999</v>
      </c>
      <c r="I4" s="51">
        <f>+'Table 2-1 - inputs'!I4</f>
        <v>0.246</v>
      </c>
      <c r="J4" s="12">
        <f>+AH5</f>
        <v>196669.83711515259</v>
      </c>
      <c r="K4" s="12">
        <f>+AH6</f>
        <v>186264</v>
      </c>
      <c r="L4" s="13">
        <f>+S4</f>
        <v>2.7933033530775118E-2</v>
      </c>
      <c r="M4" s="15" t="str">
        <f t="shared" ref="M4:N4" si="0">+IF(X4,"YES","NO")</f>
        <v>NO</v>
      </c>
      <c r="N4" s="15" t="str">
        <f t="shared" si="0"/>
        <v>NO</v>
      </c>
      <c r="O4" s="7"/>
      <c r="P4" s="46">
        <f>+MIN(E4,J4,K4)</f>
        <v>186264</v>
      </c>
      <c r="Q4" s="46">
        <f>+MEDIAN(E4,J4,K4)</f>
        <v>186264</v>
      </c>
      <c r="R4" s="46">
        <f>+MAX(E4,J4,K4)</f>
        <v>196669.83711515259</v>
      </c>
      <c r="S4" s="47">
        <f>+AVERAGE((Q4-P4)/Q4,(R4-Q4)/Q4)</f>
        <v>2.7933033530775118E-2</v>
      </c>
      <c r="T4" s="7" t="b">
        <f>+AND(E4&lt;=Benchmark1,J4&lt;=Benchmark1,K4&lt;=Benchmark1)</f>
        <v>0</v>
      </c>
      <c r="U4" s="47" t="b">
        <f>+AND(E4&gt;Benchmark1,J4&gt;Benchmark1,K4&gt;Benchmark1)</f>
        <v>1</v>
      </c>
      <c r="V4" s="7" t="b">
        <f>+AND(E4&lt;=Benchmark2,J4&lt;=Benchmark2,K4&lt;=Benchmark2)</f>
        <v>0</v>
      </c>
      <c r="W4" s="47" t="b">
        <f>+AND(E4&gt;Benchmark2,J4&gt;Benchmark2,K4&gt;Benchmark2)</f>
        <v>1</v>
      </c>
      <c r="X4" s="12" t="b">
        <f>+AND(NOT(T4),NOT(U4))</f>
        <v>0</v>
      </c>
      <c r="Y4" s="12" t="b">
        <f>+AND(NOT(V4),NOT(W4))</f>
        <v>0</v>
      </c>
      <c r="AA4" s="12" t="s">
        <v>30</v>
      </c>
      <c r="AC4" s="20">
        <f>+B4</f>
        <v>0.246</v>
      </c>
      <c r="AD4" s="21">
        <f>+E4</f>
        <v>186264</v>
      </c>
      <c r="AE4" s="21"/>
      <c r="AF4" s="21" t="s">
        <v>21</v>
      </c>
      <c r="AG4" s="24">
        <f>-AD7/(2*AC7)</f>
        <v>0.65631361253827281</v>
      </c>
      <c r="AH4" s="24"/>
      <c r="AJ4" s="20">
        <f>+B5</f>
        <v>0</v>
      </c>
      <c r="AK4" s="21">
        <f>+E5</f>
        <v>0</v>
      </c>
      <c r="AL4" s="21"/>
      <c r="AM4" s="21" t="s">
        <v>21</v>
      </c>
      <c r="AN4" s="24" t="e">
        <f>-AK7/(2*AJ7)</f>
        <v>#DIV/0!</v>
      </c>
      <c r="AO4" s="24"/>
      <c r="AQ4" s="20">
        <f>+B6</f>
        <v>0</v>
      </c>
      <c r="AR4" s="21">
        <f>+E6</f>
        <v>0</v>
      </c>
      <c r="AS4" s="21"/>
      <c r="AT4" s="21" t="s">
        <v>21</v>
      </c>
      <c r="AU4" s="24" t="e">
        <f>-AR7/(2*AQ7)</f>
        <v>#DIV/0!</v>
      </c>
      <c r="AV4" s="24"/>
      <c r="AX4" s="20">
        <f>+B7</f>
        <v>0</v>
      </c>
      <c r="AY4" s="21">
        <f>+E7</f>
        <v>0</v>
      </c>
      <c r="AZ4" s="21"/>
      <c r="BA4" s="21" t="s">
        <v>21</v>
      </c>
      <c r="BB4" s="24" t="e">
        <f>-AY7/(2*AX7)</f>
        <v>#DIV/0!</v>
      </c>
      <c r="BC4" s="24"/>
      <c r="BN4" s="2"/>
    </row>
    <row r="5" spans="1:66" x14ac:dyDescent="0.25">
      <c r="A5" s="7"/>
      <c r="B5" s="11"/>
      <c r="C5" s="11"/>
      <c r="D5" s="11"/>
      <c r="E5" s="12"/>
      <c r="F5" s="12"/>
      <c r="G5" s="12"/>
      <c r="H5" s="11"/>
      <c r="I5" s="11"/>
      <c r="J5" s="12"/>
      <c r="K5" s="12"/>
      <c r="L5" s="13"/>
      <c r="M5" s="15"/>
      <c r="N5" s="15"/>
      <c r="O5" s="7"/>
      <c r="P5" s="46"/>
      <c r="Q5" s="46"/>
      <c r="R5" s="46"/>
      <c r="S5" s="47"/>
      <c r="T5" s="7"/>
      <c r="U5" s="47"/>
      <c r="V5" s="7"/>
      <c r="W5" s="47"/>
      <c r="X5" s="12"/>
      <c r="Y5" s="12"/>
      <c r="AA5" s="12" t="s">
        <v>31</v>
      </c>
      <c r="AC5" s="20">
        <f>+C4</f>
        <v>0.17599999999999999</v>
      </c>
      <c r="AD5" s="21">
        <f>+F4</f>
        <v>197000</v>
      </c>
      <c r="AE5" s="21"/>
      <c r="AF5" s="21" t="s">
        <v>22</v>
      </c>
      <c r="AG5" s="24">
        <f>+H4</f>
        <v>0.17799999999999999</v>
      </c>
      <c r="AH5" s="21">
        <f>+AC9*AG5^2+AD9*AG5+AE9</f>
        <v>196669.83711515259</v>
      </c>
      <c r="AJ5" s="20">
        <f>+C5</f>
        <v>0</v>
      </c>
      <c r="AK5" s="21">
        <f>+F5</f>
        <v>0</v>
      </c>
      <c r="AL5" s="21"/>
      <c r="AM5" s="21" t="s">
        <v>22</v>
      </c>
      <c r="AN5" s="24">
        <f>+H5</f>
        <v>0</v>
      </c>
      <c r="AO5" s="21" t="e">
        <f>+AJ9*AN5^2+AK9*AN5+AL9</f>
        <v>#DIV/0!</v>
      </c>
      <c r="AQ5" s="20">
        <f>+C6</f>
        <v>0</v>
      </c>
      <c r="AR5" s="21">
        <f>+F6</f>
        <v>0</v>
      </c>
      <c r="AS5" s="21"/>
      <c r="AT5" s="21" t="s">
        <v>22</v>
      </c>
      <c r="AU5" s="24">
        <f>+H6</f>
        <v>0</v>
      </c>
      <c r="AV5" s="21" t="e">
        <f>+AQ9*AU5^2+AR9*AU5+AS9</f>
        <v>#DIV/0!</v>
      </c>
      <c r="AX5" s="20">
        <f>+C7</f>
        <v>0</v>
      </c>
      <c r="AY5" s="21">
        <f>+F7</f>
        <v>0</v>
      </c>
      <c r="AZ5" s="21"/>
      <c r="BA5" s="21" t="s">
        <v>22</v>
      </c>
      <c r="BB5" s="24">
        <f>+H7</f>
        <v>0</v>
      </c>
      <c r="BC5" s="21" t="e">
        <f>+AX9*BB5^2+AY9*BB5+AZ9</f>
        <v>#DIV/0!</v>
      </c>
      <c r="BN5" s="2"/>
    </row>
    <row r="6" spans="1:66" x14ac:dyDescent="0.25">
      <c r="A6" s="7"/>
      <c r="B6" s="11"/>
      <c r="C6" s="11"/>
      <c r="D6" s="11"/>
      <c r="E6" s="12"/>
      <c r="F6" s="12"/>
      <c r="G6" s="12"/>
      <c r="H6" s="11"/>
      <c r="I6" s="11"/>
      <c r="J6" s="12"/>
      <c r="K6" s="12"/>
      <c r="L6" s="13"/>
      <c r="M6" s="15"/>
      <c r="N6" s="15"/>
      <c r="O6" s="7"/>
      <c r="P6" s="46"/>
      <c r="Q6" s="46"/>
      <c r="R6" s="46"/>
      <c r="S6" s="47"/>
      <c r="T6" s="7"/>
      <c r="U6" s="47"/>
      <c r="V6" s="7"/>
      <c r="W6" s="47"/>
      <c r="X6" s="12"/>
      <c r="Y6" s="12"/>
      <c r="AA6" s="12" t="s">
        <v>32</v>
      </c>
      <c r="AC6" s="20">
        <f>+D4</f>
        <v>0.315</v>
      </c>
      <c r="AD6" s="21">
        <f>+G4</f>
        <v>177333</v>
      </c>
      <c r="AE6" s="21"/>
      <c r="AF6" s="21" t="s">
        <v>23</v>
      </c>
      <c r="AG6" s="24">
        <f>+I4</f>
        <v>0.246</v>
      </c>
      <c r="AH6" s="21">
        <f>+AC9*AG6^2+AD9*AG6+AE9</f>
        <v>186264</v>
      </c>
      <c r="AJ6" s="20">
        <f>+D5</f>
        <v>0</v>
      </c>
      <c r="AK6" s="21">
        <f>+G5</f>
        <v>0</v>
      </c>
      <c r="AL6" s="21"/>
      <c r="AM6" s="21" t="s">
        <v>23</v>
      </c>
      <c r="AN6" s="24">
        <f>+I5</f>
        <v>0</v>
      </c>
      <c r="AO6" s="21" t="e">
        <f>+AJ9*AN6^2+AK9*AN6+AL9</f>
        <v>#DIV/0!</v>
      </c>
      <c r="AQ6" s="20">
        <f>+D6</f>
        <v>0</v>
      </c>
      <c r="AR6" s="21">
        <f>+G6</f>
        <v>0</v>
      </c>
      <c r="AS6" s="21"/>
      <c r="AT6" s="21" t="s">
        <v>23</v>
      </c>
      <c r="AU6" s="24">
        <f>+I6</f>
        <v>0</v>
      </c>
      <c r="AV6" s="21" t="e">
        <f>+AQ9*AU6^2+AR9*AU6+AS9</f>
        <v>#DIV/0!</v>
      </c>
      <c r="AX6" s="20">
        <f>+D7</f>
        <v>0</v>
      </c>
      <c r="AY6" s="21">
        <f>+G7</f>
        <v>0</v>
      </c>
      <c r="AZ6" s="21"/>
      <c r="BA6" s="21" t="s">
        <v>23</v>
      </c>
      <c r="BB6" s="24">
        <f>+I7</f>
        <v>0</v>
      </c>
      <c r="BC6" s="21" t="e">
        <f>+AX9*BB6^2+AY9*BB6+AZ9</f>
        <v>#DIV/0!</v>
      </c>
      <c r="BN6" s="2"/>
    </row>
    <row r="7" spans="1:66" x14ac:dyDescent="0.25">
      <c r="A7" s="7"/>
      <c r="B7" s="11"/>
      <c r="C7" s="11"/>
      <c r="D7" s="11"/>
      <c r="E7" s="12"/>
      <c r="F7" s="12"/>
      <c r="G7" s="12"/>
      <c r="H7" s="11"/>
      <c r="I7" s="11"/>
      <c r="J7" s="12"/>
      <c r="K7" s="12"/>
      <c r="L7" s="13"/>
      <c r="M7" s="15"/>
      <c r="N7" s="15"/>
      <c r="O7" s="7"/>
      <c r="P7" s="46"/>
      <c r="Q7" s="46"/>
      <c r="R7" s="46"/>
      <c r="S7" s="47"/>
      <c r="T7" s="7"/>
      <c r="U7" s="47"/>
      <c r="V7" s="7"/>
      <c r="W7" s="47"/>
      <c r="X7" s="12"/>
      <c r="Y7" s="12"/>
      <c r="AA7" s="12" t="s">
        <v>33</v>
      </c>
      <c r="AC7" s="23" cm="1">
        <f t="array" ref="AC7:AE7">+LINEST(AD4:AD6,AC4:AC6^{1,2})</f>
        <v>172206.08606282723</v>
      </c>
      <c r="AD7" s="23">
        <v>-226042.39688994171</v>
      </c>
      <c r="AE7" s="23">
        <v>231449.2061307476</v>
      </c>
      <c r="AG7" s="22">
        <f>+OR(AG4=MIN(AG4:AG6,AC4:AC6),AG4=MAX(AG4:AG6,AC4:AC6))*1</f>
        <v>1</v>
      </c>
      <c r="AI7" s="5"/>
      <c r="AJ7" s="23" cm="1">
        <f t="array" ref="AJ7:AL7">+LINEST(AK4:AK6,AJ4:AJ6^{1,2})</f>
        <v>0</v>
      </c>
      <c r="AK7" s="23">
        <v>0</v>
      </c>
      <c r="AL7" s="23">
        <v>0</v>
      </c>
      <c r="AM7" s="23"/>
      <c r="AN7" s="22" t="e">
        <f>+OR(AN4=MIN(AN4:AN6,AJ4:AJ6),AN4=MAX(AN4:AN6,AJ4:AJ6))*1</f>
        <v>#DIV/0!</v>
      </c>
      <c r="AQ7" s="23" cm="1">
        <f t="array" ref="AQ7:AS7">+LINEST(AR4:AR6,AQ4:AQ6^{1,2})</f>
        <v>0</v>
      </c>
      <c r="AR7" s="23">
        <v>0</v>
      </c>
      <c r="AS7" s="23">
        <v>0</v>
      </c>
      <c r="AT7" s="23"/>
      <c r="AU7" s="22" t="e">
        <f>+OR(AU4=MIN(AU4:AU6,AQ4:AQ6),AU4=MAX(AU4:AU6,AQ4:AQ6))*1</f>
        <v>#DIV/0!</v>
      </c>
      <c r="AX7" s="23" cm="1">
        <f t="array" ref="AX7:AZ7">+LINEST(AY4:AY6,AX4:AX6^{1,2})</f>
        <v>0</v>
      </c>
      <c r="AY7" s="23">
        <v>0</v>
      </c>
      <c r="AZ7" s="23">
        <v>0</v>
      </c>
      <c r="BA7" s="23"/>
      <c r="BB7" s="22" t="e">
        <f>+OR(BB4=MIN(BB4:BB6,AX4:AX6),BB4=MAX(BB4:BB6,AX4:AX6))*1</f>
        <v>#DIV/0!</v>
      </c>
      <c r="BN7" s="2"/>
    </row>
    <row r="8" spans="1:66" x14ac:dyDescent="0.25">
      <c r="A8" s="7"/>
      <c r="B8" s="11"/>
      <c r="C8" s="11"/>
      <c r="D8" s="15"/>
      <c r="E8" s="7"/>
      <c r="F8" s="7"/>
      <c r="G8" s="7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12"/>
      <c r="AD8" s="23" cm="1">
        <f t="array" ref="AD8:AE8">+LINEST(AD4:AD6,AC4:AC6^{1})</f>
        <v>-141517.9076668277</v>
      </c>
      <c r="AE8" s="23">
        <v>221631.89931681732</v>
      </c>
      <c r="AG8" s="22">
        <f>+NOT(AG7)*1</f>
        <v>0</v>
      </c>
      <c r="AK8" s="23" cm="1">
        <f t="array" ref="AK8:AL8">+LINEST(AK4:AK6,AJ4:AJ6^{1})</f>
        <v>0</v>
      </c>
      <c r="AL8" s="23">
        <v>0</v>
      </c>
      <c r="AM8" s="23"/>
      <c r="AN8" s="22" t="e">
        <f>+NOT(AN7)*1</f>
        <v>#DIV/0!</v>
      </c>
      <c r="AR8" s="23" cm="1">
        <f t="array" ref="AR8:AS8">+LINEST(AR4:AR6,AQ4:AQ6^{1})</f>
        <v>0</v>
      </c>
      <c r="AS8" s="23">
        <v>0</v>
      </c>
      <c r="AT8" s="23"/>
      <c r="AU8" s="22" t="e">
        <f>+NOT(AU7)*1</f>
        <v>#DIV/0!</v>
      </c>
      <c r="AY8" s="23" cm="1">
        <f t="array" ref="AY8:AZ8">+LINEST(AY4:AY6,AX4:AX6^{1})</f>
        <v>0</v>
      </c>
      <c r="AZ8" s="23">
        <v>0</v>
      </c>
      <c r="BA8" s="23"/>
      <c r="BB8" s="22" t="e">
        <f>+NOT(BB7)*1</f>
        <v>#DIV/0!</v>
      </c>
      <c r="BN8" s="2"/>
    </row>
    <row r="9" spans="1:66" x14ac:dyDescent="0.25">
      <c r="A9" s="7"/>
      <c r="B9" s="11"/>
      <c r="C9" s="11"/>
      <c r="D9" s="15"/>
      <c r="E9" s="7"/>
      <c r="F9" s="7"/>
      <c r="G9" s="7"/>
      <c r="H9" s="11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AA9" s="12"/>
      <c r="AC9" s="23">
        <f>+SUMPRODUCT(AC7:AC8,AG7:AG8)</f>
        <v>172206.08606282723</v>
      </c>
      <c r="AD9" s="23">
        <f>+SUMPRODUCT(AD7:AD8,AG7:AG8)</f>
        <v>-226042.39688994171</v>
      </c>
      <c r="AE9" s="23">
        <f>+SUMPRODUCT(AE7:AE8,AG7:AG8)</f>
        <v>231449.2061307476</v>
      </c>
      <c r="AJ9" s="23" t="e">
        <f>+SUMPRODUCT(AJ7:AJ8,AN7:AN8)</f>
        <v>#DIV/0!</v>
      </c>
      <c r="AK9" s="23" t="e">
        <f>+SUMPRODUCT(AK7:AK8,AN7:AN8)</f>
        <v>#DIV/0!</v>
      </c>
      <c r="AL9" s="23" t="e">
        <f>+SUMPRODUCT(AL7:AL8,AN7:AN8)</f>
        <v>#DIV/0!</v>
      </c>
      <c r="AQ9" s="23" t="e">
        <f>+SUMPRODUCT(AQ7:AQ8,AU7:AU8)</f>
        <v>#DIV/0!</v>
      </c>
      <c r="AR9" s="23" t="e">
        <f>+SUMPRODUCT(AR7:AR8,AU7:AU8)</f>
        <v>#DIV/0!</v>
      </c>
      <c r="AS9" s="23" t="e">
        <f>+SUMPRODUCT(AS7:AS8,AU7:AU8)</f>
        <v>#DIV/0!</v>
      </c>
      <c r="AV9" s="4"/>
      <c r="AX9" s="23" t="e">
        <f>+SUMPRODUCT(AX7:AX8,BB7:BB8)</f>
        <v>#DIV/0!</v>
      </c>
      <c r="AY9" s="23" t="e">
        <f>+SUMPRODUCT(AY7:AY8,BB7:BB8)</f>
        <v>#DIV/0!</v>
      </c>
      <c r="AZ9" s="23" t="e">
        <f>+SUMPRODUCT(AZ7:AZ8,BB7:BB8)</f>
        <v>#DIV/0!</v>
      </c>
      <c r="BN9" s="2"/>
    </row>
    <row r="10" spans="1:66" x14ac:dyDescent="0.25">
      <c r="A10" s="7"/>
      <c r="B10" s="11"/>
      <c r="C10" s="11"/>
      <c r="D10" s="15"/>
      <c r="E10" s="7"/>
      <c r="F10" s="7"/>
      <c r="G10" s="7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A10" s="12"/>
      <c r="AC10" s="23"/>
      <c r="AD10" s="23"/>
      <c r="AE10" s="23"/>
      <c r="AJ10" s="23"/>
      <c r="AK10" s="23"/>
      <c r="AL10" s="23"/>
      <c r="AQ10" s="23"/>
      <c r="AR10" s="23"/>
      <c r="AS10" s="23"/>
      <c r="AV10" s="4"/>
      <c r="AX10" s="23"/>
      <c r="AY10" s="23"/>
      <c r="AZ10" s="23"/>
      <c r="BN10" s="2"/>
    </row>
    <row r="11" spans="1:66" x14ac:dyDescent="0.25">
      <c r="AA11" s="12"/>
    </row>
    <row r="12" spans="1:66" x14ac:dyDescent="0.25">
      <c r="E12" s="1"/>
      <c r="F12" s="1"/>
      <c r="G12" s="1"/>
      <c r="X12" s="1"/>
      <c r="Y12" s="1"/>
      <c r="AA12" s="12"/>
    </row>
    <row r="13" spans="1:66" x14ac:dyDescent="0.25">
      <c r="AA13" s="12"/>
    </row>
    <row r="14" spans="1:66" x14ac:dyDescent="0.25">
      <c r="AA14" s="12"/>
    </row>
    <row r="15" spans="1:66" x14ac:dyDescent="0.25">
      <c r="AA15" s="12"/>
    </row>
    <row r="16" spans="1:66" x14ac:dyDescent="0.25">
      <c r="AA16" s="12"/>
    </row>
    <row r="17" spans="2:27" x14ac:dyDescent="0.25">
      <c r="AA17" s="12"/>
    </row>
    <row r="18" spans="2:27" x14ac:dyDescent="0.25">
      <c r="AA18" s="12"/>
    </row>
    <row r="19" spans="2:27" x14ac:dyDescent="0.25">
      <c r="B19" s="16"/>
      <c r="C19" s="16"/>
      <c r="E19" s="16"/>
      <c r="F19" s="16"/>
      <c r="AA19" s="12"/>
    </row>
    <row r="20" spans="2:27" x14ac:dyDescent="0.25">
      <c r="B20" s="17"/>
      <c r="C20" s="17"/>
      <c r="AA20" s="12"/>
    </row>
    <row r="21" spans="2:27" x14ac:dyDescent="0.25">
      <c r="AA21" s="12"/>
    </row>
    <row r="22" spans="2:27" x14ac:dyDescent="0.25">
      <c r="AA22" s="12"/>
    </row>
    <row r="23" spans="2:27" x14ac:dyDescent="0.25">
      <c r="AA23" s="12"/>
    </row>
    <row r="24" spans="2:27" x14ac:dyDescent="0.25">
      <c r="B24" s="16"/>
      <c r="C24" s="16"/>
      <c r="E24" s="16"/>
      <c r="F24" s="16"/>
      <c r="AA24" s="12"/>
    </row>
    <row r="28" spans="2:27" x14ac:dyDescent="0.25">
      <c r="B28" s="16"/>
      <c r="C28" s="16"/>
      <c r="F28" s="16"/>
      <c r="G28" s="16"/>
    </row>
    <row r="50" spans="1:9" x14ac:dyDescent="0.25">
      <c r="A50" s="3"/>
    </row>
    <row r="51" spans="1:9" x14ac:dyDescent="0.25">
      <c r="B51" s="16"/>
      <c r="C51" s="16"/>
      <c r="D51" s="2"/>
      <c r="E51" s="2"/>
      <c r="F51" s="16"/>
      <c r="G51" s="16"/>
      <c r="H51" s="14"/>
      <c r="I51" s="14"/>
    </row>
    <row r="54" spans="1:9" x14ac:dyDescent="0.25">
      <c r="A54" s="3"/>
    </row>
    <row r="55" spans="1:9" x14ac:dyDescent="0.25">
      <c r="B55" s="16"/>
      <c r="C55" s="16"/>
      <c r="D55" s="2"/>
      <c r="E55" s="2"/>
      <c r="F55" s="16"/>
      <c r="G55" s="16"/>
      <c r="H55" s="14"/>
      <c r="I55" s="14"/>
    </row>
  </sheetData>
  <mergeCells count="9">
    <mergeCell ref="B1:D1"/>
    <mergeCell ref="E1:G1"/>
    <mergeCell ref="H1:I1"/>
    <mergeCell ref="J1:K1"/>
    <mergeCell ref="L1:N1"/>
    <mergeCell ref="AC2:AH2"/>
    <mergeCell ref="AJ2:AO2"/>
    <mergeCell ref="AQ2:AV2"/>
    <mergeCell ref="AX2:BC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50B2-7292-485A-897C-9331646BDD1F}">
  <sheetPr>
    <tabColor rgb="FF92D050"/>
  </sheetPr>
  <dimension ref="A1:U12"/>
  <sheetViews>
    <sheetView workbookViewId="0">
      <selection activeCell="D29" sqref="D29"/>
    </sheetView>
  </sheetViews>
  <sheetFormatPr defaultRowHeight="15" x14ac:dyDescent="0.25"/>
  <cols>
    <col min="1" max="1" width="31.140625" customWidth="1"/>
    <col min="2" max="2" width="6.28515625" customWidth="1"/>
    <col min="3" max="3" width="7" customWidth="1"/>
    <col min="4" max="4" width="6.5703125" customWidth="1"/>
    <col min="5" max="5" width="7.7109375" customWidth="1"/>
    <col min="6" max="6" width="8.5703125" customWidth="1"/>
    <col min="7" max="7" width="8.42578125" customWidth="1"/>
    <col min="8" max="8" width="6.85546875" customWidth="1"/>
    <col min="9" max="9" width="7" customWidth="1"/>
  </cols>
  <sheetData>
    <row r="1" spans="1:21" ht="39.75" customHeight="1" x14ac:dyDescent="0.25">
      <c r="A1" s="35"/>
      <c r="B1" s="76" t="str">
        <f>+'Table 2-1'!B1</f>
        <v>ICER assumptions for LDL-C reduction (i)</v>
      </c>
      <c r="C1" s="76"/>
      <c r="D1" s="76"/>
      <c r="E1" s="76" t="str">
        <f>+'Table 2-1'!E1</f>
        <v>CE ratios from ICER ($000/QALY) (ii)</v>
      </c>
      <c r="F1" s="76"/>
      <c r="G1" s="76"/>
      <c r="H1" s="76" t="str">
        <f>+'Table 2-1'!H1</f>
        <v>Expert group assumptions for LDL-C reduction (iii)</v>
      </c>
      <c r="I1" s="76"/>
      <c r="J1" s="76" t="str">
        <f>+'Table 2-1'!J1</f>
        <v>Expert group imputed CE ratios (iv)</v>
      </c>
      <c r="K1" s="76"/>
      <c r="L1" s="42" t="str">
        <f>+'Table 2-1'!L1</f>
        <v>Influence measures (v)</v>
      </c>
      <c r="M1" s="74" t="s">
        <v>117</v>
      </c>
      <c r="N1" s="75"/>
      <c r="O1" s="3"/>
    </row>
    <row r="2" spans="1:21" ht="36" customHeight="1" x14ac:dyDescent="0.25">
      <c r="A2" s="36"/>
      <c r="B2" s="37" t="str">
        <f>+'Table 2-1'!B2</f>
        <v>Base case</v>
      </c>
      <c r="C2" s="37" t="str">
        <f>+'Table 2-1'!C2</f>
        <v>Lower bound</v>
      </c>
      <c r="D2" s="37" t="str">
        <f>+'Table 2-1'!D2</f>
        <v>Upper bound</v>
      </c>
      <c r="E2" s="37" t="str">
        <f>+'Table 2-1'!E2</f>
        <v>Base case</v>
      </c>
      <c r="F2" s="37" t="str">
        <f>+'Table 2-1'!F2</f>
        <v>Lower bound assumption</v>
      </c>
      <c r="G2" s="37" t="str">
        <f>+'Table 2-1'!G2</f>
        <v>Upper bound assumption</v>
      </c>
      <c r="H2" s="37" t="str">
        <f>+'Table 2-1'!H2</f>
        <v>Expert Group 1</v>
      </c>
      <c r="I2" s="37" t="str">
        <f>+'Table 2-1'!I2</f>
        <v>Expert Group 2</v>
      </c>
      <c r="J2" s="37" t="str">
        <f>+'Table 2-1'!J2</f>
        <v>Expert Group 1</v>
      </c>
      <c r="K2" s="37" t="str">
        <f>+'Table 2-1'!K2</f>
        <v>Expert Group 2</v>
      </c>
      <c r="L2" s="37" t="str">
        <f>+'Table 2-1'!L2</f>
        <v>Avg pct deviation</v>
      </c>
      <c r="M2" s="37" t="str">
        <f>+'Table 2-1'!M2</f>
        <v>Cross $100K benchmark</v>
      </c>
      <c r="N2" s="37" t="str">
        <f>+'Table 2-1'!N2</f>
        <v>Cross $150K benchmark</v>
      </c>
    </row>
    <row r="3" spans="1:21" x14ac:dyDescent="0.25">
      <c r="A3" s="71" t="str">
        <f>+'Table 2-1'!A3</f>
        <v>Bempedoic acid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  <c r="U3" s="2"/>
    </row>
    <row r="4" spans="1:21" x14ac:dyDescent="0.25">
      <c r="A4" s="36" t="str">
        <f>+'Table 2-1'!A4</f>
        <v>Based on dataset used</v>
      </c>
      <c r="B4" s="65">
        <f>+'Table 2-1'!B4</f>
        <v>0.246</v>
      </c>
      <c r="C4" s="65">
        <f>+'Table 2-1'!C4</f>
        <v>0.17599999999999999</v>
      </c>
      <c r="D4" s="65">
        <f>+'Table 2-1'!D4</f>
        <v>0.315</v>
      </c>
      <c r="E4" s="64">
        <f>+ROUND('Table 2-1'!E4/CE_Scale,RoundPlace)</f>
        <v>186.26</v>
      </c>
      <c r="F4" s="64">
        <f>+ROUND('Table 2-1'!F4/CE_Scale,RoundPlace)</f>
        <v>197</v>
      </c>
      <c r="G4" s="64">
        <f>+ROUND('Table 2-1'!G4/CE_Scale,RoundPlace)</f>
        <v>177.33</v>
      </c>
      <c r="H4" s="65">
        <f>+'Table 2-1'!H4</f>
        <v>0.17799999999999999</v>
      </c>
      <c r="I4" s="65">
        <f>+'Table 2-1'!I4</f>
        <v>0.246</v>
      </c>
      <c r="J4" s="64">
        <f>+ROUND('Table 2-1'!J4/CE_Scale,RoundPlace)</f>
        <v>196.67</v>
      </c>
      <c r="K4" s="64">
        <f>+ROUND('Table 2-1'!K4/CE_Scale,RoundPlace)</f>
        <v>186.26</v>
      </c>
      <c r="L4" s="40">
        <f>+'Table 2-1'!L4</f>
        <v>2.7933033530775118E-2</v>
      </c>
      <c r="M4" s="41" t="str">
        <f>+'Table 2-1'!M4</f>
        <v>NO</v>
      </c>
      <c r="N4" s="41" t="str">
        <f>+'Table 2-1'!N4</f>
        <v>NO</v>
      </c>
      <c r="U4" s="2"/>
    </row>
    <row r="5" spans="1:21" hidden="1" x14ac:dyDescent="0.25">
      <c r="A5" s="36">
        <f>+'Table 2-1'!A5</f>
        <v>0</v>
      </c>
      <c r="B5" s="38">
        <f>+'Table 2-1'!B5</f>
        <v>0</v>
      </c>
      <c r="C5" s="38">
        <f>+'Table 2-1'!C5</f>
        <v>0</v>
      </c>
      <c r="D5" s="38">
        <f>+'Table 2-1'!D5</f>
        <v>0</v>
      </c>
      <c r="E5" s="39">
        <f>+ROUND('Table 2-1'!E5/CE_Scale,RoundPlace)</f>
        <v>0</v>
      </c>
      <c r="F5" s="39">
        <f>+ROUND('Table 2-1'!F5/CE_Scale,RoundPlace)</f>
        <v>0</v>
      </c>
      <c r="G5" s="39">
        <f>+ROUND('Table 2-1'!G5/CE_Scale,RoundPlace)</f>
        <v>0</v>
      </c>
      <c r="H5" s="38">
        <f>+'Table 2-1'!H5</f>
        <v>0</v>
      </c>
      <c r="I5" s="38">
        <f>+'Table 2-1'!I5</f>
        <v>0</v>
      </c>
      <c r="J5" s="39">
        <f>+ROUND('Table 2-1'!J5/CE_Scale,RoundPlace)</f>
        <v>0</v>
      </c>
      <c r="K5" s="39">
        <f>+ROUND('Table 2-1'!K5/CE_Scale,RoundPlace)</f>
        <v>0</v>
      </c>
      <c r="L5" s="40">
        <f>+'Table 2-1'!L5</f>
        <v>0</v>
      </c>
      <c r="M5" s="41">
        <f>+'Table 2-1'!M5</f>
        <v>0</v>
      </c>
      <c r="N5" s="41">
        <f>+'Table 2-1'!N5</f>
        <v>0</v>
      </c>
      <c r="U5" s="2"/>
    </row>
    <row r="6" spans="1:21" hidden="1" x14ac:dyDescent="0.25">
      <c r="A6" s="36">
        <f>+'Table 2-1'!A6</f>
        <v>0</v>
      </c>
      <c r="B6" s="38">
        <f>+'Table 2-1'!B6</f>
        <v>0</v>
      </c>
      <c r="C6" s="38">
        <f>+'Table 2-1'!C6</f>
        <v>0</v>
      </c>
      <c r="D6" s="38">
        <f>+'Table 2-1'!D6</f>
        <v>0</v>
      </c>
      <c r="E6" s="39">
        <f>+ROUND('Table 2-1'!E6/CE_Scale,RoundPlace)</f>
        <v>0</v>
      </c>
      <c r="F6" s="39">
        <f>+ROUND('Table 2-1'!F6/CE_Scale,RoundPlace)</f>
        <v>0</v>
      </c>
      <c r="G6" s="39">
        <f>+ROUND('Table 2-1'!G6/CE_Scale,RoundPlace)</f>
        <v>0</v>
      </c>
      <c r="H6" s="38">
        <f>+'Table 2-1'!H6</f>
        <v>0</v>
      </c>
      <c r="I6" s="38">
        <f>+'Table 2-1'!I6</f>
        <v>0</v>
      </c>
      <c r="J6" s="39">
        <f>+ROUND('Table 2-1'!J6/CE_Scale,RoundPlace)</f>
        <v>0</v>
      </c>
      <c r="K6" s="39">
        <f>+ROUND('Table 2-1'!K6/CE_Scale,RoundPlace)</f>
        <v>0</v>
      </c>
      <c r="L6" s="40">
        <f>+'Table 2-1'!L6</f>
        <v>0</v>
      </c>
      <c r="M6" s="41">
        <f>+'Table 2-1'!M6</f>
        <v>0</v>
      </c>
      <c r="N6" s="41">
        <f>+'Table 2-1'!N6</f>
        <v>0</v>
      </c>
      <c r="U6" s="2"/>
    </row>
    <row r="7" spans="1:21" hidden="1" x14ac:dyDescent="0.25">
      <c r="A7" s="36">
        <f>+'Table 2-1'!A7</f>
        <v>0</v>
      </c>
      <c r="B7" s="38">
        <f>+'Table 2-1'!B7</f>
        <v>0</v>
      </c>
      <c r="C7" s="38">
        <f>+'Table 2-1'!C7</f>
        <v>0</v>
      </c>
      <c r="D7" s="38">
        <f>+'Table 2-1'!D7</f>
        <v>0</v>
      </c>
      <c r="E7" s="39">
        <f>+ROUND('Table 2-1'!E7/CE_Scale,RoundPlace)</f>
        <v>0</v>
      </c>
      <c r="F7" s="39">
        <f>+ROUND('Table 2-1'!F7/CE_Scale,RoundPlace)</f>
        <v>0</v>
      </c>
      <c r="G7" s="39">
        <f>+ROUND('Table 2-1'!G7/CE_Scale,RoundPlace)</f>
        <v>0</v>
      </c>
      <c r="H7" s="38">
        <f>+'Table 2-1'!H7</f>
        <v>0</v>
      </c>
      <c r="I7" s="38">
        <f>+'Table 2-1'!I7</f>
        <v>0</v>
      </c>
      <c r="J7" s="39">
        <f>+ROUND('Table 2-1'!J7/CE_Scale,RoundPlace)</f>
        <v>0</v>
      </c>
      <c r="K7" s="39">
        <f>+ROUND('Table 2-1'!K7/CE_Scale,RoundPlace)</f>
        <v>0</v>
      </c>
      <c r="L7" s="40">
        <f>+'Table 2-1'!L7</f>
        <v>0</v>
      </c>
      <c r="M7" s="41">
        <f>+'Table 2-1'!M7</f>
        <v>0</v>
      </c>
      <c r="N7" s="41">
        <f>+'Table 2-1'!N7</f>
        <v>0</v>
      </c>
      <c r="U7" s="2"/>
    </row>
    <row r="8" spans="1:21" hidden="1" x14ac:dyDescent="0.25">
      <c r="A8" s="71" t="e">
        <f>+'Table 2-1'!#REF!</f>
        <v>#REF!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3"/>
    </row>
    <row r="9" spans="1:21" hidden="1" x14ac:dyDescent="0.25">
      <c r="A9" s="36" t="e">
        <f>+'Table 2-1'!#REF!</f>
        <v>#REF!</v>
      </c>
      <c r="B9" s="38" t="e">
        <f>+'Table 2-1'!#REF!</f>
        <v>#REF!</v>
      </c>
      <c r="C9" s="38" t="e">
        <f>+'Table 2-1'!#REF!</f>
        <v>#REF!</v>
      </c>
      <c r="D9" s="38" t="e">
        <f>+'Table 2-1'!#REF!</f>
        <v>#REF!</v>
      </c>
      <c r="E9" s="39" t="e">
        <f>+ROUND('Table 2-1'!#REF!/CE_Scale,RoundPlace)</f>
        <v>#REF!</v>
      </c>
      <c r="F9" s="39" t="e">
        <f>+ROUND('Table 2-1'!#REF!/CE_Scale,RoundPlace)</f>
        <v>#REF!</v>
      </c>
      <c r="G9" s="39" t="e">
        <f>+ROUND('Table 2-1'!#REF!/CE_Scale,RoundPlace)</f>
        <v>#REF!</v>
      </c>
      <c r="H9" s="38" t="e">
        <f>+'Table 2-1'!#REF!</f>
        <v>#REF!</v>
      </c>
      <c r="I9" s="38" t="e">
        <f>+'Table 2-1'!#REF!</f>
        <v>#REF!</v>
      </c>
      <c r="J9" s="39" t="e">
        <f>+ROUND('Table 2-1'!#REF!/CE_Scale,RoundPlace)</f>
        <v>#REF!</v>
      </c>
      <c r="K9" s="39" t="e">
        <f>+ROUND('Table 2-1'!#REF!/CE_Scale,RoundPlace)</f>
        <v>#REF!</v>
      </c>
      <c r="L9" s="40" t="e">
        <f>+'Table 2-1'!#REF!</f>
        <v>#REF!</v>
      </c>
      <c r="M9" s="41" t="e">
        <f>+'Table 2-1'!#REF!</f>
        <v>#REF!</v>
      </c>
      <c r="N9" s="41" t="e">
        <f>+'Table 2-1'!#REF!</f>
        <v>#REF!</v>
      </c>
    </row>
    <row r="10" spans="1:21" hidden="1" x14ac:dyDescent="0.25">
      <c r="A10" s="36" t="e">
        <f>+'Table 2-1'!#REF!</f>
        <v>#REF!</v>
      </c>
      <c r="B10" s="38" t="e">
        <f>+'Table 2-1'!#REF!</f>
        <v>#REF!</v>
      </c>
      <c r="C10" s="38" t="e">
        <f>+'Table 2-1'!#REF!</f>
        <v>#REF!</v>
      </c>
      <c r="D10" s="38" t="e">
        <f>+'Table 2-1'!#REF!</f>
        <v>#REF!</v>
      </c>
      <c r="E10" s="39" t="e">
        <f>+ROUND('Table 2-1'!#REF!/CE_Scale,RoundPlace)</f>
        <v>#REF!</v>
      </c>
      <c r="F10" s="39" t="e">
        <f>+ROUND('Table 2-1'!#REF!/CE_Scale,RoundPlace)</f>
        <v>#REF!</v>
      </c>
      <c r="G10" s="39" t="e">
        <f>+ROUND('Table 2-1'!#REF!/CE_Scale,RoundPlace)</f>
        <v>#REF!</v>
      </c>
      <c r="H10" s="38" t="e">
        <f>+'Table 2-1'!#REF!</f>
        <v>#REF!</v>
      </c>
      <c r="I10" s="38" t="e">
        <f>+'Table 2-1'!#REF!</f>
        <v>#REF!</v>
      </c>
      <c r="J10" s="39" t="e">
        <f>+ROUND('Table 2-1'!#REF!/CE_Scale,RoundPlace)</f>
        <v>#REF!</v>
      </c>
      <c r="K10" s="39" t="e">
        <f>+ROUND('Table 2-1'!#REF!/CE_Scale,RoundPlace)</f>
        <v>#REF!</v>
      </c>
      <c r="L10" s="40" t="e">
        <f>+'Table 2-1'!#REF!</f>
        <v>#REF!</v>
      </c>
      <c r="M10" s="41" t="e">
        <f>+'Table 2-1'!#REF!</f>
        <v>#REF!</v>
      </c>
      <c r="N10" s="41" t="e">
        <f>+'Table 2-1'!#REF!</f>
        <v>#REF!</v>
      </c>
    </row>
    <row r="11" spans="1:21" hidden="1" x14ac:dyDescent="0.25">
      <c r="A11" s="36" t="e">
        <f>+'Table 2-1'!#REF!</f>
        <v>#REF!</v>
      </c>
      <c r="B11" s="38" t="e">
        <f>+'Table 2-1'!#REF!</f>
        <v>#REF!</v>
      </c>
      <c r="C11" s="38" t="e">
        <f>+'Table 2-1'!#REF!</f>
        <v>#REF!</v>
      </c>
      <c r="D11" s="38" t="e">
        <f>+'Table 2-1'!#REF!</f>
        <v>#REF!</v>
      </c>
      <c r="E11" s="39" t="e">
        <f>+ROUND('Table 2-1'!#REF!/CE_Scale,RoundPlace)</f>
        <v>#REF!</v>
      </c>
      <c r="F11" s="39" t="e">
        <f>+ROUND('Table 2-1'!#REF!/CE_Scale,RoundPlace)</f>
        <v>#REF!</v>
      </c>
      <c r="G11" s="39" t="e">
        <f>+ROUND('Table 2-1'!#REF!/CE_Scale,RoundPlace)</f>
        <v>#REF!</v>
      </c>
      <c r="H11" s="38" t="e">
        <f>+'Table 2-1'!#REF!</f>
        <v>#REF!</v>
      </c>
      <c r="I11" s="38" t="e">
        <f>+'Table 2-1'!#REF!</f>
        <v>#REF!</v>
      </c>
      <c r="J11" s="39" t="e">
        <f>+ROUND('Table 2-1'!#REF!/CE_Scale,RoundPlace)</f>
        <v>#REF!</v>
      </c>
      <c r="K11" s="39" t="e">
        <f>+ROUND('Table 2-1'!#REF!/CE_Scale,RoundPlace)</f>
        <v>#REF!</v>
      </c>
      <c r="L11" s="40" t="e">
        <f>+'Table 2-1'!#REF!</f>
        <v>#REF!</v>
      </c>
      <c r="M11" s="41" t="e">
        <f>+'Table 2-1'!#REF!</f>
        <v>#REF!</v>
      </c>
      <c r="N11" s="41" t="e">
        <f>+'Table 2-1'!#REF!</f>
        <v>#REF!</v>
      </c>
    </row>
    <row r="12" spans="1:21" hidden="1" x14ac:dyDescent="0.25">
      <c r="A12" s="36" t="e">
        <f>+'Table 2-1'!#REF!</f>
        <v>#REF!</v>
      </c>
      <c r="B12" s="38" t="e">
        <f>+'Table 2-1'!#REF!</f>
        <v>#REF!</v>
      </c>
      <c r="C12" s="38" t="e">
        <f>+'Table 2-1'!#REF!</f>
        <v>#REF!</v>
      </c>
      <c r="D12" s="38" t="e">
        <f>+'Table 2-1'!#REF!</f>
        <v>#REF!</v>
      </c>
      <c r="E12" s="39" t="e">
        <f>+ROUND('Table 2-1'!#REF!/CE_Scale,RoundPlace)</f>
        <v>#REF!</v>
      </c>
      <c r="F12" s="39" t="e">
        <f>+ROUND('Table 2-1'!#REF!/CE_Scale,RoundPlace)</f>
        <v>#REF!</v>
      </c>
      <c r="G12" s="39" t="e">
        <f>+ROUND('Table 2-1'!#REF!/CE_Scale,RoundPlace)</f>
        <v>#REF!</v>
      </c>
      <c r="H12" s="38" t="e">
        <f>+'Table 2-1'!#REF!</f>
        <v>#REF!</v>
      </c>
      <c r="I12" s="38" t="e">
        <f>+'Table 2-1'!#REF!</f>
        <v>#REF!</v>
      </c>
      <c r="J12" s="39" t="e">
        <f>+ROUND('Table 2-1'!#REF!/CE_Scale,RoundPlace)</f>
        <v>#REF!</v>
      </c>
      <c r="K12" s="39" t="e">
        <f>+ROUND('Table 2-1'!#REF!/CE_Scale,RoundPlace)</f>
        <v>#REF!</v>
      </c>
      <c r="L12" s="40" t="e">
        <f>+'Table 2-1'!#REF!</f>
        <v>#REF!</v>
      </c>
      <c r="M12" s="41" t="e">
        <f>+'Table 2-1'!#REF!</f>
        <v>#REF!</v>
      </c>
      <c r="N12" s="41" t="e">
        <f>+'Table 2-1'!#REF!</f>
        <v>#REF!</v>
      </c>
    </row>
  </sheetData>
  <mergeCells count="7">
    <mergeCell ref="A3:N3"/>
    <mergeCell ref="A8:N8"/>
    <mergeCell ref="M1:N1"/>
    <mergeCell ref="B1:D1"/>
    <mergeCell ref="E1:G1"/>
    <mergeCell ref="H1:I1"/>
    <mergeCell ref="J1:K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D844-476E-4CFD-AEFD-625B417692D0}">
  <sheetPr>
    <tabColor rgb="FFFFC000"/>
  </sheetPr>
  <dimension ref="A2:AM48"/>
  <sheetViews>
    <sheetView workbookViewId="0">
      <selection activeCell="C26" sqref="C26"/>
    </sheetView>
  </sheetViews>
  <sheetFormatPr defaultRowHeight="12.75" x14ac:dyDescent="0.2"/>
  <cols>
    <col min="1" max="1" width="55" style="18" customWidth="1"/>
    <col min="2" max="5" width="9.140625" style="18"/>
    <col min="6" max="7" width="9.85546875" style="18" bestFit="1" customWidth="1"/>
    <col min="8" max="9" width="9.85546875" style="18" customWidth="1"/>
    <col min="10" max="35" width="9.140625" style="18"/>
    <col min="36" max="36" width="27.28515625" style="18" customWidth="1"/>
    <col min="37" max="16384" width="9.140625" style="18"/>
  </cols>
  <sheetData>
    <row r="2" spans="1:38" x14ac:dyDescent="0.2">
      <c r="B2" s="67" t="s">
        <v>41</v>
      </c>
      <c r="C2" s="67"/>
      <c r="D2" s="67"/>
      <c r="E2" s="67" t="s">
        <v>42</v>
      </c>
      <c r="F2" s="67"/>
      <c r="G2" s="67"/>
      <c r="H2" s="67" t="s">
        <v>57</v>
      </c>
      <c r="I2" s="67"/>
    </row>
    <row r="3" spans="1:38" ht="26.25" thickBot="1" x14ac:dyDescent="0.25">
      <c r="A3" s="19" t="s">
        <v>116</v>
      </c>
      <c r="B3" s="43" t="s">
        <v>43</v>
      </c>
      <c r="C3" s="43" t="s">
        <v>45</v>
      </c>
      <c r="D3" s="43" t="s">
        <v>46</v>
      </c>
      <c r="E3" s="43" t="s">
        <v>48</v>
      </c>
      <c r="F3" s="43" t="s">
        <v>49</v>
      </c>
      <c r="G3" s="43" t="s">
        <v>50</v>
      </c>
      <c r="H3" s="43" t="s">
        <v>69</v>
      </c>
      <c r="I3" s="43" t="s">
        <v>115</v>
      </c>
      <c r="AJ3" s="77" t="s">
        <v>89</v>
      </c>
      <c r="AK3" s="77"/>
    </row>
    <row r="4" spans="1:38" ht="15" x14ac:dyDescent="0.25">
      <c r="A4" s="18" t="s">
        <v>79</v>
      </c>
      <c r="B4" s="11">
        <v>0.76</v>
      </c>
      <c r="C4" s="11">
        <v>0.73</v>
      </c>
      <c r="D4" s="11">
        <v>0.79</v>
      </c>
      <c r="E4" s="33">
        <v>186264</v>
      </c>
      <c r="F4" s="33">
        <v>184277</v>
      </c>
      <c r="G4" s="33">
        <v>187641</v>
      </c>
      <c r="H4" s="11">
        <f>+AK11</f>
        <v>0.53050039025236329</v>
      </c>
      <c r="I4" s="11">
        <f>+B4</f>
        <v>0.76</v>
      </c>
      <c r="AJ4" s="52" t="s">
        <v>79</v>
      </c>
      <c r="AK4" s="53"/>
    </row>
    <row r="5" spans="1:38" x14ac:dyDescent="0.2">
      <c r="A5" s="18" t="s">
        <v>80</v>
      </c>
      <c r="B5" s="11">
        <v>0.76</v>
      </c>
      <c r="C5" s="11">
        <v>0.73</v>
      </c>
      <c r="D5" s="11">
        <v>0.8</v>
      </c>
      <c r="E5" s="33">
        <v>186264</v>
      </c>
      <c r="F5" s="33">
        <f>+F6</f>
        <v>184887</v>
      </c>
      <c r="G5" s="33">
        <f>+G6</f>
        <v>187641</v>
      </c>
      <c r="H5" s="11">
        <f>+AK11</f>
        <v>0.53050039025236329</v>
      </c>
      <c r="I5" s="11">
        <f t="shared" ref="I5:I7" si="0">+B5</f>
        <v>0.76</v>
      </c>
      <c r="AJ5" s="54" t="s">
        <v>92</v>
      </c>
      <c r="AK5" s="60">
        <v>0.21</v>
      </c>
      <c r="AL5" s="18" t="s">
        <v>91</v>
      </c>
    </row>
    <row r="6" spans="1:38" x14ac:dyDescent="0.2">
      <c r="A6" s="18" t="s">
        <v>81</v>
      </c>
      <c r="B6" s="11">
        <v>0.85</v>
      </c>
      <c r="C6" s="11">
        <v>0.8</v>
      </c>
      <c r="D6" s="11">
        <v>0.9</v>
      </c>
      <c r="E6" s="33">
        <v>186264</v>
      </c>
      <c r="F6" s="33">
        <v>184887</v>
      </c>
      <c r="G6" s="33">
        <v>187641</v>
      </c>
      <c r="H6" s="11">
        <f>+AK15</f>
        <v>1.2459283670106669</v>
      </c>
      <c r="I6" s="11">
        <f t="shared" si="0"/>
        <v>0.85</v>
      </c>
      <c r="AJ6" s="54" t="s">
        <v>93</v>
      </c>
      <c r="AK6" s="60">
        <f>+AK5/LDL_C_reduction</f>
        <v>0.46949960974763671</v>
      </c>
    </row>
    <row r="7" spans="1:38" ht="13.5" thickBot="1" x14ac:dyDescent="0.25">
      <c r="A7" s="18" t="s">
        <v>82</v>
      </c>
      <c r="B7" s="11">
        <v>0.86</v>
      </c>
      <c r="C7" s="11">
        <v>0.82</v>
      </c>
      <c r="D7" s="11">
        <v>0.9</v>
      </c>
      <c r="E7" s="33">
        <v>186264</v>
      </c>
      <c r="F7" s="33">
        <v>146453</v>
      </c>
      <c r="G7" s="33">
        <v>256075</v>
      </c>
      <c r="H7" s="11">
        <f>+AK19</f>
        <v>1</v>
      </c>
      <c r="I7" s="11">
        <f t="shared" si="0"/>
        <v>0.86</v>
      </c>
      <c r="AJ7" s="55" t="s">
        <v>94</v>
      </c>
      <c r="AK7" s="61">
        <f>1-AK6</f>
        <v>0.53050039025236329</v>
      </c>
    </row>
    <row r="8" spans="1:38" ht="15" x14ac:dyDescent="0.25">
      <c r="B8" s="28"/>
      <c r="C8" s="28"/>
      <c r="D8" s="28"/>
      <c r="AJ8" s="52" t="s">
        <v>80</v>
      </c>
      <c r="AK8" s="62"/>
    </row>
    <row r="9" spans="1:38" x14ac:dyDescent="0.2">
      <c r="AJ9" s="54" t="str">
        <f>+AJ5</f>
        <v>Rate reduction for treatment (i)</v>
      </c>
      <c r="AK9" s="60">
        <v>0.21</v>
      </c>
      <c r="AL9" s="18" t="s">
        <v>91</v>
      </c>
    </row>
    <row r="10" spans="1:38" x14ac:dyDescent="0.2">
      <c r="AJ10" s="54" t="str">
        <f>+AJ6</f>
        <v>Rate reduction per mmol/L LDL-C (ii)</v>
      </c>
      <c r="AK10" s="60">
        <f>+AK9/LDL_C_reduction</f>
        <v>0.46949960974763671</v>
      </c>
    </row>
    <row r="11" spans="1:38" ht="13.5" thickBot="1" x14ac:dyDescent="0.25">
      <c r="AJ11" s="54" t="str">
        <f>+AJ7</f>
        <v>Risk ratio per mmol/L LDL-C (iii)</v>
      </c>
      <c r="AK11" s="61">
        <f>1-AK10</f>
        <v>0.53050039025236329</v>
      </c>
    </row>
    <row r="12" spans="1:38" ht="15" x14ac:dyDescent="0.25">
      <c r="AJ12" s="52" t="s">
        <v>81</v>
      </c>
      <c r="AK12" s="62"/>
    </row>
    <row r="13" spans="1:38" x14ac:dyDescent="0.2">
      <c r="AJ13" s="54" t="str">
        <f>+AJ5</f>
        <v>Rate reduction for treatment (i)</v>
      </c>
      <c r="AK13" s="60">
        <v>-0.11</v>
      </c>
      <c r="AL13" s="18" t="s">
        <v>113</v>
      </c>
    </row>
    <row r="14" spans="1:38" x14ac:dyDescent="0.2">
      <c r="AJ14" s="54" t="str">
        <f t="shared" ref="AJ14:AJ15" si="1">+AJ6</f>
        <v>Rate reduction per mmol/L LDL-C (ii)</v>
      </c>
      <c r="AK14" s="60">
        <f>+AK13/LDL_C_reduction</f>
        <v>-0.24592836701066687</v>
      </c>
    </row>
    <row r="15" spans="1:38" ht="13.5" thickBot="1" x14ac:dyDescent="0.25">
      <c r="AJ15" s="54" t="str">
        <f t="shared" si="1"/>
        <v>Risk ratio per mmol/L LDL-C (iii)</v>
      </c>
      <c r="AK15" s="61">
        <f>1-AK14</f>
        <v>1.2459283670106669</v>
      </c>
    </row>
    <row r="16" spans="1:38" ht="15" x14ac:dyDescent="0.25">
      <c r="AJ16" s="52" t="s">
        <v>88</v>
      </c>
      <c r="AK16" s="62"/>
    </row>
    <row r="17" spans="36:39" x14ac:dyDescent="0.2">
      <c r="AJ17" s="54" t="str">
        <f>+AJ5</f>
        <v>Rate reduction for treatment (i)</v>
      </c>
      <c r="AK17" s="60">
        <v>0</v>
      </c>
      <c r="AL17" s="18" t="s">
        <v>114</v>
      </c>
    </row>
    <row r="18" spans="36:39" x14ac:dyDescent="0.2">
      <c r="AJ18" s="54" t="str">
        <f t="shared" ref="AJ18:AJ19" si="2">+AJ6</f>
        <v>Rate reduction per mmol/L LDL-C (ii)</v>
      </c>
      <c r="AK18" s="60">
        <f>+AK17/LDL_C_reduction</f>
        <v>0</v>
      </c>
    </row>
    <row r="19" spans="36:39" ht="13.5" thickBot="1" x14ac:dyDescent="0.25">
      <c r="AJ19" s="56" t="str">
        <f t="shared" si="2"/>
        <v>Risk ratio per mmol/L LDL-C (iii)</v>
      </c>
      <c r="AK19" s="61">
        <f>1-AK18</f>
        <v>1</v>
      </c>
    </row>
    <row r="22" spans="36:39" x14ac:dyDescent="0.2">
      <c r="AJ22" s="18" t="s">
        <v>95</v>
      </c>
    </row>
    <row r="23" spans="36:39" x14ac:dyDescent="0.2">
      <c r="AJ23" s="18" t="s">
        <v>96</v>
      </c>
    </row>
    <row r="24" spans="36:39" x14ac:dyDescent="0.2">
      <c r="AJ24" s="18" t="s">
        <v>97</v>
      </c>
    </row>
    <row r="25" spans="36:39" x14ac:dyDescent="0.2">
      <c r="AJ25" s="18" t="s">
        <v>98</v>
      </c>
    </row>
    <row r="26" spans="36:39" x14ac:dyDescent="0.2">
      <c r="AJ26" s="18" t="s">
        <v>99</v>
      </c>
    </row>
    <row r="27" spans="36:39" x14ac:dyDescent="0.2">
      <c r="AJ27" s="18" t="s">
        <v>100</v>
      </c>
    </row>
    <row r="31" spans="36:39" x14ac:dyDescent="0.2">
      <c r="AJ31" s="18" t="s">
        <v>101</v>
      </c>
    </row>
    <row r="32" spans="36:39" x14ac:dyDescent="0.2">
      <c r="AJ32" s="18" t="s">
        <v>102</v>
      </c>
      <c r="AK32" s="57">
        <f>+AK36*AK35</f>
        <v>0.44728471683475568</v>
      </c>
      <c r="AM32" s="18" t="s">
        <v>108</v>
      </c>
    </row>
    <row r="33" spans="1:39" x14ac:dyDescent="0.2">
      <c r="AJ33" s="18" t="s">
        <v>103</v>
      </c>
      <c r="AK33" s="18">
        <v>88.7</v>
      </c>
      <c r="AM33" s="18" t="s">
        <v>112</v>
      </c>
    </row>
    <row r="34" spans="1:39" x14ac:dyDescent="0.2">
      <c r="A34" s="19" t="s">
        <v>83</v>
      </c>
      <c r="B34" s="28" t="s">
        <v>44</v>
      </c>
      <c r="C34" s="18" t="s">
        <v>84</v>
      </c>
      <c r="AJ34" s="18" t="s">
        <v>105</v>
      </c>
      <c r="AK34" s="18">
        <v>38.67</v>
      </c>
      <c r="AM34" s="18" t="s">
        <v>109</v>
      </c>
    </row>
    <row r="35" spans="1:39" x14ac:dyDescent="0.2">
      <c r="B35" s="28" t="s">
        <v>47</v>
      </c>
      <c r="C35" s="18" t="s">
        <v>85</v>
      </c>
      <c r="AJ35" s="18" t="s">
        <v>104</v>
      </c>
      <c r="AK35" s="57">
        <f>+AK33/AK34</f>
        <v>2.2937677786397725</v>
      </c>
      <c r="AM35" s="18" t="s">
        <v>108</v>
      </c>
    </row>
    <row r="36" spans="1:39" x14ac:dyDescent="0.2">
      <c r="B36" s="28" t="s">
        <v>52</v>
      </c>
      <c r="C36" s="18" t="s">
        <v>67</v>
      </c>
      <c r="AJ36" s="18" t="s">
        <v>106</v>
      </c>
      <c r="AK36" s="58">
        <v>0.19500000000000001</v>
      </c>
      <c r="AM36" s="18" t="s">
        <v>107</v>
      </c>
    </row>
    <row r="37" spans="1:39" x14ac:dyDescent="0.2">
      <c r="B37" s="28" t="s">
        <v>54</v>
      </c>
      <c r="C37" s="18" t="s">
        <v>87</v>
      </c>
    </row>
    <row r="38" spans="1:39" x14ac:dyDescent="0.2">
      <c r="B38" s="28" t="s">
        <v>70</v>
      </c>
      <c r="C38" s="18" t="s">
        <v>90</v>
      </c>
    </row>
    <row r="47" spans="1:39" x14ac:dyDescent="0.2">
      <c r="AM47" s="18" t="s">
        <v>110</v>
      </c>
    </row>
    <row r="48" spans="1:39" x14ac:dyDescent="0.2">
      <c r="AM48" s="59" t="s">
        <v>111</v>
      </c>
    </row>
  </sheetData>
  <mergeCells count="4">
    <mergeCell ref="AJ3:AK3"/>
    <mergeCell ref="B2:D2"/>
    <mergeCell ref="E2:G2"/>
    <mergeCell ref="H2:I2"/>
  </mergeCells>
  <hyperlinks>
    <hyperlink ref="AM48" r:id="rId1" xr:uid="{D697E855-2303-40DE-812B-3DD40605F128}"/>
  </hyperlinks>
  <pageMargins left="0.7" right="0.7" top="0.75" bottom="0.75" header="0.3" footer="0.3"/>
  <pageSetup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A340-4173-4186-9CFD-CA078C6D485B}">
  <sheetPr>
    <tabColor rgb="FFFFFF00"/>
  </sheetPr>
  <dimension ref="A1:BN58"/>
  <sheetViews>
    <sheetView workbookViewId="0">
      <selection activeCell="F24" sqref="F24"/>
    </sheetView>
  </sheetViews>
  <sheetFormatPr defaultRowHeight="15" x14ac:dyDescent="0.25"/>
  <cols>
    <col min="1" max="1" width="30.7109375" customWidth="1"/>
    <col min="2" max="2" width="6.5703125" customWidth="1"/>
    <col min="3" max="3" width="6.140625" bestFit="1" customWidth="1"/>
    <col min="4" max="4" width="7.42578125" bestFit="1" customWidth="1"/>
    <col min="5" max="5" width="9.28515625" bestFit="1" customWidth="1"/>
    <col min="6" max="6" width="8.85546875" customWidth="1"/>
    <col min="7" max="7" width="8.5703125" customWidth="1"/>
    <col min="8" max="8" width="8.140625" customWidth="1"/>
    <col min="9" max="9" width="8.28515625" customWidth="1"/>
    <col min="10" max="10" width="8.85546875" customWidth="1"/>
    <col min="11" max="11" width="9.42578125" customWidth="1"/>
    <col min="12" max="14" width="8.140625" customWidth="1"/>
    <col min="15" max="15" width="3.140625" customWidth="1"/>
    <col min="16" max="18" width="8.7109375" customWidth="1"/>
    <col min="19" max="23" width="10.7109375" customWidth="1"/>
    <col min="24" max="24" width="11.42578125" customWidth="1"/>
    <col min="25" max="25" width="9.7109375" customWidth="1"/>
    <col min="26" max="26" width="4" customWidth="1"/>
    <col min="27" max="27" width="50.28515625" hidden="1" customWidth="1"/>
    <col min="28" max="28" width="3.42578125" hidden="1" customWidth="1"/>
    <col min="30" max="30" width="10" bestFit="1" customWidth="1"/>
    <col min="31" max="32" width="10" customWidth="1"/>
    <col min="35" max="35" width="2.7109375" customWidth="1"/>
    <col min="37" max="37" width="10" bestFit="1" customWidth="1"/>
    <col min="38" max="39" width="10" customWidth="1"/>
    <col min="42" max="42" width="3.85546875" customWidth="1"/>
    <col min="44" max="44" width="10" bestFit="1" customWidth="1"/>
    <col min="45" max="46" width="10" customWidth="1"/>
    <col min="49" max="49" width="3" customWidth="1"/>
    <col min="51" max="51" width="10" bestFit="1" customWidth="1"/>
    <col min="52" max="53" width="10" customWidth="1"/>
    <col min="56" max="56" width="3.140625" customWidth="1"/>
    <col min="57" max="57" width="8.7109375" customWidth="1"/>
    <col min="58" max="58" width="10" bestFit="1" customWidth="1"/>
    <col min="63" max="63" width="3.42578125" customWidth="1"/>
    <col min="64" max="64" width="9.140625" customWidth="1"/>
    <col min="65" max="65" width="10" bestFit="1" customWidth="1"/>
    <col min="66" max="66" width="9.5703125" customWidth="1"/>
    <col min="70" max="70" width="4" customWidth="1"/>
    <col min="77" max="77" width="3.42578125" customWidth="1"/>
  </cols>
  <sheetData>
    <row r="1" spans="1:66" ht="39.75" customHeight="1" x14ac:dyDescent="0.25">
      <c r="A1" s="3"/>
      <c r="B1" s="70" t="s">
        <v>86</v>
      </c>
      <c r="C1" s="70"/>
      <c r="D1" s="70"/>
      <c r="E1" s="70" t="s">
        <v>40</v>
      </c>
      <c r="F1" s="70"/>
      <c r="G1" s="70"/>
      <c r="H1" s="70" t="s">
        <v>39</v>
      </c>
      <c r="I1" s="70"/>
      <c r="J1" s="70" t="s">
        <v>28</v>
      </c>
      <c r="K1" s="70"/>
      <c r="L1" s="70" t="s">
        <v>29</v>
      </c>
      <c r="M1" s="70"/>
      <c r="N1" s="70"/>
      <c r="O1" s="3"/>
      <c r="X1" s="6" t="s">
        <v>6</v>
      </c>
      <c r="Y1" s="6" t="s">
        <v>7</v>
      </c>
    </row>
    <row r="2" spans="1:66" ht="36" customHeight="1" x14ac:dyDescent="0.25">
      <c r="A2" s="7"/>
      <c r="B2" s="8" t="s">
        <v>0</v>
      </c>
      <c r="C2" s="8" t="s">
        <v>1</v>
      </c>
      <c r="D2" s="8" t="s">
        <v>2</v>
      </c>
      <c r="E2" s="8" t="s">
        <v>0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26</v>
      </c>
      <c r="K2" s="8" t="s">
        <v>27</v>
      </c>
      <c r="L2" s="8" t="s">
        <v>8</v>
      </c>
      <c r="M2" s="8" t="s">
        <v>9</v>
      </c>
      <c r="N2" s="8" t="s">
        <v>10</v>
      </c>
      <c r="P2" s="25" t="s">
        <v>3</v>
      </c>
      <c r="Q2" s="25" t="s">
        <v>4</v>
      </c>
      <c r="R2" s="25" t="s">
        <v>5</v>
      </c>
      <c r="S2" s="9" t="s">
        <v>8</v>
      </c>
      <c r="T2" s="9" t="s">
        <v>11</v>
      </c>
      <c r="U2" s="9" t="s">
        <v>12</v>
      </c>
      <c r="V2" s="9" t="s">
        <v>13</v>
      </c>
      <c r="W2" s="9" t="s">
        <v>14</v>
      </c>
      <c r="X2" s="9" t="s">
        <v>15</v>
      </c>
      <c r="Y2" s="9" t="s">
        <v>16</v>
      </c>
      <c r="AC2" s="68" t="str">
        <f>+A4</f>
        <v>ACS</v>
      </c>
      <c r="AD2" s="68"/>
      <c r="AE2" s="68"/>
      <c r="AF2" s="68"/>
      <c r="AG2" s="68"/>
      <c r="AH2" s="68"/>
      <c r="AJ2" s="68" t="str">
        <f>+A5</f>
        <v>Elective revascularization</v>
      </c>
      <c r="AK2" s="68"/>
      <c r="AL2" s="68"/>
      <c r="AM2" s="68"/>
      <c r="AN2" s="68"/>
      <c r="AO2" s="68"/>
      <c r="AQ2" s="68" t="str">
        <f>+A6</f>
        <v>Stroke</v>
      </c>
      <c r="AR2" s="68"/>
      <c r="AS2" s="68"/>
      <c r="AT2" s="68"/>
      <c r="AU2" s="68"/>
      <c r="AV2" s="68"/>
      <c r="AX2" s="68" t="str">
        <f>+A7</f>
        <v>CV Death</v>
      </c>
      <c r="AY2" s="68"/>
      <c r="AZ2" s="68"/>
      <c r="BA2" s="68"/>
      <c r="BB2" s="68"/>
      <c r="BC2" s="68"/>
    </row>
    <row r="3" spans="1:66" x14ac:dyDescent="0.25">
      <c r="A3" s="10" t="s">
        <v>75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P3" s="22"/>
      <c r="Q3" s="22"/>
      <c r="R3" s="22"/>
      <c r="BN3" s="2"/>
    </row>
    <row r="4" spans="1:66" x14ac:dyDescent="0.25">
      <c r="A4" s="7" t="str">
        <f>+'Table 2-2 - inputs'!A4</f>
        <v>ACS</v>
      </c>
      <c r="B4" s="11">
        <f>+'Table 2-2 - inputs'!B4</f>
        <v>0.76</v>
      </c>
      <c r="C4" s="11">
        <f>+'Table 2-2 - inputs'!C4</f>
        <v>0.73</v>
      </c>
      <c r="D4" s="11">
        <f>+'Table 2-2 - inputs'!D4</f>
        <v>0.79</v>
      </c>
      <c r="E4" s="12">
        <f>+'Table 2-2 - inputs'!E4</f>
        <v>186264</v>
      </c>
      <c r="F4" s="12">
        <f>+'Table 2-2 - inputs'!F4</f>
        <v>184277</v>
      </c>
      <c r="G4" s="12">
        <f>+'Table 2-2 - inputs'!G4</f>
        <v>187641</v>
      </c>
      <c r="H4" s="11">
        <f>+'Table 2-2 - inputs'!H4</f>
        <v>0.53050039025236329</v>
      </c>
      <c r="I4" s="11">
        <f>+'Table 2-2 - inputs'!I4</f>
        <v>0.76</v>
      </c>
      <c r="J4" s="12">
        <f>+AH5</f>
        <v>155547.42008385275</v>
      </c>
      <c r="K4" s="12">
        <f>+AH6</f>
        <v>186263.99999999994</v>
      </c>
      <c r="L4" s="13">
        <f>+S4</f>
        <v>8.2454419308474164E-2</v>
      </c>
      <c r="M4" s="15" t="str">
        <f t="shared" ref="M4:N7" si="0">+IF(X4,"YES","NO")</f>
        <v>NO</v>
      </c>
      <c r="N4" s="15" t="str">
        <f t="shared" si="0"/>
        <v>NO</v>
      </c>
      <c r="O4" s="7"/>
      <c r="P4" s="46">
        <f>+MIN(E4,J4,K4)</f>
        <v>155547.42008385275</v>
      </c>
      <c r="Q4" s="46">
        <f>+MEDIAN(E4,J4,K4)</f>
        <v>186263.99999999994</v>
      </c>
      <c r="R4" s="46">
        <f>+MAX(E4,J4,K4)</f>
        <v>186264</v>
      </c>
      <c r="S4" s="47">
        <f>+AVERAGE((Q4-P4)/Q4,(R4-Q4)/Q4)</f>
        <v>8.2454419308474164E-2</v>
      </c>
      <c r="T4" s="7" t="b">
        <f>+AND(E4&lt;=Benchmark1,J4&lt;=Benchmark1,K4&lt;=Benchmark1)</f>
        <v>0</v>
      </c>
      <c r="U4" s="47" t="b">
        <f>+AND(E4&gt;Benchmark1,J4&gt;Benchmark1,K4&gt;Benchmark1)</f>
        <v>1</v>
      </c>
      <c r="V4" s="7" t="b">
        <f>+AND(E4&lt;=Benchmark2,J4&lt;=Benchmark2,K4&lt;=Benchmark2)</f>
        <v>0</v>
      </c>
      <c r="W4" s="47" t="b">
        <f>+AND(E4&gt;Benchmark2,J4&gt;Benchmark2,K4&gt;Benchmark2)</f>
        <v>1</v>
      </c>
      <c r="X4" s="12" t="b">
        <f>+AND(NOT(T4),NOT(U4))</f>
        <v>0</v>
      </c>
      <c r="Y4" s="12" t="b">
        <f>+AND(NOT(V4),NOT(W4))</f>
        <v>0</v>
      </c>
      <c r="AA4" s="12" t="s">
        <v>30</v>
      </c>
      <c r="AC4" s="20">
        <f>+B4</f>
        <v>0.76</v>
      </c>
      <c r="AD4" s="21">
        <f>+E4</f>
        <v>186264</v>
      </c>
      <c r="AE4" s="21"/>
      <c r="AF4" s="21" t="s">
        <v>21</v>
      </c>
      <c r="AG4" s="24">
        <f>-AD7/(2*AC7)</f>
        <v>0.84272131147541141</v>
      </c>
      <c r="AH4" s="24"/>
      <c r="AJ4" s="20">
        <f>+B5</f>
        <v>0.76</v>
      </c>
      <c r="AK4" s="21">
        <f>+E5</f>
        <v>186264</v>
      </c>
      <c r="AL4" s="21"/>
      <c r="AM4" s="21" t="s">
        <v>21</v>
      </c>
      <c r="AN4" s="24">
        <f>-AK7/(2*AJ7)</f>
        <v>0.88500000000000234</v>
      </c>
      <c r="AO4" s="24"/>
      <c r="AQ4" s="20">
        <f>+B6</f>
        <v>0.85</v>
      </c>
      <c r="AR4" s="21">
        <f>+E6</f>
        <v>186264</v>
      </c>
      <c r="AS4" s="21"/>
      <c r="AT4" s="21" t="s">
        <v>21</v>
      </c>
      <c r="AU4" s="24">
        <f>-AR7/(2*AQ7)</f>
        <v>22753086029390.82</v>
      </c>
      <c r="AV4" s="24"/>
      <c r="AX4" s="20">
        <f>+B7</f>
        <v>0.86</v>
      </c>
      <c r="AY4" s="21">
        <f>+E7</f>
        <v>186264</v>
      </c>
      <c r="AZ4" s="21"/>
      <c r="BA4" s="21" t="s">
        <v>21</v>
      </c>
      <c r="BB4" s="24">
        <f>-AY7/(2*AX7)</f>
        <v>0.78691866666666554</v>
      </c>
      <c r="BC4" s="24"/>
      <c r="BN4" s="2"/>
    </row>
    <row r="5" spans="1:66" x14ac:dyDescent="0.25">
      <c r="A5" s="7" t="str">
        <f>+'Table 2-2 - inputs'!A5</f>
        <v>Elective revascularization</v>
      </c>
      <c r="B5" s="11">
        <f>+'Table 2-2 - inputs'!B5</f>
        <v>0.76</v>
      </c>
      <c r="C5" s="11">
        <f>+'Table 2-2 - inputs'!C5</f>
        <v>0.73</v>
      </c>
      <c r="D5" s="11">
        <f>+'Table 2-2 - inputs'!D5</f>
        <v>0.8</v>
      </c>
      <c r="E5" s="12">
        <f>+'Table 2-2 - inputs'!E5</f>
        <v>186264</v>
      </c>
      <c r="F5" s="29">
        <f>+'Table 2-2 - inputs'!F5</f>
        <v>184887</v>
      </c>
      <c r="G5" s="29">
        <f>+'Table 2-2 - inputs'!G5</f>
        <v>187641</v>
      </c>
      <c r="H5" s="11">
        <f>+'Table 2-2 - inputs'!H5</f>
        <v>0.53050039025236329</v>
      </c>
      <c r="I5" s="11">
        <f>+'Table 2-2 - inputs'!I5</f>
        <v>0.76</v>
      </c>
      <c r="J5" s="12">
        <f>+AO5</f>
        <v>168224.48473219544</v>
      </c>
      <c r="K5" s="12">
        <f>+AO6</f>
        <v>186264</v>
      </c>
      <c r="L5" s="13">
        <f t="shared" ref="L5:L7" si="1">+S5</f>
        <v>4.8424588937756509E-2</v>
      </c>
      <c r="M5" s="15" t="str">
        <f t="shared" si="0"/>
        <v>NO</v>
      </c>
      <c r="N5" s="15" t="str">
        <f t="shared" si="0"/>
        <v>NO</v>
      </c>
      <c r="O5" s="7"/>
      <c r="P5" s="46">
        <f>+MIN(E5,J5,K5)</f>
        <v>168224.48473219544</v>
      </c>
      <c r="Q5" s="46">
        <f>+MEDIAN(E5,J5,K5)</f>
        <v>186264</v>
      </c>
      <c r="R5" s="46">
        <f>+MAX(E5,J5,K5)</f>
        <v>186264</v>
      </c>
      <c r="S5" s="47">
        <f t="shared" ref="S5:S7" si="2">+AVERAGE((Q5-P5)/Q5,(R5-Q5)/Q5)</f>
        <v>4.8424588937756509E-2</v>
      </c>
      <c r="T5" s="7" t="b">
        <f>+AND(E5&lt;=Benchmark1,J5&lt;=Benchmark1,K5&lt;=Benchmark1)</f>
        <v>0</v>
      </c>
      <c r="U5" s="47" t="b">
        <f>+AND(E5&gt;Benchmark1,J5&gt;Benchmark1,K5&gt;Benchmark1)</f>
        <v>1</v>
      </c>
      <c r="V5" s="7" t="b">
        <f>+AND(E5&lt;=Benchmark2,J5&lt;=Benchmark2,K5&lt;=Benchmark2)</f>
        <v>0</v>
      </c>
      <c r="W5" s="47" t="b">
        <f>+AND(E5&gt;Benchmark2,J5&gt;Benchmark2,K5&gt;Benchmark2)</f>
        <v>1</v>
      </c>
      <c r="X5" s="12" t="b">
        <f>+AND(NOT(T5),NOT(U5))</f>
        <v>0</v>
      </c>
      <c r="Y5" s="12" t="b">
        <f>+AND(NOT(V5),NOT(W5))</f>
        <v>0</v>
      </c>
      <c r="AA5" s="12" t="s">
        <v>31</v>
      </c>
      <c r="AC5" s="20">
        <f>+C4</f>
        <v>0.73</v>
      </c>
      <c r="AD5" s="21">
        <f>+F4</f>
        <v>184277</v>
      </c>
      <c r="AE5" s="21"/>
      <c r="AF5" s="21" t="s">
        <v>22</v>
      </c>
      <c r="AG5" s="24">
        <f>+H4</f>
        <v>0.53050039025236329</v>
      </c>
      <c r="AH5" s="21">
        <f>+AC9*AG5^2+AD9*AG5+AE9</f>
        <v>155547.42008385275</v>
      </c>
      <c r="AJ5" s="20">
        <f>+C5</f>
        <v>0.73</v>
      </c>
      <c r="AK5" s="21">
        <f>+F5</f>
        <v>184887</v>
      </c>
      <c r="AL5" s="21"/>
      <c r="AM5" s="21" t="s">
        <v>22</v>
      </c>
      <c r="AN5" s="24">
        <f>+H5</f>
        <v>0.53050039025236329</v>
      </c>
      <c r="AO5" s="21">
        <f>+AJ9*AN5^2+AK9*AN5+AL9</f>
        <v>168224.48473219544</v>
      </c>
      <c r="AQ5" s="20">
        <f>+C6</f>
        <v>0.8</v>
      </c>
      <c r="AR5" s="21">
        <f>+F6</f>
        <v>184887</v>
      </c>
      <c r="AS5" s="21"/>
      <c r="AT5" s="21" t="s">
        <v>22</v>
      </c>
      <c r="AU5" s="24">
        <f>+H6</f>
        <v>1.2459283670106669</v>
      </c>
      <c r="AV5" s="21">
        <f>+AQ9*AU5^2+AR9*AU5+AS9</f>
        <v>197167.86722747367</v>
      </c>
      <c r="AX5" s="20">
        <f>+C7</f>
        <v>0.82</v>
      </c>
      <c r="AY5" s="21">
        <f>+F7</f>
        <v>146453</v>
      </c>
      <c r="AZ5" s="21"/>
      <c r="BA5" s="21" t="s">
        <v>22</v>
      </c>
      <c r="BB5" s="24">
        <f>+H7</f>
        <v>1</v>
      </c>
      <c r="BC5" s="21">
        <f>+AX9*BB5^2+AY9*BB5+AZ9</f>
        <v>561852.49999999441</v>
      </c>
      <c r="BN5" s="2"/>
    </row>
    <row r="6" spans="1:66" x14ac:dyDescent="0.25">
      <c r="A6" s="7" t="str">
        <f>+'Table 2-2 - inputs'!A6</f>
        <v>Stroke</v>
      </c>
      <c r="B6" s="11">
        <f>+'Table 2-2 - inputs'!B6</f>
        <v>0.85</v>
      </c>
      <c r="C6" s="11">
        <f>+'Table 2-2 - inputs'!C6</f>
        <v>0.8</v>
      </c>
      <c r="D6" s="11">
        <f>+'Table 2-2 - inputs'!D6</f>
        <v>0.9</v>
      </c>
      <c r="E6" s="12">
        <f>+'Table 2-2 - inputs'!E6</f>
        <v>186264</v>
      </c>
      <c r="F6" s="12">
        <f>+'Table 2-2 - inputs'!F6</f>
        <v>184887</v>
      </c>
      <c r="G6" s="12">
        <f>+'Table 2-2 - inputs'!G6</f>
        <v>187641</v>
      </c>
      <c r="H6" s="11">
        <f>+'Table 2-2 - inputs'!H6</f>
        <v>1.2459283670106669</v>
      </c>
      <c r="I6" s="11">
        <f>+'Table 2-2 - inputs'!I6</f>
        <v>0.85</v>
      </c>
      <c r="J6" s="12">
        <f>+AV5</f>
        <v>197167.86722747367</v>
      </c>
      <c r="K6" s="12">
        <f>+AV6</f>
        <v>186264</v>
      </c>
      <c r="L6" s="13">
        <f t="shared" si="1"/>
        <v>2.9269926629605491E-2</v>
      </c>
      <c r="M6" s="15" t="str">
        <f t="shared" si="0"/>
        <v>NO</v>
      </c>
      <c r="N6" s="15" t="str">
        <f t="shared" si="0"/>
        <v>NO</v>
      </c>
      <c r="O6" s="7"/>
      <c r="P6" s="46">
        <f>+MIN(E6,J6,K6)</f>
        <v>186264</v>
      </c>
      <c r="Q6" s="46">
        <f>+MEDIAN(E6,J6,K6)</f>
        <v>186264</v>
      </c>
      <c r="R6" s="46">
        <f>+MAX(E6,J6,K6)</f>
        <v>197167.86722747367</v>
      </c>
      <c r="S6" s="47">
        <f t="shared" si="2"/>
        <v>2.9269926629605491E-2</v>
      </c>
      <c r="T6" s="7" t="b">
        <f>+AND(E6&lt;=Benchmark1,J6&lt;=Benchmark1,K6&lt;=Benchmark1)</f>
        <v>0</v>
      </c>
      <c r="U6" s="47" t="b">
        <f>+AND(E6&gt;Benchmark1,J6&gt;Benchmark1,K6&gt;Benchmark1)</f>
        <v>1</v>
      </c>
      <c r="V6" s="7" t="b">
        <f>+AND(E6&lt;=Benchmark2,J6&lt;=Benchmark2,K6&lt;=Benchmark2)</f>
        <v>0</v>
      </c>
      <c r="W6" s="47" t="b">
        <f>+AND(E6&gt;Benchmark2,J6&gt;Benchmark2,K6&gt;Benchmark2)</f>
        <v>1</v>
      </c>
      <c r="X6" s="12" t="b">
        <f>+AND(NOT(T6),NOT(U6))</f>
        <v>0</v>
      </c>
      <c r="Y6" s="12" t="b">
        <f>+AND(NOT(V6),NOT(W6))</f>
        <v>0</v>
      </c>
      <c r="AA6" s="12" t="s">
        <v>32</v>
      </c>
      <c r="AC6" s="20">
        <f>+D4</f>
        <v>0.79</v>
      </c>
      <c r="AD6" s="21">
        <f>+G4</f>
        <v>187641</v>
      </c>
      <c r="AE6" s="21"/>
      <c r="AF6" s="21" t="s">
        <v>23</v>
      </c>
      <c r="AG6" s="24">
        <f>+I4</f>
        <v>0.76</v>
      </c>
      <c r="AH6" s="21">
        <f>+AC9*AG6^2+AD9*AG6+AE9</f>
        <v>186263.99999999994</v>
      </c>
      <c r="AJ6" s="20">
        <f>+D5</f>
        <v>0.8</v>
      </c>
      <c r="AK6" s="21">
        <f>+G5</f>
        <v>187641</v>
      </c>
      <c r="AL6" s="21"/>
      <c r="AM6" s="21" t="s">
        <v>23</v>
      </c>
      <c r="AN6" s="24">
        <f>+I5</f>
        <v>0.76</v>
      </c>
      <c r="AO6" s="21">
        <f>+AJ9*AN6^2+AK9*AN6+AL9</f>
        <v>186264</v>
      </c>
      <c r="AQ6" s="20">
        <f>+D6</f>
        <v>0.9</v>
      </c>
      <c r="AR6" s="21">
        <f>+G6</f>
        <v>187641</v>
      </c>
      <c r="AS6" s="21"/>
      <c r="AT6" s="21" t="s">
        <v>23</v>
      </c>
      <c r="AU6" s="24">
        <f>+I6</f>
        <v>0.85</v>
      </c>
      <c r="AV6" s="21">
        <f>+AQ9*AU6^2+AR9*AU6+AS9</f>
        <v>186264</v>
      </c>
      <c r="AX6" s="20">
        <f>+D7</f>
        <v>0.9</v>
      </c>
      <c r="AY6" s="21">
        <f>+G7</f>
        <v>256075</v>
      </c>
      <c r="AZ6" s="21"/>
      <c r="BA6" s="21" t="s">
        <v>23</v>
      </c>
      <c r="BB6" s="24">
        <f>+I7</f>
        <v>0.86</v>
      </c>
      <c r="BC6" s="21">
        <f>+AX9*BB6^2+AY9*BB6+AZ9</f>
        <v>186264</v>
      </c>
      <c r="BN6" s="2"/>
    </row>
    <row r="7" spans="1:66" x14ac:dyDescent="0.25">
      <c r="A7" s="7" t="str">
        <f>+'Table 2-2 - inputs'!A7</f>
        <v>CV Death</v>
      </c>
      <c r="B7" s="11">
        <f>+'Table 2-2 - inputs'!B7</f>
        <v>0.86</v>
      </c>
      <c r="C7" s="11">
        <f>+'Table 2-2 - inputs'!C7</f>
        <v>0.82</v>
      </c>
      <c r="D7" s="11">
        <f>+'Table 2-2 - inputs'!D7</f>
        <v>0.9</v>
      </c>
      <c r="E7" s="12">
        <f>+'Table 2-2 - inputs'!E7</f>
        <v>186264</v>
      </c>
      <c r="F7" s="12">
        <f>+'Table 2-2 - inputs'!F7</f>
        <v>146453</v>
      </c>
      <c r="G7" s="12">
        <f>+'Table 2-2 - inputs'!G7</f>
        <v>256075</v>
      </c>
      <c r="H7" s="11">
        <f>+'Table 2-2 - inputs'!H7</f>
        <v>1</v>
      </c>
      <c r="I7" s="11">
        <f>+'Table 2-2 - inputs'!I7</f>
        <v>0.86</v>
      </c>
      <c r="J7" s="12">
        <f>+BC5</f>
        <v>561852.49999999441</v>
      </c>
      <c r="K7" s="12">
        <f>+BC6</f>
        <v>186264</v>
      </c>
      <c r="L7" s="13">
        <f t="shared" si="1"/>
        <v>1.0082154898423592</v>
      </c>
      <c r="M7" s="15" t="str">
        <f t="shared" si="0"/>
        <v>NO</v>
      </c>
      <c r="N7" s="15" t="str">
        <f t="shared" si="0"/>
        <v>NO</v>
      </c>
      <c r="O7" s="7"/>
      <c r="P7" s="46">
        <f>+MIN(E7,J7,K7)</f>
        <v>186264</v>
      </c>
      <c r="Q7" s="46">
        <f>+MEDIAN(E7,J7,K7)</f>
        <v>186264</v>
      </c>
      <c r="R7" s="46">
        <f>+MAX(E7,J7,K7)</f>
        <v>561852.49999999441</v>
      </c>
      <c r="S7" s="47">
        <f t="shared" si="2"/>
        <v>1.0082154898423592</v>
      </c>
      <c r="T7" s="7" t="b">
        <f>+AND(E7&lt;=Benchmark1,J7&lt;=Benchmark1,K7&lt;=Benchmark1)</f>
        <v>0</v>
      </c>
      <c r="U7" s="47" t="b">
        <f>+AND(E7&gt;Benchmark1,J7&gt;Benchmark1,K7&gt;Benchmark1)</f>
        <v>1</v>
      </c>
      <c r="V7" s="7" t="b">
        <f>+AND(E7&lt;=Benchmark2,J7&lt;=Benchmark2,K7&lt;=Benchmark2)</f>
        <v>0</v>
      </c>
      <c r="W7" s="47" t="b">
        <f>+AND(E7&gt;Benchmark2,J7&gt;Benchmark2,K7&gt;Benchmark2)</f>
        <v>1</v>
      </c>
      <c r="X7" s="12" t="b">
        <f>+AND(NOT(T7),NOT(U7))</f>
        <v>0</v>
      </c>
      <c r="Y7" s="12" t="b">
        <f>+AND(NOT(V7),NOT(W7))</f>
        <v>0</v>
      </c>
      <c r="AA7" s="12" t="s">
        <v>33</v>
      </c>
      <c r="AC7" s="23" cm="1">
        <f t="array" ref="AC7:AE7">+LINEST(AD4:AD6,AC4:AC6^{1,2})</f>
        <v>-338888.88888888457</v>
      </c>
      <c r="AD7" s="23">
        <v>571177.77777777158</v>
      </c>
      <c r="AE7" s="23">
        <v>-52088.888888886751</v>
      </c>
      <c r="AG7" s="22">
        <f>+OR(AG4=MIN(AG4:AG6,AC4:AC6),AG4=MAX(AG4:AG6,AC4:AC6))*1</f>
        <v>1</v>
      </c>
      <c r="AI7" s="5"/>
      <c r="AJ7" s="23" cm="1">
        <f t="array" ref="AJ7:AL7">+LINEST(AK4:AK6,AJ4:AJ6^{1,2})</f>
        <v>-163928.57142856909</v>
      </c>
      <c r="AK7" s="23">
        <v>290153.57142856804</v>
      </c>
      <c r="AL7" s="23">
        <v>60432.428571429788</v>
      </c>
      <c r="AM7" s="23"/>
      <c r="AN7" s="22">
        <f>+OR(AN4=MIN(AN4:AN6,AJ4:AJ6),AN4=MAX(AN4:AN6,AJ4:AJ6))*1</f>
        <v>1</v>
      </c>
      <c r="AQ7" s="23" cm="1">
        <f t="array" ref="AQ7:AS7">+LINEST(AR4:AR6,AQ4:AQ6^{1,2})</f>
        <v>-6.0519263111005734E-10</v>
      </c>
      <c r="AR7" s="23">
        <v>27540.000000001037</v>
      </c>
      <c r="AS7" s="23">
        <v>162854.99999999956</v>
      </c>
      <c r="AT7" s="23"/>
      <c r="AU7" s="22">
        <f>+OR(AU4=MIN(AU4:AU6,AQ4:AQ6),AU4=MAX(AU4:AU6,AQ4:AQ6))*1</f>
        <v>1</v>
      </c>
      <c r="AX7" s="23" cm="1">
        <f t="array" ref="AX7:AZ7">+LINEST(AY4:AY6,AX4:AX6^{1,2})</f>
        <v>9374999.9999997914</v>
      </c>
      <c r="AY7" s="23">
        <v>-14754724.99999965</v>
      </c>
      <c r="AZ7" s="23">
        <v>5941577.4999998529</v>
      </c>
      <c r="BA7" s="23"/>
      <c r="BB7" s="22">
        <f>+OR(BB4=MIN(BB4:BB6,AX4:AX6),BB4=MAX(BB4:BB6,AX4:AX6))*1</f>
        <v>1</v>
      </c>
      <c r="BN7" s="2"/>
    </row>
    <row r="8" spans="1:66" x14ac:dyDescent="0.25">
      <c r="A8" s="7"/>
      <c r="B8" s="11"/>
      <c r="C8" s="11"/>
      <c r="D8" s="15"/>
      <c r="E8" s="7"/>
      <c r="F8" s="7"/>
      <c r="G8" s="7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12"/>
      <c r="AD8" s="23" cm="1">
        <f t="array" ref="AD8:AE8">+LINEST(AD4:AD6,AC4:AC6^{1})</f>
        <v>56066.666666666606</v>
      </c>
      <c r="AE8" s="23">
        <v>143450.00000000003</v>
      </c>
      <c r="AG8" s="22">
        <f>+NOT(AG7)*1</f>
        <v>0</v>
      </c>
      <c r="AK8" s="23" cm="1">
        <f t="array" ref="AK8:AL8">+LINEST(AK4:AK6,AJ4:AJ6^{1})</f>
        <v>39077.02702702699</v>
      </c>
      <c r="AL8" s="23">
        <v>156435.20270270272</v>
      </c>
      <c r="AM8" s="23"/>
      <c r="AN8" s="22">
        <f>+NOT(AN7)*1</f>
        <v>0</v>
      </c>
      <c r="AR8" s="23" cm="1">
        <f t="array" ref="AR8:AS8">+LINEST(AR4:AR6,AQ4:AQ6^{1})</f>
        <v>27540.000000000018</v>
      </c>
      <c r="AS8" s="23">
        <v>162855</v>
      </c>
      <c r="AT8" s="23"/>
      <c r="AU8" s="22">
        <f>+NOT(AU7)*1</f>
        <v>0</v>
      </c>
      <c r="AY8" s="23" cm="1">
        <f t="array" ref="AY8:AZ8">+LINEST(AY4:AY6,AX4:AX6^{1})</f>
        <v>1370274.9999999993</v>
      </c>
      <c r="AZ8" s="23">
        <v>-982172.4999999993</v>
      </c>
      <c r="BA8" s="23"/>
      <c r="BB8" s="22">
        <f>+NOT(BB7)*1</f>
        <v>0</v>
      </c>
      <c r="BN8" s="2"/>
    </row>
    <row r="9" spans="1:66" x14ac:dyDescent="0.25">
      <c r="A9" s="7"/>
      <c r="B9" s="11"/>
      <c r="C9" s="11"/>
      <c r="D9" s="15"/>
      <c r="E9" s="7"/>
      <c r="F9" s="7"/>
      <c r="G9" s="7"/>
      <c r="H9" s="11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AA9" s="12"/>
      <c r="AC9" s="23">
        <f>+SUMPRODUCT(AC7:AC8,AG7:AG8)</f>
        <v>-338888.88888888457</v>
      </c>
      <c r="AD9" s="23">
        <f>+SUMPRODUCT(AD7:AD8,AG7:AG8)</f>
        <v>571177.77777777158</v>
      </c>
      <c r="AE9" s="23">
        <f>+SUMPRODUCT(AE7:AE8,AG7:AG8)</f>
        <v>-52088.888888886751</v>
      </c>
      <c r="AJ9" s="23">
        <f>+SUMPRODUCT(AJ7:AJ8,AN7:AN8)</f>
        <v>-163928.57142856909</v>
      </c>
      <c r="AK9" s="23">
        <f>+SUMPRODUCT(AK7:AK8,AN7:AN8)</f>
        <v>290153.57142856804</v>
      </c>
      <c r="AL9" s="23">
        <f>+SUMPRODUCT(AL7:AL8,AN7:AN8)</f>
        <v>60432.428571429788</v>
      </c>
      <c r="AQ9" s="23">
        <f>+SUMPRODUCT(AQ7:AQ8,AU7:AU8)</f>
        <v>-6.0519263111005734E-10</v>
      </c>
      <c r="AR9" s="23">
        <f>+SUMPRODUCT(AR7:AR8,AU7:AU8)</f>
        <v>27540.000000001037</v>
      </c>
      <c r="AS9" s="23">
        <f>+SUMPRODUCT(AS7:AS8,AU7:AU8)</f>
        <v>162854.99999999956</v>
      </c>
      <c r="AV9" s="4"/>
      <c r="AX9" s="23">
        <f>+SUMPRODUCT(AX7:AX8,BB7:BB8)</f>
        <v>9374999.9999997914</v>
      </c>
      <c r="AY9" s="23">
        <f>+SUMPRODUCT(AY7:AY8,BB7:BB8)</f>
        <v>-14754724.99999965</v>
      </c>
      <c r="AZ9" s="23">
        <f>+SUMPRODUCT(AZ7:AZ8,BB7:BB8)</f>
        <v>5941577.4999998529</v>
      </c>
      <c r="BN9" s="2"/>
    </row>
    <row r="10" spans="1:66" x14ac:dyDescent="0.25">
      <c r="A10" s="7"/>
      <c r="B10" s="11"/>
      <c r="C10" s="11"/>
      <c r="D10" s="15"/>
      <c r="E10" s="7"/>
      <c r="F10" s="7"/>
      <c r="G10" s="7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AA10" s="12"/>
      <c r="AC10" s="23"/>
      <c r="AD10" s="23"/>
      <c r="AE10" s="23"/>
      <c r="AJ10" s="23"/>
      <c r="AK10" s="23"/>
      <c r="AL10" s="23"/>
      <c r="AQ10" s="23"/>
      <c r="AR10" s="23"/>
      <c r="AS10" s="23"/>
      <c r="AV10" s="4"/>
      <c r="AX10" s="23"/>
      <c r="AY10" s="23"/>
      <c r="AZ10" s="23"/>
      <c r="BN10" s="2"/>
    </row>
    <row r="11" spans="1:66" x14ac:dyDescent="0.25">
      <c r="A11" s="10"/>
      <c r="B11" s="11"/>
      <c r="C11" s="11"/>
      <c r="D11" s="15"/>
      <c r="E11" s="7"/>
      <c r="F11" s="7"/>
      <c r="G11" s="7"/>
      <c r="H11" s="11"/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AA11" s="12"/>
      <c r="AC11" s="69"/>
      <c r="AD11" s="69"/>
      <c r="AE11" s="69"/>
      <c r="AF11" s="69"/>
      <c r="AG11" s="69"/>
      <c r="AH11" s="69"/>
      <c r="AJ11" s="69"/>
      <c r="AK11" s="69"/>
      <c r="AL11" s="69"/>
      <c r="AM11" s="69"/>
      <c r="AN11" s="69"/>
      <c r="AO11" s="69"/>
      <c r="AQ11" s="69"/>
      <c r="AR11" s="69"/>
      <c r="AS11" s="69"/>
      <c r="AT11" s="69"/>
      <c r="AU11" s="69"/>
      <c r="AV11" s="69"/>
      <c r="AX11" s="69"/>
      <c r="AY11" s="69"/>
      <c r="AZ11" s="69"/>
      <c r="BA11" s="69"/>
      <c r="BB11" s="69"/>
      <c r="BC11" s="69"/>
      <c r="BN11" s="2"/>
    </row>
    <row r="12" spans="1:66" x14ac:dyDescent="0.25">
      <c r="A12" s="7"/>
      <c r="B12" s="29"/>
      <c r="C12" s="29"/>
      <c r="D12" s="29"/>
      <c r="E12" s="12"/>
      <c r="F12" s="12"/>
      <c r="G12" s="12"/>
      <c r="H12" s="11"/>
      <c r="I12" s="11"/>
      <c r="J12" s="12"/>
      <c r="K12" s="12"/>
      <c r="L12" s="13"/>
      <c r="M12" s="15"/>
      <c r="N12" s="15"/>
      <c r="O12" s="7"/>
      <c r="P12" s="46"/>
      <c r="Q12" s="46"/>
      <c r="R12" s="46"/>
      <c r="S12" s="47"/>
      <c r="T12" s="7"/>
      <c r="U12" s="47"/>
      <c r="V12" s="7"/>
      <c r="W12" s="47"/>
      <c r="X12" s="12"/>
      <c r="Y12" s="12"/>
      <c r="AA12" s="12"/>
      <c r="AC12" s="20"/>
      <c r="AD12" s="21"/>
      <c r="AE12" s="21"/>
      <c r="AF12" s="21"/>
      <c r="AG12" s="24"/>
      <c r="AH12" s="24"/>
      <c r="AJ12" s="20"/>
      <c r="AK12" s="21"/>
      <c r="AL12" s="21"/>
      <c r="AM12" s="21"/>
      <c r="AN12" s="24"/>
      <c r="AO12" s="24"/>
      <c r="AQ12" s="20"/>
      <c r="AR12" s="21"/>
      <c r="AS12" s="21"/>
      <c r="AT12" s="21"/>
      <c r="AU12" s="24"/>
      <c r="AV12" s="24"/>
      <c r="AX12" s="20"/>
      <c r="AY12" s="21"/>
      <c r="AZ12" s="21"/>
      <c r="BA12" s="21"/>
      <c r="BB12" s="24"/>
      <c r="BC12" s="24"/>
    </row>
    <row r="13" spans="1:66" x14ac:dyDescent="0.25">
      <c r="A13" s="7"/>
      <c r="B13" s="29"/>
      <c r="C13" s="29"/>
      <c r="D13" s="29"/>
      <c r="E13" s="12"/>
      <c r="F13" s="29"/>
      <c r="G13" s="29"/>
      <c r="H13" s="11"/>
      <c r="I13" s="11"/>
      <c r="J13" s="12"/>
      <c r="K13" s="12"/>
      <c r="L13" s="13"/>
      <c r="M13" s="15"/>
      <c r="N13" s="15"/>
      <c r="O13" s="7"/>
      <c r="P13" s="46"/>
      <c r="Q13" s="46"/>
      <c r="R13" s="46"/>
      <c r="S13" s="47"/>
      <c r="T13" s="7"/>
      <c r="U13" s="47"/>
      <c r="V13" s="7"/>
      <c r="W13" s="47"/>
      <c r="X13" s="12"/>
      <c r="Y13" s="12"/>
      <c r="AA13" s="12"/>
      <c r="AC13" s="20"/>
      <c r="AD13" s="21"/>
      <c r="AE13" s="21"/>
      <c r="AF13" s="21"/>
      <c r="AG13" s="24"/>
      <c r="AH13" s="21"/>
      <c r="AJ13" s="20"/>
      <c r="AK13" s="21"/>
      <c r="AL13" s="21"/>
      <c r="AM13" s="21"/>
      <c r="AN13" s="24"/>
      <c r="AO13" s="21"/>
      <c r="AQ13" s="20"/>
      <c r="AR13" s="21"/>
      <c r="AS13" s="21"/>
      <c r="AT13" s="21"/>
      <c r="AU13" s="24"/>
      <c r="AV13" s="21"/>
      <c r="AX13" s="20"/>
      <c r="AY13" s="21"/>
      <c r="AZ13" s="21"/>
      <c r="BA13" s="21"/>
      <c r="BB13" s="24"/>
      <c r="BC13" s="21"/>
    </row>
    <row r="14" spans="1:66" x14ac:dyDescent="0.25">
      <c r="A14" s="7"/>
      <c r="B14" s="29"/>
      <c r="C14" s="45"/>
      <c r="D14" s="29"/>
      <c r="E14" s="12"/>
      <c r="F14" s="12"/>
      <c r="G14" s="12"/>
      <c r="H14" s="11"/>
      <c r="I14" s="11"/>
      <c r="J14" s="12"/>
      <c r="K14" s="12"/>
      <c r="L14" s="13"/>
      <c r="M14" s="15"/>
      <c r="N14" s="15"/>
      <c r="O14" s="7"/>
      <c r="P14" s="46"/>
      <c r="Q14" s="46"/>
      <c r="R14" s="46"/>
      <c r="S14" s="47"/>
      <c r="T14" s="7"/>
      <c r="U14" s="47"/>
      <c r="V14" s="7"/>
      <c r="W14" s="47"/>
      <c r="X14" s="12"/>
      <c r="Y14" s="12"/>
      <c r="AA14" s="12"/>
      <c r="AC14" s="20"/>
      <c r="AD14" s="21"/>
      <c r="AE14" s="21"/>
      <c r="AF14" s="21"/>
      <c r="AG14" s="24"/>
      <c r="AH14" s="21"/>
      <c r="AJ14" s="20"/>
      <c r="AK14" s="21"/>
      <c r="AL14" s="21"/>
      <c r="AM14" s="21"/>
      <c r="AN14" s="24"/>
      <c r="AO14" s="21"/>
      <c r="AQ14" s="20"/>
      <c r="AR14" s="21"/>
      <c r="AS14" s="21"/>
      <c r="AT14" s="21"/>
      <c r="AU14" s="24"/>
      <c r="AV14" s="21"/>
      <c r="AX14" s="20"/>
      <c r="AY14" s="21"/>
      <c r="AZ14" s="21"/>
      <c r="BA14" s="21"/>
      <c r="BB14" s="24"/>
      <c r="BC14" s="21"/>
    </row>
    <row r="15" spans="1:66" x14ac:dyDescent="0.25">
      <c r="A15" s="7"/>
      <c r="B15" s="44"/>
      <c r="C15" s="44"/>
      <c r="D15" s="44"/>
      <c r="E15" s="12"/>
      <c r="F15" s="12"/>
      <c r="G15" s="12"/>
      <c r="H15" s="11"/>
      <c r="I15" s="11"/>
      <c r="J15" s="12"/>
      <c r="K15" s="12"/>
      <c r="L15" s="13"/>
      <c r="M15" s="15"/>
      <c r="N15" s="15"/>
      <c r="O15" s="7"/>
      <c r="P15" s="46"/>
      <c r="Q15" s="46"/>
      <c r="R15" s="46"/>
      <c r="S15" s="47"/>
      <c r="T15" s="7"/>
      <c r="U15" s="47"/>
      <c r="V15" s="7"/>
      <c r="W15" s="47"/>
      <c r="X15" s="12"/>
      <c r="Y15" s="12"/>
      <c r="AA15" s="12"/>
      <c r="AC15" s="23"/>
      <c r="AD15" s="23"/>
      <c r="AE15" s="23"/>
      <c r="AG15" s="22"/>
      <c r="AJ15" s="23"/>
      <c r="AK15" s="23"/>
      <c r="AL15" s="23"/>
      <c r="AM15" s="23"/>
      <c r="AN15" s="22"/>
      <c r="AQ15" s="23"/>
      <c r="AR15" s="23"/>
      <c r="AS15" s="23"/>
      <c r="AT15" s="23"/>
      <c r="AU15" s="22"/>
      <c r="AX15" s="23"/>
      <c r="AY15" s="23"/>
      <c r="AZ15" s="23"/>
      <c r="BA15" s="23"/>
      <c r="BB15" s="22"/>
    </row>
    <row r="16" spans="1:66" x14ac:dyDescent="0.25">
      <c r="A16" s="7"/>
      <c r="B16" s="11"/>
      <c r="C16" s="11"/>
      <c r="D16" s="11"/>
      <c r="E16" s="12"/>
      <c r="F16" s="12"/>
      <c r="G16" s="12"/>
      <c r="H16" s="11"/>
      <c r="I16" s="11"/>
      <c r="J16" s="12"/>
      <c r="K16" s="12"/>
      <c r="L16" s="13"/>
      <c r="M16" s="25"/>
      <c r="N16" s="25"/>
      <c r="P16" s="26"/>
      <c r="Q16" s="26"/>
      <c r="R16" s="26"/>
      <c r="S16" s="14"/>
      <c r="U16" s="14"/>
      <c r="W16" s="14"/>
      <c r="X16" s="12"/>
      <c r="Y16" s="12"/>
      <c r="AA16" s="12"/>
      <c r="AD16" s="23"/>
      <c r="AE16" s="23"/>
      <c r="AG16" s="22"/>
      <c r="AK16" s="23"/>
      <c r="AL16" s="23"/>
      <c r="AM16" s="23"/>
      <c r="AN16" s="22"/>
      <c r="AR16" s="23"/>
      <c r="AS16" s="23"/>
      <c r="AT16" s="23"/>
      <c r="AU16" s="22"/>
      <c r="AY16" s="23"/>
      <c r="AZ16" s="23"/>
      <c r="BA16" s="23"/>
      <c r="BB16" s="22"/>
    </row>
    <row r="17" spans="1:54" x14ac:dyDescent="0.25">
      <c r="A17" s="7"/>
      <c r="B17" s="11"/>
      <c r="C17" s="11"/>
      <c r="D17" s="11"/>
      <c r="E17" s="12"/>
      <c r="F17" s="12"/>
      <c r="G17" s="12"/>
      <c r="H17" s="11"/>
      <c r="I17" s="11"/>
      <c r="J17" s="12"/>
      <c r="K17" s="12"/>
      <c r="L17" s="13"/>
      <c r="M17" s="25"/>
      <c r="N17" s="25"/>
      <c r="P17" s="26"/>
      <c r="Q17" s="26"/>
      <c r="R17" s="26"/>
      <c r="S17" s="14"/>
      <c r="U17" s="14"/>
      <c r="W17" s="14"/>
      <c r="X17" s="12"/>
      <c r="Y17" s="12"/>
      <c r="AA17" s="12"/>
      <c r="AC17" s="23"/>
      <c r="AD17" s="23"/>
      <c r="AE17" s="23"/>
      <c r="AJ17" s="23"/>
      <c r="AK17" s="23"/>
      <c r="AL17" s="23"/>
      <c r="AQ17" s="23"/>
      <c r="AR17" s="23"/>
      <c r="AS17" s="23"/>
      <c r="AV17" s="4"/>
      <c r="AX17" s="23"/>
      <c r="AY17" s="23"/>
      <c r="AZ17" s="23"/>
    </row>
    <row r="18" spans="1:54" x14ac:dyDescent="0.25">
      <c r="A18" s="7"/>
      <c r="B18" s="11"/>
      <c r="C18" s="11"/>
      <c r="D18" s="11"/>
      <c r="E18" s="12"/>
      <c r="F18" s="12"/>
      <c r="G18" s="12"/>
      <c r="H18" s="11"/>
      <c r="I18" s="11"/>
      <c r="J18" s="12"/>
      <c r="K18" s="12"/>
      <c r="L18" s="13"/>
      <c r="M18" s="25"/>
      <c r="N18" s="25"/>
      <c r="P18" s="26"/>
      <c r="Q18" s="26"/>
      <c r="R18" s="26"/>
      <c r="S18" s="14"/>
      <c r="U18" s="14"/>
      <c r="W18" s="14"/>
      <c r="X18" s="12"/>
      <c r="Y18" s="12"/>
      <c r="AA18" s="12"/>
      <c r="AC18" s="23"/>
      <c r="AD18" s="23"/>
      <c r="AE18" s="23"/>
      <c r="AG18" s="22"/>
      <c r="AJ18" s="23"/>
      <c r="AK18" s="23"/>
      <c r="AL18" s="23"/>
      <c r="AM18" s="23"/>
      <c r="AN18" s="22"/>
      <c r="AQ18" s="23"/>
      <c r="AR18" s="23"/>
      <c r="AS18" s="23"/>
      <c r="AT18" s="23"/>
      <c r="AU18" s="22"/>
      <c r="AX18" s="23"/>
      <c r="AY18" s="23"/>
      <c r="AZ18" s="23"/>
      <c r="BA18" s="23"/>
      <c r="BB18" s="22"/>
    </row>
    <row r="19" spans="1:54" x14ac:dyDescent="0.25">
      <c r="AA19" s="12"/>
    </row>
    <row r="20" spans="1:54" x14ac:dyDescent="0.25">
      <c r="AA20" s="12"/>
    </row>
    <row r="21" spans="1:54" x14ac:dyDescent="0.25">
      <c r="AA21" s="12"/>
    </row>
    <row r="22" spans="1:54" x14ac:dyDescent="0.25">
      <c r="B22" s="16"/>
      <c r="C22" s="16"/>
      <c r="E22" s="16"/>
      <c r="F22" s="16"/>
      <c r="AA22" s="12"/>
    </row>
    <row r="23" spans="1:54" x14ac:dyDescent="0.25">
      <c r="B23" s="17"/>
      <c r="C23" s="17"/>
      <c r="AA23" s="12"/>
    </row>
    <row r="24" spans="1:54" x14ac:dyDescent="0.25">
      <c r="AA24" s="12"/>
    </row>
    <row r="25" spans="1:54" x14ac:dyDescent="0.25">
      <c r="AA25" s="12"/>
    </row>
    <row r="26" spans="1:54" x14ac:dyDescent="0.25">
      <c r="AA26" s="12"/>
    </row>
    <row r="27" spans="1:54" x14ac:dyDescent="0.25">
      <c r="B27" s="16"/>
      <c r="C27" s="16"/>
      <c r="E27" s="16"/>
      <c r="F27" s="16"/>
      <c r="AA27" s="12"/>
    </row>
    <row r="31" spans="1:54" x14ac:dyDescent="0.25">
      <c r="B31" s="16"/>
      <c r="C31" s="16"/>
      <c r="F31" s="16"/>
      <c r="G31" s="16"/>
    </row>
    <row r="53" spans="1:9" x14ac:dyDescent="0.25">
      <c r="A53" s="3"/>
    </row>
    <row r="54" spans="1:9" x14ac:dyDescent="0.25">
      <c r="B54" s="16"/>
      <c r="C54" s="16"/>
      <c r="D54" s="2"/>
      <c r="E54" s="2"/>
      <c r="F54" s="16"/>
      <c r="G54" s="16"/>
      <c r="H54" s="14"/>
      <c r="I54" s="14"/>
    </row>
    <row r="57" spans="1:9" x14ac:dyDescent="0.25">
      <c r="A57" s="3"/>
    </row>
    <row r="58" spans="1:9" x14ac:dyDescent="0.25">
      <c r="B58" s="16"/>
      <c r="C58" s="16"/>
      <c r="D58" s="2"/>
      <c r="E58" s="2"/>
      <c r="F58" s="16"/>
      <c r="G58" s="16"/>
      <c r="H58" s="14"/>
      <c r="I58" s="14"/>
    </row>
  </sheetData>
  <mergeCells count="13">
    <mergeCell ref="B1:D1"/>
    <mergeCell ref="E1:G1"/>
    <mergeCell ref="H1:I1"/>
    <mergeCell ref="J1:K1"/>
    <mergeCell ref="L1:N1"/>
    <mergeCell ref="AJ2:AO2"/>
    <mergeCell ref="AQ2:AV2"/>
    <mergeCell ref="AX2:BC2"/>
    <mergeCell ref="AC11:AH11"/>
    <mergeCell ref="AJ11:AO11"/>
    <mergeCell ref="AQ11:AV11"/>
    <mergeCell ref="AX11:BC11"/>
    <mergeCell ref="AC2:AH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B3A-E37F-446C-80C8-B7B6239A483B}">
  <sheetPr>
    <tabColor rgb="FF92D050"/>
  </sheetPr>
  <dimension ref="A1:U14"/>
  <sheetViews>
    <sheetView workbookViewId="0">
      <selection activeCell="M22" sqref="M22"/>
    </sheetView>
  </sheetViews>
  <sheetFormatPr defaultRowHeight="15" x14ac:dyDescent="0.25"/>
  <cols>
    <col min="1" max="1" width="20.140625" customWidth="1"/>
    <col min="2" max="2" width="7.42578125" customWidth="1"/>
    <col min="3" max="3" width="7.5703125" customWidth="1"/>
    <col min="4" max="4" width="6.5703125" customWidth="1"/>
    <col min="5" max="5" width="8.140625" customWidth="1"/>
    <col min="6" max="6" width="8.5703125" customWidth="1"/>
    <col min="7" max="7" width="8.42578125" customWidth="1"/>
    <col min="8" max="8" width="6.85546875" customWidth="1"/>
    <col min="9" max="9" width="7" customWidth="1"/>
  </cols>
  <sheetData>
    <row r="1" spans="1:21" ht="39.75" customHeight="1" x14ac:dyDescent="0.25">
      <c r="A1" s="35"/>
      <c r="B1" s="76" t="str">
        <f>+'Table 2-1'!B1</f>
        <v>ICER assumptions for LDL-C reduction (i)</v>
      </c>
      <c r="C1" s="76"/>
      <c r="D1" s="76"/>
      <c r="E1" s="76" t="str">
        <f>+'Table 2-1'!E1</f>
        <v>CE ratios from ICER ($000/QALY) (ii)</v>
      </c>
      <c r="F1" s="76"/>
      <c r="G1" s="76"/>
      <c r="H1" s="76" t="str">
        <f>+'Table 2-1'!H1</f>
        <v>Expert group assumptions for LDL-C reduction (iii)</v>
      </c>
      <c r="I1" s="76"/>
      <c r="J1" s="76" t="str">
        <f>+'Table 2-1'!J1</f>
        <v>Expert group imputed CE ratios (iv)</v>
      </c>
      <c r="K1" s="76"/>
      <c r="L1" s="42" t="str">
        <f>+'Table 2-1'!L1</f>
        <v>Influence measures (v)</v>
      </c>
      <c r="M1" s="74" t="s">
        <v>117</v>
      </c>
      <c r="N1" s="75"/>
      <c r="O1" s="3"/>
    </row>
    <row r="2" spans="1:21" ht="36" customHeight="1" x14ac:dyDescent="0.25">
      <c r="A2" s="36"/>
      <c r="B2" s="37" t="str">
        <f>+'Table 2-1'!B2</f>
        <v>Base case</v>
      </c>
      <c r="C2" s="37" t="str">
        <f>+'Table 2-1'!C2</f>
        <v>Lower bound</v>
      </c>
      <c r="D2" s="37" t="str">
        <f>+'Table 2-1'!D2</f>
        <v>Upper bound</v>
      </c>
      <c r="E2" s="37" t="str">
        <f>+'Table 2-1'!E2</f>
        <v>Base case</v>
      </c>
      <c r="F2" s="37" t="str">
        <f>+'Table 2-1'!F2</f>
        <v>Lower bound assumption</v>
      </c>
      <c r="G2" s="37" t="str">
        <f>+'Table 2-1'!G2</f>
        <v>Upper bound assumption</v>
      </c>
      <c r="H2" s="37" t="str">
        <f>+'Table 2-1'!H2</f>
        <v>Expert Group 1</v>
      </c>
      <c r="I2" s="37" t="str">
        <f>+'Table 2-1'!I2</f>
        <v>Expert Group 2</v>
      </c>
      <c r="J2" s="37" t="str">
        <f>+'Table 2-1'!J2</f>
        <v>Expert Group 1</v>
      </c>
      <c r="K2" s="37" t="str">
        <f>+'Table 2-1'!K2</f>
        <v>Expert Group 2</v>
      </c>
      <c r="L2" s="37" t="str">
        <f>+'Table 2-1'!L2</f>
        <v>Avg pct deviation</v>
      </c>
      <c r="M2" s="37" t="str">
        <f>+'Table 2-1'!M2</f>
        <v>Cross $100K benchmark</v>
      </c>
      <c r="N2" s="37" t="str">
        <f>+'Table 2-1'!N2</f>
        <v>Cross $150K benchmark</v>
      </c>
    </row>
    <row r="3" spans="1:21" x14ac:dyDescent="0.25">
      <c r="A3" s="71" t="str">
        <f>+'Table 2-1'!A4</f>
        <v>Based on dataset used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  <c r="U3" s="2"/>
    </row>
    <row r="4" spans="1:21" x14ac:dyDescent="0.25">
      <c r="A4" s="36" t="str">
        <f>+'Table 2-2'!A4</f>
        <v>ACS</v>
      </c>
      <c r="B4" s="38">
        <f>+'Table 2-2'!B4</f>
        <v>0.76</v>
      </c>
      <c r="C4" s="38">
        <f>+'Table 2-2'!C4</f>
        <v>0.73</v>
      </c>
      <c r="D4" s="38">
        <f>+'Table 2-2'!D4</f>
        <v>0.79</v>
      </c>
      <c r="E4" s="64">
        <f>+ROUND('Table 2-2'!E4/CE_Scale,RoundPlace)</f>
        <v>186.26</v>
      </c>
      <c r="F4" s="64">
        <f>+ROUND('Table 2-2'!F4/CE_Scale,RoundPlace)</f>
        <v>184.28</v>
      </c>
      <c r="G4" s="64">
        <f>+ROUND('Table 2-2'!G4/CE_Scale,RoundPlace)</f>
        <v>187.64</v>
      </c>
      <c r="H4" s="38">
        <f>+'Table 2-2'!H4</f>
        <v>0.53050039025236329</v>
      </c>
      <c r="I4" s="38">
        <f>+'Table 2-2'!I4</f>
        <v>0.76</v>
      </c>
      <c r="J4" s="64">
        <f>+ROUND('Table 2-2'!J4/CE_Scale,RoundPlace)</f>
        <v>155.55000000000001</v>
      </c>
      <c r="K4" s="64">
        <f>+ROUND('Table 2-2'!K4/CE_Scale,RoundPlace)</f>
        <v>186.26</v>
      </c>
      <c r="L4" s="40">
        <f>+'Table 2-2'!L4</f>
        <v>8.2454419308474164E-2</v>
      </c>
      <c r="M4" s="48" t="str">
        <f>+'Table 2-2'!M4</f>
        <v>NO</v>
      </c>
      <c r="N4" s="48" t="str">
        <f>+'Table 2-2'!N4</f>
        <v>NO</v>
      </c>
      <c r="U4" s="2"/>
    </row>
    <row r="5" spans="1:21" x14ac:dyDescent="0.25">
      <c r="A5" s="36" t="str">
        <f>+'Table 2-2'!A5</f>
        <v>Elective revascularization</v>
      </c>
      <c r="B5" s="38">
        <f>+'Table 2-2'!B5</f>
        <v>0.76</v>
      </c>
      <c r="C5" s="38">
        <f>+'Table 2-2'!C5</f>
        <v>0.73</v>
      </c>
      <c r="D5" s="38">
        <f>+'Table 2-2'!D5</f>
        <v>0.8</v>
      </c>
      <c r="E5" s="64">
        <f>+ROUND('Table 2-2'!E5/CE_Scale,RoundPlace)</f>
        <v>186.26</v>
      </c>
      <c r="F5" s="64">
        <f>+ROUND('Table 2-2'!F5/CE_Scale,RoundPlace)</f>
        <v>184.89</v>
      </c>
      <c r="G5" s="64">
        <f>+ROUND('Table 2-2'!G5/CE_Scale,RoundPlace)</f>
        <v>187.64</v>
      </c>
      <c r="H5" s="38">
        <f>+'Table 2-2'!H5</f>
        <v>0.53050039025236329</v>
      </c>
      <c r="I5" s="38">
        <f>+'Table 2-2'!I5</f>
        <v>0.76</v>
      </c>
      <c r="J5" s="64">
        <f>+ROUND('Table 2-2'!J5/CE_Scale,RoundPlace)</f>
        <v>168.22</v>
      </c>
      <c r="K5" s="64">
        <f>+ROUND('Table 2-2'!K5/CE_Scale,RoundPlace)</f>
        <v>186.26</v>
      </c>
      <c r="L5" s="40">
        <f>+'Table 2-2'!L5</f>
        <v>4.8424588937756509E-2</v>
      </c>
      <c r="M5" s="48" t="str">
        <f>+'Table 2-2'!M5</f>
        <v>NO</v>
      </c>
      <c r="N5" s="48" t="str">
        <f>+'Table 2-2'!N5</f>
        <v>NO</v>
      </c>
      <c r="U5" s="2"/>
    </row>
    <row r="6" spans="1:21" x14ac:dyDescent="0.25">
      <c r="A6" s="36" t="str">
        <f>+'Table 2-2'!A6</f>
        <v>Stroke</v>
      </c>
      <c r="B6" s="38">
        <f>+'Table 2-2'!B6</f>
        <v>0.85</v>
      </c>
      <c r="C6" s="38">
        <f>+'Table 2-2'!C6</f>
        <v>0.8</v>
      </c>
      <c r="D6" s="38">
        <f>+'Table 2-2'!D6</f>
        <v>0.9</v>
      </c>
      <c r="E6" s="64">
        <f>+ROUND('Table 2-2'!E6/CE_Scale,RoundPlace)</f>
        <v>186.26</v>
      </c>
      <c r="F6" s="64">
        <f>+ROUND('Table 2-2'!F6/CE_Scale,RoundPlace)</f>
        <v>184.89</v>
      </c>
      <c r="G6" s="64">
        <f>+ROUND('Table 2-2'!G6/CE_Scale,RoundPlace)</f>
        <v>187.64</v>
      </c>
      <c r="H6" s="38">
        <f>+'Table 2-2'!H6</f>
        <v>1.2459283670106669</v>
      </c>
      <c r="I6" s="38">
        <f>+'Table 2-2'!I6</f>
        <v>0.85</v>
      </c>
      <c r="J6" s="64">
        <f>+ROUND('Table 2-2'!J6/CE_Scale,RoundPlace)</f>
        <v>197.17</v>
      </c>
      <c r="K6" s="64">
        <f>+ROUND('Table 2-2'!K6/CE_Scale,RoundPlace)</f>
        <v>186.26</v>
      </c>
      <c r="L6" s="40">
        <f>+'Table 2-2'!L6</f>
        <v>2.9269926629605491E-2</v>
      </c>
      <c r="M6" s="48" t="str">
        <f>+'Table 2-2'!M6</f>
        <v>NO</v>
      </c>
      <c r="N6" s="48" t="str">
        <f>+'Table 2-2'!N6</f>
        <v>NO</v>
      </c>
      <c r="U6" s="2"/>
    </row>
    <row r="7" spans="1:21" x14ac:dyDescent="0.25">
      <c r="A7" s="36" t="str">
        <f>+'Table 2-2'!A7</f>
        <v>CV Death</v>
      </c>
      <c r="B7" s="38">
        <f>+'Table 2-2'!B7</f>
        <v>0.86</v>
      </c>
      <c r="C7" s="38">
        <f>+'Table 2-2'!C7</f>
        <v>0.82</v>
      </c>
      <c r="D7" s="38">
        <f>+'Table 2-2'!D7</f>
        <v>0.9</v>
      </c>
      <c r="E7" s="64">
        <f>+ROUND('Table 2-2'!E7/CE_Scale,RoundPlace)</f>
        <v>186.26</v>
      </c>
      <c r="F7" s="64">
        <f>+ROUND('Table 2-2'!F7/CE_Scale,RoundPlace)</f>
        <v>146.44999999999999</v>
      </c>
      <c r="G7" s="64">
        <f>+ROUND('Table 2-2'!G7/CE_Scale,RoundPlace)</f>
        <v>256.08</v>
      </c>
      <c r="H7" s="38">
        <f>+'Table 2-2'!H7</f>
        <v>1</v>
      </c>
      <c r="I7" s="38">
        <f>+'Table 2-2'!I7</f>
        <v>0.86</v>
      </c>
      <c r="J7" s="64">
        <f>+ROUND('Table 2-2'!J7/CE_Scale,RoundPlace)</f>
        <v>561.85</v>
      </c>
      <c r="K7" s="64">
        <f>+ROUND('Table 2-2'!K7/CE_Scale,RoundPlace)</f>
        <v>186.26</v>
      </c>
      <c r="L7" s="40">
        <f>+'Table 2-2'!L7</f>
        <v>1.0082154898423592</v>
      </c>
      <c r="M7" s="48" t="str">
        <f>+'Table 2-2'!M7</f>
        <v>NO</v>
      </c>
      <c r="N7" s="48" t="str">
        <f>+'Table 2-2'!N7</f>
        <v>NO</v>
      </c>
      <c r="U7" s="2"/>
    </row>
    <row r="8" spans="1:21" hidden="1" x14ac:dyDescent="0.25">
      <c r="A8" s="71">
        <f>+'Table 2-2'!A11</f>
        <v>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3"/>
    </row>
    <row r="9" spans="1:21" hidden="1" x14ac:dyDescent="0.25">
      <c r="A9" s="36">
        <f>+'Table 2-2'!A12</f>
        <v>0</v>
      </c>
      <c r="B9" s="38" t="e">
        <f>+'Table 2-1'!#REF!</f>
        <v>#REF!</v>
      </c>
      <c r="C9" s="38" t="e">
        <f>+'Table 2-1'!#REF!</f>
        <v>#REF!</v>
      </c>
      <c r="D9" s="38" t="e">
        <f>+'Table 2-1'!#REF!</f>
        <v>#REF!</v>
      </c>
      <c r="E9" s="39">
        <f>+ROUND('Table 2-2'!E12/CE_Scale,RoundPlace)</f>
        <v>0</v>
      </c>
      <c r="F9" s="39">
        <f>+ROUND('Table 2-2'!F12/CE_Scale,RoundPlace)</f>
        <v>0</v>
      </c>
      <c r="G9" s="39">
        <f>+ROUND('Table 2-2'!G12/CE_Scale,RoundPlace)</f>
        <v>0</v>
      </c>
      <c r="H9" s="38">
        <f>+'Table 2-2'!H12</f>
        <v>0</v>
      </c>
      <c r="I9" s="38">
        <f>+'Table 2-2'!I12</f>
        <v>0</v>
      </c>
      <c r="J9" s="39">
        <f>+ROUND('Table 2-2'!J12/CE_Scale,RoundPlace)</f>
        <v>0</v>
      </c>
      <c r="K9" s="39">
        <f>+ROUND('Table 2-2'!K12/CE_Scale,RoundPlace)</f>
        <v>0</v>
      </c>
      <c r="L9" s="40">
        <f>+'Table 2-2'!L12</f>
        <v>0</v>
      </c>
      <c r="M9" s="40">
        <f>+'Table 2-2'!M12</f>
        <v>0</v>
      </c>
      <c r="N9" s="40">
        <f>+'Table 2-2'!N12</f>
        <v>0</v>
      </c>
    </row>
    <row r="10" spans="1:21" hidden="1" x14ac:dyDescent="0.25">
      <c r="A10" s="36">
        <f>+'Table 2-2'!A13</f>
        <v>0</v>
      </c>
      <c r="B10" s="38" t="e">
        <f>+'Table 2-1'!#REF!</f>
        <v>#REF!</v>
      </c>
      <c r="C10" s="38" t="e">
        <f>+'Table 2-1'!#REF!</f>
        <v>#REF!</v>
      </c>
      <c r="D10" s="38" t="e">
        <f>+'Table 2-1'!#REF!</f>
        <v>#REF!</v>
      </c>
      <c r="E10" s="39">
        <f>+ROUND('Table 2-2'!E13/CE_Scale,RoundPlace)</f>
        <v>0</v>
      </c>
      <c r="F10" s="39">
        <f>+ROUND('Table 2-2'!F13/CE_Scale,RoundPlace)</f>
        <v>0</v>
      </c>
      <c r="G10" s="39">
        <f>+ROUND('Table 2-2'!G13/CE_Scale,RoundPlace)</f>
        <v>0</v>
      </c>
      <c r="H10" s="38">
        <f>+'Table 2-2'!H13</f>
        <v>0</v>
      </c>
      <c r="I10" s="38">
        <f>+'Table 2-2'!I13</f>
        <v>0</v>
      </c>
      <c r="J10" s="39">
        <f>+ROUND('Table 2-2'!J13/CE_Scale,RoundPlace)</f>
        <v>0</v>
      </c>
      <c r="K10" s="39">
        <f>+ROUND('Table 2-2'!K13/CE_Scale,RoundPlace)</f>
        <v>0</v>
      </c>
      <c r="L10" s="40">
        <f>+'Table 2-2'!L13</f>
        <v>0</v>
      </c>
      <c r="M10" s="40">
        <f>+'Table 2-2'!M13</f>
        <v>0</v>
      </c>
      <c r="N10" s="40">
        <f>+'Table 2-2'!N13</f>
        <v>0</v>
      </c>
    </row>
    <row r="11" spans="1:21" hidden="1" x14ac:dyDescent="0.25">
      <c r="A11" s="36">
        <f>+'Table 2-2'!A14</f>
        <v>0</v>
      </c>
      <c r="B11" s="38" t="e">
        <f>+'Table 2-1'!#REF!</f>
        <v>#REF!</v>
      </c>
      <c r="C11" s="38" t="e">
        <f>+'Table 2-1'!#REF!</f>
        <v>#REF!</v>
      </c>
      <c r="D11" s="38" t="e">
        <f>+'Table 2-1'!#REF!</f>
        <v>#REF!</v>
      </c>
      <c r="E11" s="39">
        <f>+ROUND('Table 2-2'!E14/CE_Scale,RoundPlace)</f>
        <v>0</v>
      </c>
      <c r="F11" s="39">
        <f>+ROUND('Table 2-2'!F14/CE_Scale,RoundPlace)</f>
        <v>0</v>
      </c>
      <c r="G11" s="39">
        <f>+ROUND('Table 2-2'!G14/CE_Scale,RoundPlace)</f>
        <v>0</v>
      </c>
      <c r="H11" s="38">
        <f>+'Table 2-2'!H14</f>
        <v>0</v>
      </c>
      <c r="I11" s="38">
        <f>+'Table 2-2'!I14</f>
        <v>0</v>
      </c>
      <c r="J11" s="39">
        <f>+ROUND('Table 2-2'!J14/CE_Scale,RoundPlace)</f>
        <v>0</v>
      </c>
      <c r="K11" s="39">
        <f>+ROUND('Table 2-2'!K14/CE_Scale,RoundPlace)</f>
        <v>0</v>
      </c>
      <c r="L11" s="40">
        <f>+'Table 2-2'!L14</f>
        <v>0</v>
      </c>
      <c r="M11" s="40">
        <f>+'Table 2-2'!M14</f>
        <v>0</v>
      </c>
      <c r="N11" s="40">
        <f>+'Table 2-2'!N14</f>
        <v>0</v>
      </c>
    </row>
    <row r="12" spans="1:21" hidden="1" x14ac:dyDescent="0.25">
      <c r="A12" s="36">
        <f>+'Table 2-2'!A15</f>
        <v>0</v>
      </c>
      <c r="B12" s="38" t="e">
        <f>+'Table 2-1'!#REF!</f>
        <v>#REF!</v>
      </c>
      <c r="C12" s="38" t="e">
        <f>+'Table 2-1'!#REF!</f>
        <v>#REF!</v>
      </c>
      <c r="D12" s="38" t="e">
        <f>+'Table 2-1'!#REF!</f>
        <v>#REF!</v>
      </c>
      <c r="E12" s="39">
        <f>+ROUND('Table 2-2'!E15/CE_Scale,RoundPlace)</f>
        <v>0</v>
      </c>
      <c r="F12" s="39">
        <f>+ROUND('Table 2-2'!F15/CE_Scale,RoundPlace)</f>
        <v>0</v>
      </c>
      <c r="G12" s="39">
        <f>+ROUND('Table 2-2'!G15/CE_Scale,RoundPlace)</f>
        <v>0</v>
      </c>
      <c r="H12" s="38">
        <f>+'Table 2-2'!H15</f>
        <v>0</v>
      </c>
      <c r="I12" s="38">
        <f>+'Table 2-2'!I15</f>
        <v>0</v>
      </c>
      <c r="J12" s="39">
        <f>+ROUND('Table 2-2'!J15/CE_Scale,RoundPlace)</f>
        <v>0</v>
      </c>
      <c r="K12" s="39">
        <f>+ROUND('Table 2-2'!K15/CE_Scale,RoundPlace)</f>
        <v>0</v>
      </c>
      <c r="L12" s="40">
        <f>+'Table 2-2'!L15</f>
        <v>0</v>
      </c>
      <c r="M12" s="40">
        <f>+'Table 2-2'!M15</f>
        <v>0</v>
      </c>
      <c r="N12" s="40">
        <f>+'Table 2-2'!N15</f>
        <v>0</v>
      </c>
    </row>
    <row r="14" spans="1:21" x14ac:dyDescent="0.25">
      <c r="U14" s="63"/>
    </row>
  </sheetData>
  <mergeCells count="7">
    <mergeCell ref="A8:N8"/>
    <mergeCell ref="B1:D1"/>
    <mergeCell ref="E1:G1"/>
    <mergeCell ref="H1:I1"/>
    <mergeCell ref="J1:K1"/>
    <mergeCell ref="A3:N3"/>
    <mergeCell ref="M1:N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A630-5905-49B8-ACB1-C7C7CDB9D516}">
  <sheetPr>
    <tabColor rgb="FF92D050"/>
  </sheetPr>
  <dimension ref="A2:H20"/>
  <sheetViews>
    <sheetView topLeftCell="C1" zoomScale="130" zoomScaleNormal="130" workbookViewId="0">
      <selection activeCell="M33" sqref="M33"/>
    </sheetView>
  </sheetViews>
  <sheetFormatPr defaultRowHeight="15" x14ac:dyDescent="0.25"/>
  <cols>
    <col min="1" max="1" width="33.85546875" customWidth="1"/>
    <col min="2" max="2" width="37" customWidth="1"/>
    <col min="3" max="8" width="11.42578125" customWidth="1"/>
  </cols>
  <sheetData>
    <row r="2" spans="1:8" ht="30.75" customHeight="1" x14ac:dyDescent="0.25">
      <c r="C2" s="78" t="str">
        <f>+'Table 2-1 fmt'!A3</f>
        <v>Bempedoic acid</v>
      </c>
      <c r="D2" s="78"/>
      <c r="E2" s="78"/>
      <c r="F2" s="78"/>
      <c r="G2" s="78"/>
      <c r="H2" s="78"/>
    </row>
    <row r="3" spans="1:8" ht="30" x14ac:dyDescent="0.25">
      <c r="C3" s="30" t="s">
        <v>34</v>
      </c>
      <c r="D3" s="30" t="s">
        <v>26</v>
      </c>
      <c r="E3" s="30" t="s">
        <v>27</v>
      </c>
      <c r="F3" s="30" t="s">
        <v>37</v>
      </c>
      <c r="G3" s="30" t="s">
        <v>38</v>
      </c>
      <c r="H3" s="30" t="s">
        <v>35</v>
      </c>
    </row>
    <row r="4" spans="1:8" x14ac:dyDescent="0.25">
      <c r="A4" s="18" t="s">
        <v>36</v>
      </c>
      <c r="B4" s="18" t="str">
        <f>+'Table 2-1 fmt'!A4</f>
        <v>Based on dataset used</v>
      </c>
      <c r="C4" s="33">
        <f>+'Table 2-1 fmt'!E4</f>
        <v>186.26</v>
      </c>
      <c r="D4" s="33">
        <f>+'Table 2-1 fmt'!J4</f>
        <v>196.67</v>
      </c>
      <c r="E4" s="33">
        <f>+'Table 2-1 fmt'!K4</f>
        <v>186.26</v>
      </c>
      <c r="F4" s="31"/>
      <c r="G4" s="31"/>
      <c r="H4" s="27">
        <v>1</v>
      </c>
    </row>
    <row r="5" spans="1:8" x14ac:dyDescent="0.25">
      <c r="A5" s="18"/>
      <c r="B5" s="18"/>
      <c r="C5" s="33"/>
      <c r="D5" s="33"/>
      <c r="E5" s="33"/>
      <c r="F5" s="31"/>
      <c r="G5" s="31"/>
      <c r="H5" s="27"/>
    </row>
    <row r="6" spans="1:8" x14ac:dyDescent="0.25">
      <c r="A6" s="18"/>
      <c r="B6" s="18"/>
      <c r="C6" s="33"/>
      <c r="D6" s="33"/>
      <c r="E6" s="33"/>
      <c r="F6" s="31"/>
      <c r="G6" s="31"/>
      <c r="H6" s="27"/>
    </row>
    <row r="7" spans="1:8" x14ac:dyDescent="0.25">
      <c r="A7" s="18"/>
      <c r="B7" s="18"/>
      <c r="C7" s="33"/>
      <c r="D7" s="33"/>
      <c r="E7" s="33"/>
      <c r="F7" s="31"/>
      <c r="G7" s="31"/>
      <c r="H7" s="27"/>
    </row>
    <row r="8" spans="1:8" x14ac:dyDescent="0.25">
      <c r="A8" s="18"/>
      <c r="B8" s="18"/>
      <c r="C8" s="34"/>
      <c r="D8" s="34"/>
      <c r="E8" s="34"/>
      <c r="F8" s="18"/>
      <c r="G8" s="18"/>
      <c r="H8" s="18"/>
    </row>
    <row r="9" spans="1:8" x14ac:dyDescent="0.25">
      <c r="A9" s="18"/>
      <c r="B9" s="18" t="str">
        <f>+'Table 2-2 fmt'!A4</f>
        <v>ACS</v>
      </c>
      <c r="C9" s="34">
        <f>+'Table 2-2 fmt'!E4</f>
        <v>186.26</v>
      </c>
      <c r="D9" s="34">
        <f>+'Table 2-2 fmt'!J4</f>
        <v>155.55000000000001</v>
      </c>
      <c r="E9" s="34">
        <f>+'Table 2-2 fmt'!K4</f>
        <v>186.26</v>
      </c>
      <c r="F9" s="32"/>
      <c r="G9" s="32"/>
      <c r="H9" s="27">
        <v>2</v>
      </c>
    </row>
    <row r="10" spans="1:8" x14ac:dyDescent="0.25">
      <c r="A10" s="18"/>
      <c r="B10" s="18" t="str">
        <f>+'Table 2-2 fmt'!A5</f>
        <v>Elective revascularization</v>
      </c>
      <c r="C10" s="34">
        <f>+'Table 2-2 fmt'!E5</f>
        <v>186.26</v>
      </c>
      <c r="D10" s="34">
        <f>+'Table 2-2 fmt'!J5</f>
        <v>168.22</v>
      </c>
      <c r="E10" s="34">
        <f>+'Table 2-2 fmt'!K5</f>
        <v>186.26</v>
      </c>
      <c r="F10" s="18"/>
      <c r="G10" s="18"/>
      <c r="H10" s="28">
        <v>2.25</v>
      </c>
    </row>
    <row r="11" spans="1:8" x14ac:dyDescent="0.25">
      <c r="A11" s="18"/>
      <c r="B11" s="18" t="str">
        <f>+'Table 2-2 fmt'!A6</f>
        <v>Stroke</v>
      </c>
      <c r="C11" s="34">
        <f>+'Table 2-2 fmt'!E6</f>
        <v>186.26</v>
      </c>
      <c r="D11" s="34">
        <f>+'Table 2-2 fmt'!J6</f>
        <v>197.17</v>
      </c>
      <c r="E11" s="34">
        <f>+'Table 2-2 fmt'!K6</f>
        <v>186.26</v>
      </c>
      <c r="F11" s="32"/>
      <c r="G11" s="32"/>
      <c r="H11" s="28">
        <v>2.5</v>
      </c>
    </row>
    <row r="12" spans="1:8" x14ac:dyDescent="0.25">
      <c r="A12" s="18"/>
      <c r="B12" s="18" t="str">
        <f>+'Table 2-2 fmt'!A7</f>
        <v>CV Death</v>
      </c>
      <c r="C12" s="34">
        <f>+'Table 2-2 fmt'!E7</f>
        <v>186.26</v>
      </c>
      <c r="D12" s="34">
        <f>+'Table 2-2 fmt'!J7</f>
        <v>561.85</v>
      </c>
      <c r="E12" s="34">
        <f>+'Table 2-2 fmt'!K7</f>
        <v>186.26</v>
      </c>
      <c r="F12" s="18"/>
      <c r="G12" s="18"/>
      <c r="H12" s="28">
        <v>2.75</v>
      </c>
    </row>
    <row r="13" spans="1:8" x14ac:dyDescent="0.25">
      <c r="A13" s="18"/>
      <c r="B13" s="18"/>
      <c r="C13" s="34"/>
      <c r="D13" s="34"/>
      <c r="E13" s="34"/>
      <c r="F13" s="32"/>
      <c r="G13" s="32"/>
      <c r="H13" s="27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x14ac:dyDescent="0.25">
      <c r="A15" s="18"/>
      <c r="B15" s="18"/>
      <c r="C15" s="18"/>
      <c r="D15" s="18"/>
      <c r="E15" s="18"/>
      <c r="F15" s="18">
        <v>100</v>
      </c>
      <c r="G15" s="18"/>
      <c r="H15" s="18">
        <v>0</v>
      </c>
    </row>
    <row r="16" spans="1:8" x14ac:dyDescent="0.25">
      <c r="A16" s="18"/>
      <c r="B16" s="18"/>
      <c r="C16" s="18"/>
      <c r="D16" s="18"/>
      <c r="E16" s="18"/>
      <c r="F16" s="18">
        <v>100</v>
      </c>
      <c r="G16" s="18"/>
      <c r="H16" s="18">
        <v>3</v>
      </c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>
        <v>150</v>
      </c>
      <c r="H18" s="18">
        <v>0</v>
      </c>
    </row>
    <row r="19" spans="1:8" x14ac:dyDescent="0.25">
      <c r="A19" s="18"/>
      <c r="B19" s="18"/>
      <c r="C19" s="18"/>
      <c r="D19" s="18"/>
      <c r="E19" s="18"/>
      <c r="F19" s="18"/>
      <c r="G19" s="18">
        <v>150</v>
      </c>
      <c r="H19" s="18">
        <v>3</v>
      </c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</sheetData>
  <mergeCells count="1">
    <mergeCell ref="C2:H2"/>
  </mergeCells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7FA5-7514-4C23-BABB-85B357EDE789}">
  <sheetPr>
    <tabColor rgb="FF92D050"/>
  </sheetPr>
  <dimension ref="A2:H20"/>
  <sheetViews>
    <sheetView tabSelected="1" topLeftCell="C1" zoomScale="130" zoomScaleNormal="130" workbookViewId="0">
      <selection activeCell="K33" sqref="K33"/>
    </sheetView>
  </sheetViews>
  <sheetFormatPr defaultRowHeight="15" x14ac:dyDescent="0.25"/>
  <cols>
    <col min="1" max="1" width="33.85546875" customWidth="1"/>
    <col min="2" max="2" width="37" customWidth="1"/>
    <col min="3" max="8" width="11.42578125" customWidth="1"/>
  </cols>
  <sheetData>
    <row r="2" spans="1:8" ht="30.75" customHeight="1" x14ac:dyDescent="0.25">
      <c r="C2" s="78" t="str">
        <f>+'Table 2-1 fmt'!A3</f>
        <v>Bempedoic acid</v>
      </c>
      <c r="D2" s="78"/>
      <c r="E2" s="78"/>
      <c r="F2" s="78"/>
      <c r="G2" s="78"/>
      <c r="H2" s="78"/>
    </row>
    <row r="3" spans="1:8" ht="30" x14ac:dyDescent="0.25">
      <c r="C3" s="66" t="s">
        <v>34</v>
      </c>
      <c r="D3" s="66" t="s">
        <v>26</v>
      </c>
      <c r="E3" s="66" t="s">
        <v>27</v>
      </c>
      <c r="F3" s="66" t="s">
        <v>37</v>
      </c>
      <c r="G3" s="66" t="s">
        <v>38</v>
      </c>
      <c r="H3" s="66" t="s">
        <v>35</v>
      </c>
    </row>
    <row r="4" spans="1:8" x14ac:dyDescent="0.25">
      <c r="A4" s="18" t="s">
        <v>36</v>
      </c>
      <c r="B4" s="18" t="str">
        <f>+'Table 2-1 fmt'!A4</f>
        <v>Based on dataset used</v>
      </c>
      <c r="C4" s="33">
        <f>+Figures!C4</f>
        <v>186.26</v>
      </c>
      <c r="D4" s="33">
        <f>+Figures!D4</f>
        <v>196.67</v>
      </c>
      <c r="E4" s="33">
        <f>+Figures!E4</f>
        <v>186.26</v>
      </c>
      <c r="F4" s="31"/>
      <c r="G4" s="31"/>
      <c r="H4" s="28">
        <v>0.5</v>
      </c>
    </row>
    <row r="5" spans="1:8" x14ac:dyDescent="0.25">
      <c r="A5" s="18"/>
      <c r="B5" s="18"/>
      <c r="C5" s="33"/>
      <c r="D5" s="33"/>
      <c r="E5" s="33"/>
      <c r="F5" s="31"/>
      <c r="G5" s="31"/>
      <c r="H5" s="28"/>
    </row>
    <row r="6" spans="1:8" x14ac:dyDescent="0.25">
      <c r="A6" s="18"/>
      <c r="B6" s="18"/>
      <c r="C6" s="33"/>
      <c r="D6" s="33"/>
      <c r="E6" s="33"/>
      <c r="F6" s="31"/>
      <c r="G6" s="31"/>
      <c r="H6" s="28"/>
    </row>
    <row r="7" spans="1:8" x14ac:dyDescent="0.25">
      <c r="A7" s="18"/>
      <c r="B7" s="18"/>
      <c r="C7" s="33">
        <v>157</v>
      </c>
      <c r="D7" s="33">
        <v>522</v>
      </c>
      <c r="E7" s="33">
        <v>522</v>
      </c>
      <c r="F7" s="31"/>
      <c r="G7" s="31"/>
      <c r="H7" s="28">
        <v>1.5</v>
      </c>
    </row>
    <row r="8" spans="1:8" x14ac:dyDescent="0.25">
      <c r="A8" s="18"/>
      <c r="B8" s="18"/>
      <c r="C8" s="34"/>
      <c r="D8" s="34"/>
      <c r="E8" s="34"/>
      <c r="F8" s="18"/>
      <c r="G8" s="18"/>
      <c r="H8" s="18"/>
    </row>
    <row r="9" spans="1:8" x14ac:dyDescent="0.25">
      <c r="A9" s="18"/>
      <c r="B9" s="18" t="str">
        <f>+'Table 2-2 fmt'!A4</f>
        <v>ACS</v>
      </c>
      <c r="C9" s="33">
        <f>+Figures!C9</f>
        <v>186.26</v>
      </c>
      <c r="D9" s="33">
        <f>+Figures!D9</f>
        <v>155.55000000000001</v>
      </c>
      <c r="E9" s="33">
        <f>+Figures!E9</f>
        <v>186.26</v>
      </c>
      <c r="F9" s="32"/>
      <c r="G9" s="32"/>
      <c r="H9" s="28">
        <v>0.5</v>
      </c>
    </row>
    <row r="10" spans="1:8" x14ac:dyDescent="0.25">
      <c r="A10" s="18"/>
      <c r="B10" s="18" t="str">
        <f>+'Table 2-2 fmt'!A5</f>
        <v>Elective revascularization</v>
      </c>
      <c r="C10" s="33">
        <f>+Figures!C10</f>
        <v>186.26</v>
      </c>
      <c r="D10" s="33">
        <f>+Figures!D10</f>
        <v>168.22</v>
      </c>
      <c r="E10" s="33">
        <f>+Figures!E10</f>
        <v>186.26</v>
      </c>
      <c r="F10" s="18"/>
      <c r="G10" s="18"/>
      <c r="H10" s="28">
        <v>0.5</v>
      </c>
    </row>
    <row r="11" spans="1:8" x14ac:dyDescent="0.25">
      <c r="A11" s="18"/>
      <c r="B11" s="18" t="str">
        <f>+'Table 2-2 fmt'!A6</f>
        <v>Stroke</v>
      </c>
      <c r="C11" s="33">
        <f>+Figures!C11</f>
        <v>186.26</v>
      </c>
      <c r="D11" s="33">
        <f>+Figures!D11</f>
        <v>197.17</v>
      </c>
      <c r="E11" s="33">
        <f>+Figures!E11</f>
        <v>186.26</v>
      </c>
      <c r="F11" s="32"/>
      <c r="G11" s="32"/>
      <c r="H11" s="28">
        <v>0.5</v>
      </c>
    </row>
    <row r="12" spans="1:8" x14ac:dyDescent="0.25">
      <c r="A12" s="18"/>
      <c r="B12" s="18" t="str">
        <f>+'Table 2-2 fmt'!A7</f>
        <v>CV Death</v>
      </c>
      <c r="C12" s="33">
        <f>+Figures!C12</f>
        <v>186.26</v>
      </c>
      <c r="D12" s="33">
        <f>+Figures!D12</f>
        <v>561.85</v>
      </c>
      <c r="E12" s="33">
        <f>+Figures!E12</f>
        <v>186.26</v>
      </c>
      <c r="F12" s="18"/>
      <c r="G12" s="18"/>
      <c r="H12" s="28">
        <v>0.5</v>
      </c>
    </row>
    <row r="13" spans="1:8" x14ac:dyDescent="0.25">
      <c r="A13" s="18"/>
      <c r="B13" s="18"/>
      <c r="C13" s="34"/>
      <c r="D13" s="34"/>
      <c r="E13" s="34"/>
      <c r="F13" s="32"/>
      <c r="G13" s="32"/>
      <c r="H13" s="2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x14ac:dyDescent="0.25">
      <c r="A15" s="18"/>
      <c r="B15" s="18"/>
      <c r="C15" s="18"/>
      <c r="D15" s="18"/>
      <c r="E15" s="18"/>
      <c r="F15" s="18">
        <v>100</v>
      </c>
      <c r="G15" s="18"/>
      <c r="H15" s="18">
        <v>0</v>
      </c>
    </row>
    <row r="16" spans="1:8" x14ac:dyDescent="0.25">
      <c r="A16" s="18"/>
      <c r="B16" s="18"/>
      <c r="C16" s="18"/>
      <c r="D16" s="18"/>
      <c r="E16" s="18"/>
      <c r="F16" s="18">
        <v>100</v>
      </c>
      <c r="G16" s="18"/>
      <c r="H16" s="18">
        <v>2</v>
      </c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>
        <v>150</v>
      </c>
      <c r="H18" s="18">
        <v>0</v>
      </c>
    </row>
    <row r="19" spans="1:8" x14ac:dyDescent="0.25">
      <c r="A19" s="18"/>
      <c r="B19" s="18"/>
      <c r="C19" s="18"/>
      <c r="D19" s="18"/>
      <c r="E19" s="18"/>
      <c r="F19" s="18"/>
      <c r="G19" s="18">
        <v>150</v>
      </c>
      <c r="H19" s="18">
        <v>2</v>
      </c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</sheetData>
  <mergeCells count="1">
    <mergeCell ref="C2:H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Display</vt:lpstr>
      <vt:lpstr>Table 2-1 - inputs</vt:lpstr>
      <vt:lpstr>Table 2-1</vt:lpstr>
      <vt:lpstr>Table 2-1 fmt</vt:lpstr>
      <vt:lpstr>Table 2-2 - inputs</vt:lpstr>
      <vt:lpstr>Table 2-2</vt:lpstr>
      <vt:lpstr>Table 2-2 fmt</vt:lpstr>
      <vt:lpstr>Figures</vt:lpstr>
      <vt:lpstr>Figures - Main</vt:lpstr>
      <vt:lpstr>Benchmark1</vt:lpstr>
      <vt:lpstr>Benchmark2</vt:lpstr>
      <vt:lpstr>CE_Scale</vt:lpstr>
      <vt:lpstr>LDL_C_reduction</vt:lpstr>
      <vt:lpstr>RoundPlace</vt:lpstr>
      <vt:lpstr>'Table 2-2'!xRoundPlace</vt:lpstr>
    </vt:vector>
  </TitlesOfParts>
  <Company>Tufts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Joshua</dc:creator>
  <cp:lastModifiedBy>Cohen, Joshua</cp:lastModifiedBy>
  <dcterms:created xsi:type="dcterms:W3CDTF">2023-10-10T16:37:24Z</dcterms:created>
  <dcterms:modified xsi:type="dcterms:W3CDTF">2023-11-23T16:07:57Z</dcterms:modified>
</cp:coreProperties>
</file>