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VR\Projects\NPC - HTA\13 - Manuscript\01 - Supplement\13 - Calculations\13 - Peanut allergy - new\"/>
    </mc:Choice>
  </mc:AlternateContent>
  <xr:revisionPtr revIDLastSave="0" documentId="13_ncr:1_{A6CD4CE7-5B86-453A-99CA-0E28DD2B2D15}" xr6:coauthVersionLast="46" xr6:coauthVersionMax="46" xr10:uidLastSave="{00000000-0000-0000-0000-000000000000}"/>
  <bookViews>
    <workbookView xWindow="-120" yWindow="-120" windowWidth="29040" windowHeight="15840" activeTab="5" xr2:uid="{642FAA30-0104-45DC-9564-C6529DF98A2A}"/>
  </bookViews>
  <sheets>
    <sheet name="Display" sheetId="24" r:id="rId1"/>
    <sheet name="Table 3-1 - inputs" sheetId="21" r:id="rId2"/>
    <sheet name="Table 3-1" sheetId="22" r:id="rId3"/>
    <sheet name="Table 3-1 fmt" sheetId="23" r:id="rId4"/>
    <sheet name="Figures" sheetId="20" r:id="rId5"/>
    <sheet name="Figures - main" sheetId="25" r:id="rId6"/>
  </sheets>
  <definedNames>
    <definedName name="Benchmark1">Display!$B$3</definedName>
    <definedName name="Benchmark2">Display!$B$4</definedName>
    <definedName name="CE_BC_nicaparib_Platinum">#REF!</definedName>
    <definedName name="CE_BC_olaparib_BRCA">#REF!</definedName>
    <definedName name="CE_BC_olaparib_Platinum">#REF!</definedName>
    <definedName name="CE_BC_rucaparib_BRCA">#REF!</definedName>
    <definedName name="CE_BC_rucaparib_Platinum">#REF!</definedName>
    <definedName name="CE_Scale">Display!$B$6</definedName>
    <definedName name="LDL_C_reduction">'Table 3-1 - inputs'!#REF!</definedName>
    <definedName name="RoundPlace">Display!$B$7</definedName>
    <definedName name="xBenchmark1" localSheetId="2">'Table 3-1'!#REF!</definedName>
    <definedName name="xBenchmark2" localSheetId="2">'Table 3-1'!#REF!</definedName>
    <definedName name="xCE_Scale" localSheetId="2">'Table 3-1'!#REF!</definedName>
    <definedName name="xRoundPlace" localSheetId="2">'Table 3-1'!$B$20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5" l="1"/>
  <c r="B9" i="25"/>
  <c r="B8" i="25"/>
  <c r="B7" i="25"/>
  <c r="B6" i="25"/>
  <c r="H9" i="20"/>
  <c r="H8" i="20" s="1"/>
  <c r="H7" i="20" s="1"/>
  <c r="H6" i="20" s="1"/>
  <c r="B10" i="20"/>
  <c r="A3" i="23" l="1"/>
  <c r="L8" i="23"/>
  <c r="K8" i="23"/>
  <c r="J8" i="23"/>
  <c r="I8" i="23"/>
  <c r="H8" i="23"/>
  <c r="G8" i="23"/>
  <c r="F8" i="23"/>
  <c r="E8" i="23"/>
  <c r="D8" i="23"/>
  <c r="C8" i="23"/>
  <c r="B8" i="23"/>
  <c r="A8" i="23"/>
  <c r="K8" i="22"/>
  <c r="Q8" i="22" s="1"/>
  <c r="K7" i="22"/>
  <c r="K6" i="22"/>
  <c r="K5" i="22"/>
  <c r="K4" i="22"/>
  <c r="J8" i="22"/>
  <c r="J7" i="22"/>
  <c r="J6" i="22"/>
  <c r="J5" i="22"/>
  <c r="J4" i="22"/>
  <c r="BI6" i="22"/>
  <c r="BI5" i="22"/>
  <c r="BF6" i="22"/>
  <c r="BF5" i="22"/>
  <c r="BF4" i="22"/>
  <c r="BE6" i="22"/>
  <c r="BE5" i="22"/>
  <c r="BE4" i="22"/>
  <c r="BE2" i="22"/>
  <c r="I8" i="22"/>
  <c r="H8" i="22"/>
  <c r="G8" i="22"/>
  <c r="F8" i="22"/>
  <c r="E8" i="22"/>
  <c r="D8" i="22"/>
  <c r="C8" i="22"/>
  <c r="B8" i="22"/>
  <c r="A8" i="22"/>
  <c r="I6" i="21"/>
  <c r="H6" i="21"/>
  <c r="C6" i="21"/>
  <c r="I8" i="21"/>
  <c r="I7" i="21"/>
  <c r="H8" i="21"/>
  <c r="H7" i="21"/>
  <c r="G8" i="21"/>
  <c r="F8" i="21"/>
  <c r="G7" i="21"/>
  <c r="F7" i="21"/>
  <c r="D8" i="21"/>
  <c r="D7" i="21"/>
  <c r="C8" i="21"/>
  <c r="C7" i="21"/>
  <c r="B8" i="21"/>
  <c r="B7" i="21"/>
  <c r="D6" i="21"/>
  <c r="B6" i="21"/>
  <c r="C10" i="25" l="1"/>
  <c r="C10" i="20"/>
  <c r="E10" i="20"/>
  <c r="E10" i="25"/>
  <c r="D10" i="20"/>
  <c r="D10" i="25"/>
  <c r="R8" i="22"/>
  <c r="U8" i="22"/>
  <c r="P8" i="22"/>
  <c r="V8" i="22"/>
  <c r="T8" i="22"/>
  <c r="W8" i="22"/>
  <c r="S8" i="22" l="1"/>
  <c r="L8" i="22" s="1"/>
  <c r="Y8" i="22"/>
  <c r="N8" i="22" s="1"/>
  <c r="N8" i="23" s="1"/>
  <c r="X8" i="22"/>
  <c r="M8" i="22" s="1"/>
  <c r="M8" i="23" s="1"/>
  <c r="E5" i="21" l="1"/>
  <c r="Y13" i="21"/>
  <c r="V14" i="21" s="1"/>
  <c r="E8" i="21" s="1"/>
  <c r="A5" i="22"/>
  <c r="A6" i="22"/>
  <c r="A7" i="22"/>
  <c r="A4" i="22"/>
  <c r="A3" i="22"/>
  <c r="E6" i="21" l="1"/>
  <c r="E7" i="21"/>
  <c r="W14" i="21"/>
  <c r="F6" i="21" s="1"/>
  <c r="X14" i="21"/>
  <c r="G6" i="21" s="1"/>
  <c r="I5" i="22" l="1"/>
  <c r="I5" i="23" s="1"/>
  <c r="I7" i="22"/>
  <c r="BB6" i="22" s="1"/>
  <c r="I4" i="22"/>
  <c r="I4" i="23" s="1"/>
  <c r="H5" i="22"/>
  <c r="AN5" i="22" s="1"/>
  <c r="A15" i="22"/>
  <c r="AX11" i="22" s="1"/>
  <c r="A14" i="22"/>
  <c r="A12" i="23" s="1"/>
  <c r="A13" i="22"/>
  <c r="A11" i="23" s="1"/>
  <c r="A12" i="22"/>
  <c r="AC11" i="22" s="1"/>
  <c r="AJ2" i="22"/>
  <c r="AQ2" i="22"/>
  <c r="AX2" i="22"/>
  <c r="AC2" i="22"/>
  <c r="A9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L1" i="23"/>
  <c r="J1" i="23"/>
  <c r="H1" i="23"/>
  <c r="E1" i="23"/>
  <c r="B1" i="23"/>
  <c r="F12" i="22"/>
  <c r="F10" i="23" s="1"/>
  <c r="G12" i="22"/>
  <c r="G10" i="23" s="1"/>
  <c r="F13" i="22"/>
  <c r="F11" i="23" s="1"/>
  <c r="G13" i="22"/>
  <c r="G11" i="23" s="1"/>
  <c r="F14" i="22"/>
  <c r="F12" i="23" s="1"/>
  <c r="G14" i="22"/>
  <c r="AR14" i="22" s="1"/>
  <c r="F15" i="22"/>
  <c r="F13" i="23" s="1"/>
  <c r="G15" i="22"/>
  <c r="G13" i="23" s="1"/>
  <c r="E13" i="22"/>
  <c r="AK12" i="22" s="1"/>
  <c r="E14" i="22"/>
  <c r="E12" i="23" s="1"/>
  <c r="E15" i="22"/>
  <c r="E12" i="22"/>
  <c r="AD12" i="22" s="1"/>
  <c r="C12" i="22"/>
  <c r="AC13" i="22" s="1"/>
  <c r="D12" i="22"/>
  <c r="AC14" i="22" s="1"/>
  <c r="C13" i="22"/>
  <c r="AJ13" i="22" s="1"/>
  <c r="D13" i="22"/>
  <c r="AJ14" i="22" s="1"/>
  <c r="C14" i="22"/>
  <c r="AQ13" i="22" s="1"/>
  <c r="D14" i="22"/>
  <c r="AQ14" i="22" s="1"/>
  <c r="C15" i="22"/>
  <c r="AX13" i="22" s="1"/>
  <c r="D15" i="22"/>
  <c r="AX14" i="22" s="1"/>
  <c r="B13" i="22"/>
  <c r="AJ12" i="22" s="1"/>
  <c r="B14" i="22"/>
  <c r="AQ12" i="22" s="1"/>
  <c r="B15" i="22"/>
  <c r="AX12" i="22" s="1"/>
  <c r="B12" i="22"/>
  <c r="AC12" i="22" s="1"/>
  <c r="I6" i="22"/>
  <c r="AU6" i="22" s="1"/>
  <c r="H6" i="22"/>
  <c r="AU5" i="22" s="1"/>
  <c r="H7" i="22"/>
  <c r="BB5" i="22" s="1"/>
  <c r="H4" i="22"/>
  <c r="AG5" i="22" s="1"/>
  <c r="G7" i="22"/>
  <c r="AY6" i="22" s="1"/>
  <c r="G6" i="22"/>
  <c r="G6" i="23" s="1"/>
  <c r="G5" i="22"/>
  <c r="AK6" i="22" s="1"/>
  <c r="G4" i="22"/>
  <c r="AD6" i="22" s="1"/>
  <c r="F7" i="22"/>
  <c r="F7" i="23" s="1"/>
  <c r="F6" i="22"/>
  <c r="F6" i="23" s="1"/>
  <c r="F5" i="22"/>
  <c r="AK5" i="22" s="1"/>
  <c r="F4" i="22"/>
  <c r="AD5" i="22" s="1"/>
  <c r="E5" i="22"/>
  <c r="AK4" i="22" s="1"/>
  <c r="E6" i="22"/>
  <c r="E6" i="23" s="1"/>
  <c r="E7" i="22"/>
  <c r="E4" i="22"/>
  <c r="AD4" i="22" s="1"/>
  <c r="C7" i="22"/>
  <c r="C7" i="23" s="1"/>
  <c r="D7" i="22"/>
  <c r="AX6" i="22" s="1"/>
  <c r="C4" i="22"/>
  <c r="AC5" i="22" s="1"/>
  <c r="D4" i="22"/>
  <c r="D4" i="23" s="1"/>
  <c r="C5" i="22"/>
  <c r="C5" i="23" s="1"/>
  <c r="D5" i="22"/>
  <c r="D5" i="23" s="1"/>
  <c r="C6" i="22"/>
  <c r="C6" i="23" s="1"/>
  <c r="D6" i="22"/>
  <c r="D6" i="23" s="1"/>
  <c r="B5" i="22"/>
  <c r="AJ4" i="22" s="1"/>
  <c r="B6" i="22"/>
  <c r="B6" i="23" s="1"/>
  <c r="B7" i="22"/>
  <c r="B7" i="23" s="1"/>
  <c r="B4" i="22"/>
  <c r="AC4" i="22" s="1"/>
  <c r="I15" i="22"/>
  <c r="BB14" i="22" s="1"/>
  <c r="H15" i="22"/>
  <c r="BB13" i="22" s="1"/>
  <c r="I14" i="22"/>
  <c r="AU14" i="22" s="1"/>
  <c r="H14" i="22"/>
  <c r="AU13" i="22" s="1"/>
  <c r="I13" i="22"/>
  <c r="AN14" i="22" s="1"/>
  <c r="H13" i="22"/>
  <c r="AN13" i="22" s="1"/>
  <c r="I12" i="22"/>
  <c r="AG14" i="22" s="1"/>
  <c r="H12" i="22"/>
  <c r="H10" i="23" s="1"/>
  <c r="C11" i="23"/>
  <c r="D11" i="23"/>
  <c r="C13" i="23"/>
  <c r="D13" i="23"/>
  <c r="B13" i="23"/>
  <c r="D12" i="23"/>
  <c r="D10" i="23"/>
  <c r="C12" i="23"/>
  <c r="C10" i="23"/>
  <c r="B11" i="23"/>
  <c r="B12" i="23"/>
  <c r="B10" i="23"/>
  <c r="C8" i="20" l="1"/>
  <c r="C8" i="25"/>
  <c r="AR6" i="22"/>
  <c r="AD13" i="22"/>
  <c r="AY13" i="22"/>
  <c r="AK13" i="22"/>
  <c r="AY5" i="22"/>
  <c r="AR5" i="22"/>
  <c r="G12" i="23"/>
  <c r="AC6" i="22"/>
  <c r="H6" i="23"/>
  <c r="AX5" i="22"/>
  <c r="A4" i="23"/>
  <c r="B6" i="20" s="1"/>
  <c r="AG6" i="22"/>
  <c r="AN6" i="22"/>
  <c r="H4" i="23"/>
  <c r="G7" i="23"/>
  <c r="E4" i="23"/>
  <c r="AQ5" i="22"/>
  <c r="AJ5" i="22"/>
  <c r="AQ4" i="22"/>
  <c r="B4" i="23"/>
  <c r="AX4" i="22"/>
  <c r="D7" i="23"/>
  <c r="AJ6" i="22"/>
  <c r="AD14" i="22"/>
  <c r="AY14" i="22"/>
  <c r="E10" i="23"/>
  <c r="A13" i="23"/>
  <c r="A6" i="23"/>
  <c r="B8" i="20" s="1"/>
  <c r="H13" i="23"/>
  <c r="I12" i="23"/>
  <c r="AJ11" i="22"/>
  <c r="A7" i="23"/>
  <c r="B9" i="20" s="1"/>
  <c r="AQ11" i="22"/>
  <c r="A5" i="23"/>
  <c r="B7" i="20" s="1"/>
  <c r="A10" i="23"/>
  <c r="AR13" i="22"/>
  <c r="B5" i="23"/>
  <c r="E5" i="23"/>
  <c r="G5" i="23"/>
  <c r="E11" i="23"/>
  <c r="H7" i="23"/>
  <c r="I10" i="23"/>
  <c r="H11" i="23"/>
  <c r="AQ6" i="22"/>
  <c r="AK14" i="22"/>
  <c r="C4" i="23"/>
  <c r="F4" i="23"/>
  <c r="I6" i="23"/>
  <c r="I13" i="23"/>
  <c r="AG13" i="22"/>
  <c r="E7" i="23"/>
  <c r="F5" i="23"/>
  <c r="E13" i="23"/>
  <c r="H5" i="23"/>
  <c r="H12" i="23"/>
  <c r="G4" i="23"/>
  <c r="I7" i="23"/>
  <c r="I11" i="23"/>
  <c r="AY4" i="22"/>
  <c r="AY12" i="22"/>
  <c r="AR4" i="22"/>
  <c r="AR12" i="22"/>
  <c r="C9" i="20" l="1"/>
  <c r="C9" i="25"/>
  <c r="C7" i="20"/>
  <c r="C7" i="25"/>
  <c r="C6" i="20"/>
  <c r="C6" i="25"/>
  <c r="AD16" i="22" a="1"/>
  <c r="AD16" i="22" s="1"/>
  <c r="AK16" i="22" a="1"/>
  <c r="AK16" i="22" s="1"/>
  <c r="AC15" i="22" a="1"/>
  <c r="AC15" i="22" s="1"/>
  <c r="AG12" i="22" s="1"/>
  <c r="AG15" i="22" s="1"/>
  <c r="AJ15" i="22" a="1"/>
  <c r="AJ15" i="22" s="1"/>
  <c r="AN12" i="22" s="1"/>
  <c r="AN15" i="22" s="1"/>
  <c r="AQ7" i="22" a="1"/>
  <c r="C2" i="20" l="1"/>
  <c r="C2" i="25"/>
  <c r="AG16" i="22"/>
  <c r="AC17" i="22" s="1"/>
  <c r="AN16" i="22"/>
  <c r="AJ17" i="22" s="1"/>
  <c r="AQ7" i="22"/>
  <c r="AU4" i="22" s="1"/>
  <c r="AU7" i="22" s="1"/>
  <c r="C4" i="20" l="1"/>
  <c r="C4" i="25"/>
  <c r="AD17" i="22"/>
  <c r="AK17" i="22"/>
  <c r="AL17" i="22"/>
  <c r="AU8" i="22"/>
  <c r="AE17" i="22"/>
  <c r="AH14" i="22" l="1"/>
  <c r="K12" i="22" s="1"/>
  <c r="K10" i="23" s="1"/>
  <c r="AO14" i="22"/>
  <c r="K13" i="22" s="1"/>
  <c r="K11" i="23" s="1"/>
  <c r="AO13" i="22"/>
  <c r="J13" i="22" s="1"/>
  <c r="AQ9" i="22"/>
  <c r="AH13" i="22"/>
  <c r="J12" i="22" s="1"/>
  <c r="W12" i="22" l="1"/>
  <c r="J10" i="23"/>
  <c r="T12" i="22"/>
  <c r="U12" i="22"/>
  <c r="V12" i="22"/>
  <c r="Q13" i="22"/>
  <c r="W13" i="22"/>
  <c r="J11" i="23"/>
  <c r="T13" i="22"/>
  <c r="U13" i="22"/>
  <c r="V13" i="22"/>
  <c r="R13" i="22"/>
  <c r="P13" i="22"/>
  <c r="Q12" i="22"/>
  <c r="P12" i="22"/>
  <c r="R12" i="22"/>
  <c r="S13" i="22" l="1"/>
  <c r="L13" i="22" s="1"/>
  <c r="L11" i="23" s="1"/>
  <c r="X13" i="22"/>
  <c r="M13" i="22" s="1"/>
  <c r="M11" i="23" s="1"/>
  <c r="Y13" i="22"/>
  <c r="N13" i="22" s="1"/>
  <c r="N11" i="23" s="1"/>
  <c r="S12" i="22"/>
  <c r="L12" i="22" s="1"/>
  <c r="L10" i="23" s="1"/>
  <c r="Y12" i="22"/>
  <c r="N12" i="22" s="1"/>
  <c r="N10" i="23" s="1"/>
  <c r="X12" i="22"/>
  <c r="M12" i="22" s="1"/>
  <c r="M10" i="23" s="1"/>
  <c r="E4" i="20" l="1"/>
  <c r="E4" i="25"/>
  <c r="D4" i="20"/>
  <c r="D4" i="25"/>
  <c r="AY16" i="22" l="1" a="1"/>
  <c r="AY16" i="22" s="1"/>
  <c r="AQ15" i="22" a="1"/>
  <c r="AQ15" i="22" s="1"/>
  <c r="AR16" i="22" a="1"/>
  <c r="AR16" i="22" s="1"/>
  <c r="AY8" i="22" a="1"/>
  <c r="AY8" i="22" s="1"/>
  <c r="AX7" i="22" a="1"/>
  <c r="AX7" i="22" s="1"/>
  <c r="BB4" i="22" s="1"/>
  <c r="BB7" i="22" s="1"/>
  <c r="AU12" i="22" l="1"/>
  <c r="AU15" i="22" s="1"/>
  <c r="BB8" i="22"/>
  <c r="AY9" i="22" s="1"/>
  <c r="AU16" i="22" l="1"/>
  <c r="AR17" i="22" s="1"/>
  <c r="AX9" i="22"/>
  <c r="AZ9" i="22"/>
  <c r="BC5" i="22" l="1"/>
  <c r="AQ17" i="22"/>
  <c r="AS17" i="22"/>
  <c r="BC6" i="22"/>
  <c r="K7" i="23" s="1"/>
  <c r="E9" i="20" l="1"/>
  <c r="E9" i="25"/>
  <c r="J7" i="23"/>
  <c r="Q7" i="22"/>
  <c r="P7" i="22"/>
  <c r="R7" i="22"/>
  <c r="T7" i="22"/>
  <c r="U7" i="22"/>
  <c r="W7" i="22"/>
  <c r="V7" i="22"/>
  <c r="AV13" i="22"/>
  <c r="J14" i="22" s="1"/>
  <c r="AV14" i="22"/>
  <c r="K14" i="22" s="1"/>
  <c r="K12" i="23" s="1"/>
  <c r="D9" i="20" l="1"/>
  <c r="D9" i="25"/>
  <c r="S7" i="22"/>
  <c r="L7" i="22" s="1"/>
  <c r="L7" i="23" s="1"/>
  <c r="X7" i="22"/>
  <c r="M7" i="22" s="1"/>
  <c r="M7" i="23" s="1"/>
  <c r="J12" i="23"/>
  <c r="V14" i="22"/>
  <c r="T14" i="22"/>
  <c r="U14" i="22"/>
  <c r="W14" i="22"/>
  <c r="Y7" i="22"/>
  <c r="N7" i="22" s="1"/>
  <c r="N7" i="23" s="1"/>
  <c r="Q14" i="22"/>
  <c r="P14" i="22"/>
  <c r="R14" i="22"/>
  <c r="X14" i="22" l="1"/>
  <c r="M14" i="22" s="1"/>
  <c r="M12" i="23" s="1"/>
  <c r="S14" i="22"/>
  <c r="L14" i="22" s="1"/>
  <c r="L12" i="23" s="1"/>
  <c r="Y14" i="22"/>
  <c r="N14" i="22" s="1"/>
  <c r="N12" i="23" s="1"/>
  <c r="AX15" i="22" a="1"/>
  <c r="AX15" i="22" s="1"/>
  <c r="BB12" i="22" s="1"/>
  <c r="BB15" i="22" s="1"/>
  <c r="BB16" i="22" l="1"/>
  <c r="AY17" i="22" s="1"/>
  <c r="AX17" i="22"/>
  <c r="AZ17" i="22" l="1"/>
  <c r="BC13" i="22" s="1"/>
  <c r="J15" i="22" s="1"/>
  <c r="BC14" i="22" l="1"/>
  <c r="K15" i="22" s="1"/>
  <c r="K13" i="23" s="1"/>
  <c r="J13" i="23"/>
  <c r="R15" i="22"/>
  <c r="Q15" i="22"/>
  <c r="V15" i="22" l="1"/>
  <c r="T15" i="22"/>
  <c r="U15" i="22"/>
  <c r="P15" i="22"/>
  <c r="S15" i="22" s="1"/>
  <c r="L15" i="22" s="1"/>
  <c r="L13" i="23" s="1"/>
  <c r="W15" i="22"/>
  <c r="Y15" i="22" l="1"/>
  <c r="N15" i="22" s="1"/>
  <c r="N13" i="23" s="1"/>
  <c r="X15" i="22"/>
  <c r="M15" i="22" s="1"/>
  <c r="M13" i="23" s="1"/>
  <c r="AK8" i="22" l="1" a="1"/>
  <c r="AK8" i="22" s="1"/>
  <c r="AJ7" i="22" a="1"/>
  <c r="AJ7" i="22" s="1"/>
  <c r="AN4" i="22" s="1"/>
  <c r="AN7" i="22" s="1"/>
  <c r="AN8" i="22" l="1"/>
  <c r="AK9" i="22" s="1"/>
  <c r="AJ9" i="22" l="1"/>
  <c r="AL9" i="22"/>
  <c r="AO5" i="22" l="1"/>
  <c r="AO6" i="22"/>
  <c r="K5" i="23" s="1"/>
  <c r="E7" i="20" l="1"/>
  <c r="E7" i="25"/>
  <c r="V5" i="22"/>
  <c r="U5" i="22"/>
  <c r="P5" i="22"/>
  <c r="J5" i="23"/>
  <c r="R5" i="22"/>
  <c r="Q5" i="22"/>
  <c r="T5" i="22"/>
  <c r="W5" i="22"/>
  <c r="AR8" i="22" a="1"/>
  <c r="AS9" i="22" s="1"/>
  <c r="D7" i="20" l="1"/>
  <c r="D7" i="25"/>
  <c r="Y5" i="22"/>
  <c r="N5" i="22" s="1"/>
  <c r="N5" i="23" s="1"/>
  <c r="X5" i="22"/>
  <c r="M5" i="22" s="1"/>
  <c r="M5" i="23" s="1"/>
  <c r="S5" i="22"/>
  <c r="L5" i="22" s="1"/>
  <c r="L5" i="23" s="1"/>
  <c r="AR8" i="22"/>
  <c r="AR9" i="22" s="1"/>
  <c r="AV5" i="22" l="1"/>
  <c r="AV6" i="22"/>
  <c r="K6" i="23" s="1"/>
  <c r="E8" i="20" l="1"/>
  <c r="E8" i="25"/>
  <c r="Q6" i="22"/>
  <c r="V6" i="22"/>
  <c r="U6" i="22"/>
  <c r="T6" i="22"/>
  <c r="W6" i="22"/>
  <c r="J6" i="23"/>
  <c r="P6" i="22"/>
  <c r="R6" i="22"/>
  <c r="D8" i="20" l="1"/>
  <c r="D8" i="25"/>
  <c r="X6" i="22"/>
  <c r="M6" i="22" s="1"/>
  <c r="M6" i="23" s="1"/>
  <c r="Y6" i="22"/>
  <c r="N6" i="22" s="1"/>
  <c r="N6" i="23" s="1"/>
  <c r="S6" i="22"/>
  <c r="L6" i="22" s="1"/>
  <c r="L6" i="23" s="1"/>
  <c r="AC7" i="22" a="1"/>
  <c r="AC7" i="22" s="1"/>
  <c r="AG4" i="22" l="1"/>
  <c r="AG7" i="22" s="1"/>
  <c r="AG8" i="22" l="1"/>
  <c r="AC9" i="22" s="1"/>
  <c r="AD8" i="22" a="1"/>
  <c r="AD8" i="22" s="1"/>
  <c r="AD9" i="22" l="1"/>
  <c r="AE9" i="22"/>
  <c r="AH6" i="22" s="1"/>
  <c r="K4" i="23" s="1"/>
  <c r="E6" i="20" l="1"/>
  <c r="E6" i="25"/>
  <c r="AH5" i="22"/>
  <c r="R4" i="22" s="1"/>
  <c r="P4" i="22" l="1"/>
  <c r="V4" i="22"/>
  <c r="T4" i="22"/>
  <c r="W4" i="22"/>
  <c r="J4" i="23"/>
  <c r="Q4" i="22"/>
  <c r="S4" i="22" s="1"/>
  <c r="L4" i="22" s="1"/>
  <c r="L4" i="23" s="1"/>
  <c r="U4" i="22"/>
  <c r="D6" i="20" l="1"/>
  <c r="D6" i="25"/>
  <c r="Y4" i="22"/>
  <c r="N4" i="22" s="1"/>
  <c r="N4" i="23" s="1"/>
  <c r="X4" i="22"/>
  <c r="M4" i="22" s="1"/>
  <c r="M4" i="23" s="1"/>
  <c r="BF8" i="22" a="1"/>
  <c r="BF8" i="22" s="1"/>
  <c r="BE7" i="22" a="1"/>
  <c r="BE7" i="22" s="1"/>
  <c r="BI4" i="22" s="1"/>
  <c r="BI7" i="22" s="1"/>
  <c r="BI8" i="22" l="1"/>
  <c r="BE9" i="22" s="1"/>
  <c r="BG9" i="22"/>
  <c r="BF9" i="22" l="1"/>
  <c r="BJ5" i="22"/>
  <c r="BJ6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<sst xmlns="http://schemas.openxmlformats.org/spreadsheetml/2006/main" count="144" uniqueCount="99">
  <si>
    <t>Base case</t>
  </si>
  <si>
    <t>Lower bound</t>
  </si>
  <si>
    <t>Upper bound</t>
  </si>
  <si>
    <t>Min</t>
  </si>
  <si>
    <t>Median</t>
  </si>
  <si>
    <t>Max</t>
  </si>
  <si>
    <t>Expert 1 CE ratio</t>
  </si>
  <si>
    <t>Expert 2 CE ratio</t>
  </si>
  <si>
    <t>Avg pct deviation</t>
  </si>
  <si>
    <t>Cross $100K benchmark</t>
  </si>
  <si>
    <t>Cross $150K benchmark</t>
  </si>
  <si>
    <t>All &lt;= BM1</t>
  </si>
  <si>
    <t>All &gt; BM1</t>
  </si>
  <si>
    <t>All &lt;= BM2</t>
  </si>
  <si>
    <t>All &gt; BM2</t>
  </si>
  <si>
    <t>Expert 1 ICER</t>
  </si>
  <si>
    <t>Expert 2 ICER</t>
  </si>
  <si>
    <t>Utility Progressed Disease Rucaparib</t>
  </si>
  <si>
    <t>Utility Progression-Free Disease on Treatment Rucaparib</t>
  </si>
  <si>
    <t>Benchmark1</t>
  </si>
  <si>
    <t>Benchmark2</t>
  </si>
  <si>
    <t>CE_Scale</t>
  </si>
  <si>
    <t>RoundPlace</t>
  </si>
  <si>
    <t>extreme</t>
  </si>
  <si>
    <t>Expert 1</t>
  </si>
  <si>
    <t>Expert 2</t>
  </si>
  <si>
    <t>Lower bound assumption</t>
  </si>
  <si>
    <t>Upper bound assumption</t>
  </si>
  <si>
    <t>Expert Group 1</t>
  </si>
  <si>
    <t>Expert Group 2</t>
  </si>
  <si>
    <t>Expert group imputed CE ratios (iv)</t>
  </si>
  <si>
    <t>Influence measures (v)</t>
  </si>
  <si>
    <t>Utility Progressed Disease Olaparib</t>
  </si>
  <si>
    <t>Utility Progressed Disease PLD+C</t>
  </si>
  <si>
    <t>Utility Progression-free Disease on Treatment Olaparib</t>
  </si>
  <si>
    <t xml:space="preserve">Utility Progression-Free Disease on Treatment PLD+C  </t>
  </si>
  <si>
    <t>Utility Progression-Free Disease on Treatment PLD+Cs</t>
  </si>
  <si>
    <t>ICER</t>
  </si>
  <si>
    <t>Assumption Group</t>
  </si>
  <si>
    <t>100K Benchmark</t>
  </si>
  <si>
    <t>150K Benchmark</t>
  </si>
  <si>
    <t>Expert group utility weight assumptions (iii)</t>
  </si>
  <si>
    <t>CE ratios from ICER ($000/QALY) (ii)</t>
  </si>
  <si>
    <t>Analysis (b) Voclosporin</t>
  </si>
  <si>
    <t>Assumptions</t>
  </si>
  <si>
    <t>CE Ratios</t>
  </si>
  <si>
    <t>Base case (a)</t>
  </si>
  <si>
    <t>(a)</t>
  </si>
  <si>
    <t>Low CE value (b)</t>
  </si>
  <si>
    <t>High CE value (b)</t>
  </si>
  <si>
    <t>(b)</t>
  </si>
  <si>
    <t>Base case (c)</t>
  </si>
  <si>
    <t>Low CE value (d)</t>
  </si>
  <si>
    <t>High CE value (d)</t>
  </si>
  <si>
    <t>(c)</t>
  </si>
  <si>
    <t>(d)</t>
  </si>
  <si>
    <t>Experts</t>
  </si>
  <si>
    <t>Group 1 (e)</t>
  </si>
  <si>
    <t>Notes</t>
  </si>
  <si>
    <t>Event rate ratio per mmol LDL-C from ICER (i)</t>
  </si>
  <si>
    <t>Group 2 (e)</t>
  </si>
  <si>
    <t>Do ratios from the three groups cross a value benchmark (vi)</t>
  </si>
  <si>
    <t>peanut allergy state</t>
  </si>
  <si>
    <t>disutility</t>
  </si>
  <si>
    <t>ongoing fear</t>
  </si>
  <si>
    <t>Utility assumption</t>
  </si>
  <si>
    <t>Derivation of anaphylaxis disutility</t>
  </si>
  <si>
    <t>Normalized to base case CE ratio of</t>
  </si>
  <si>
    <t>Utility weight - With peanut sensitivity (Age 0-11)</t>
  </si>
  <si>
    <t>Utility weight - With peanut sensitivity (Age 12+)</t>
  </si>
  <si>
    <t>Utility weight - With peanut sensitivity (Age 0-11) - plus ongoing fear</t>
  </si>
  <si>
    <t>Utility weight - With peanut sensitivity (Age 12+) - plus ongoing fear</t>
  </si>
  <si>
    <t>Weight - with peanut sensitivity - Table 4.8, rows 1 (age 0-11) and 4 (age 12+)</t>
  </si>
  <si>
    <t>Table 4.13</t>
  </si>
  <si>
    <t>Shaker M, Greenhawt M. Estimation of Health and Economic Benefits of Commercial Peanut Immunotherapy Products: A Cost-effectiveness Analysis. JAMA Netw Open. 2019 May 3;2(5):e193242. doi: 10.1001/jamanetworkopen.2019.3242. PMID: 31050778; PMCID: PMC6503512.</t>
  </si>
  <si>
    <t>Base (a)</t>
  </si>
  <si>
    <t xml:space="preserve">(b) </t>
  </si>
  <si>
    <t>Low (b)</t>
  </si>
  <si>
    <t>High (b)</t>
  </si>
  <si>
    <t>FIGURE 3B - See 5th entry from top (Health state utility impairment of anaphylaxis)</t>
  </si>
  <si>
    <t>Disutlities (a)</t>
  </si>
  <si>
    <t>Disutility for living with fear of anaphylaxis</t>
  </si>
  <si>
    <t>See main text.</t>
  </si>
  <si>
    <t>From Shaker (2019), pubmed 31050778, Fig 3B, 5th entry</t>
  </si>
  <si>
    <t>From Shaker (2019), pubmed 31050778, Table 2, row 3</t>
  </si>
  <si>
    <t>From Shaker (2019), pubmed 31050778, Table 1, "Negative health…"</t>
  </si>
  <si>
    <t>Weight - with peanut sensitivity, plus ongong fear - Table 4.8, rows 1 (age 0-11) and 4 (age 12+)</t>
  </si>
  <si>
    <t>Weight - with peanut sensitivity plus anaphylactic events - see Columns V-X</t>
  </si>
  <si>
    <t>(a-b)</t>
  </si>
  <si>
    <t>Weight - with peanut sensitivity - Fig ES2, 6th analysis (age 0-11) and 2nd analysis (age 12+)</t>
  </si>
  <si>
    <t>(e )</t>
  </si>
  <si>
    <t>Weight - with peanut sensitivity - Expert groups adopted same assumptions as ICER.</t>
  </si>
  <si>
    <t xml:space="preserve">Expert Group </t>
  </si>
  <si>
    <t>Group 1</t>
  </si>
  <si>
    <t>Group 2</t>
  </si>
  <si>
    <t>Disutility - Anaphylaxis associated with therapy use</t>
  </si>
  <si>
    <t>Adverse event costs and Quality of life burden</t>
  </si>
  <si>
    <t>Impact after therapy ends</t>
  </si>
  <si>
    <t>Tx duration + responsiveness after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</si>
</sst>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7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6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0" fillId="0" borderId="0" xfId="1" applyNumberFormat="1" applyFont="1"/>
    <xf numFmtId="0" fontId="2" fillId="0" borderId="0" xfId="0" applyFont="1"/>
    <xf numFmtId="2" fontId="0" fillId="0" borderId="0" xfId="0" applyNumberFormat="1"/>
    <xf numFmtId="0" fontId="4" fillId="0" borderId="0" xfId="0" applyFont="1"/>
    <xf numFmtId="0" fontId="2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0" xfId="0" applyFont="1"/>
    <xf numFmtId="2" fontId="6" fillId="0" borderId="0" xfId="0" applyNumberFormat="1" applyFont="1" applyAlignment="1">
      <alignment horizontal="center"/>
    </xf>
    <xf numFmtId="164" fontId="6" fillId="0" borderId="0" xfId="1" applyNumberFormat="1" applyFont="1"/>
    <xf numFmtId="9" fontId="6" fillId="0" borderId="0" xfId="2" applyFont="1" applyAlignment="1">
      <alignment horizontal="center"/>
    </xf>
    <xf numFmtId="9" fontId="0" fillId="0" borderId="0" xfId="2" applyFont="1"/>
    <xf numFmtId="0" fontId="6" fillId="0" borderId="0" xfId="0" applyFont="1" applyAlignment="1">
      <alignment horizontal="center"/>
    </xf>
    <xf numFmtId="6" fontId="0" fillId="0" borderId="0" xfId="0" applyNumberForma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2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/>
    <xf numFmtId="3" fontId="11" fillId="0" borderId="0" xfId="0" applyNumberFormat="1" applyFont="1" applyAlignment="1">
      <alignment horizontal="center"/>
    </xf>
    <xf numFmtId="2" fontId="11" fillId="0" borderId="0" xfId="0" applyNumberFormat="1" applyFont="1"/>
    <xf numFmtId="0" fontId="11" fillId="0" borderId="0" xfId="0" applyFont="1" applyAlignment="1">
      <alignment horizontal="center"/>
    </xf>
    <xf numFmtId="164" fontId="11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44" fontId="9" fillId="0" borderId="0" xfId="1" applyFont="1"/>
    <xf numFmtId="6" fontId="9" fillId="0" borderId="0" xfId="0" applyNumberFormat="1" applyFont="1"/>
    <xf numFmtId="164" fontId="9" fillId="0" borderId="0" xfId="1" applyNumberFormat="1" applyFont="1"/>
    <xf numFmtId="164" fontId="9" fillId="0" borderId="0" xfId="0" applyNumberFormat="1" applyFont="1"/>
    <xf numFmtId="0" fontId="2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164" fontId="6" fillId="0" borderId="1" xfId="1" applyNumberFormat="1" applyFont="1" applyBorder="1"/>
    <xf numFmtId="9" fontId="6" fillId="0" borderId="1" xfId="2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64" fontId="13" fillId="0" borderId="0" xfId="1" applyNumberFormat="1" applyFont="1" applyAlignment="1">
      <alignment horizontal="center"/>
    </xf>
    <xf numFmtId="164" fontId="12" fillId="0" borderId="0" xfId="1" applyNumberFormat="1" applyFont="1" applyAlignment="1">
      <alignment horizontal="center"/>
    </xf>
    <xf numFmtId="164" fontId="6" fillId="0" borderId="0" xfId="0" applyNumberFormat="1" applyFont="1"/>
    <xf numFmtId="9" fontId="6" fillId="0" borderId="0" xfId="2" applyFont="1"/>
    <xf numFmtId="44" fontId="0" fillId="0" borderId="0" xfId="0" applyNumberFormat="1"/>
    <xf numFmtId="167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0" fillId="2" borderId="0" xfId="0" applyFont="1" applyFill="1"/>
    <xf numFmtId="0" fontId="6" fillId="0" borderId="1" xfId="0" applyFont="1" applyBorder="1" applyAlignment="1">
      <alignment wrapText="1"/>
    </xf>
    <xf numFmtId="2" fontId="6" fillId="0" borderId="1" xfId="0" applyNumberFormat="1" applyFont="1" applyBorder="1" applyAlignment="1">
      <alignment horizontal="center" vertical="center"/>
    </xf>
    <xf numFmtId="44" fontId="6" fillId="0" borderId="1" xfId="1" applyNumberFormat="1" applyFont="1" applyBorder="1" applyAlignment="1">
      <alignment vertical="center"/>
    </xf>
    <xf numFmtId="9" fontId="6" fillId="0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Figures!$C$3</c:f>
              <c:strCache>
                <c:ptCount val="1"/>
                <c:pt idx="0">
                  <c:v>ICER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Figures!$C$4:$C$10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88</c:v>
                </c:pt>
              </c:numCache>
            </c:numRef>
          </c:xVal>
          <c:yVal>
            <c:numRef>
              <c:f>Figures!$H$4:$H$10</c:f>
              <c:numCache>
                <c:formatCode>General</c:formatCode>
                <c:ptCount val="7"/>
                <c:pt idx="0">
                  <c:v>0.5</c:v>
                </c:pt>
                <c:pt idx="2">
                  <c:v>2.5</c:v>
                </c:pt>
                <c:pt idx="3">
                  <c:v>2.25</c:v>
                </c:pt>
                <c:pt idx="4">
                  <c:v>2</c:v>
                </c:pt>
                <c:pt idx="5">
                  <c:v>1.75</c:v>
                </c:pt>
                <c:pt idx="6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15A-4C54-8224-D3B95E7B7A6B}"/>
            </c:ext>
          </c:extLst>
        </c:ser>
        <c:ser>
          <c:idx val="6"/>
          <c:order val="1"/>
          <c:tx>
            <c:strRef>
              <c:f>Figures!$D$3</c:f>
              <c:strCache>
                <c:ptCount val="1"/>
                <c:pt idx="0">
                  <c:v>Expert Group 1</c:v>
                </c:pt>
              </c:strCache>
            </c:strRef>
          </c:tx>
          <c:spPr>
            <a:ln w="25400">
              <a:noFill/>
            </a:ln>
          </c:spPr>
          <c:xVal>
            <c:numRef>
              <c:f>Figures!$D$4:$D$10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41.73</c:v>
                </c:pt>
                <c:pt idx="5">
                  <c:v>88</c:v>
                </c:pt>
                <c:pt idx="6">
                  <c:v>96.54</c:v>
                </c:pt>
              </c:numCache>
            </c:numRef>
          </c:xVal>
          <c:yVal>
            <c:numRef>
              <c:f>Figures!$H$4:$H$10</c:f>
              <c:numCache>
                <c:formatCode>General</c:formatCode>
                <c:ptCount val="7"/>
                <c:pt idx="0">
                  <c:v>0.5</c:v>
                </c:pt>
                <c:pt idx="2">
                  <c:v>2.5</c:v>
                </c:pt>
                <c:pt idx="3">
                  <c:v>2.25</c:v>
                </c:pt>
                <c:pt idx="4">
                  <c:v>2</c:v>
                </c:pt>
                <c:pt idx="5">
                  <c:v>1.75</c:v>
                </c:pt>
                <c:pt idx="6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15A-4C54-8224-D3B95E7B7A6B}"/>
            </c:ext>
          </c:extLst>
        </c:ser>
        <c:ser>
          <c:idx val="7"/>
          <c:order val="2"/>
          <c:tx>
            <c:strRef>
              <c:f>Figures!$E$3</c:f>
              <c:strCache>
                <c:ptCount val="1"/>
                <c:pt idx="0">
                  <c:v>Expert Group 2</c:v>
                </c:pt>
              </c:strCache>
            </c:strRef>
          </c:tx>
          <c:spPr>
            <a:ln w="25400">
              <a:noFill/>
            </a:ln>
          </c:spPr>
          <c:xVal>
            <c:numRef>
              <c:f>Figures!$E$4:$E$10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93.16</c:v>
                </c:pt>
                <c:pt idx="5">
                  <c:v>65.180000000000007</c:v>
                </c:pt>
                <c:pt idx="6">
                  <c:v>0</c:v>
                </c:pt>
              </c:numCache>
            </c:numRef>
          </c:xVal>
          <c:yVal>
            <c:numRef>
              <c:f>Figures!$H$4:$H$10</c:f>
              <c:numCache>
                <c:formatCode>General</c:formatCode>
                <c:ptCount val="7"/>
                <c:pt idx="0">
                  <c:v>0.5</c:v>
                </c:pt>
                <c:pt idx="2">
                  <c:v>2.5</c:v>
                </c:pt>
                <c:pt idx="3">
                  <c:v>2.25</c:v>
                </c:pt>
                <c:pt idx="4">
                  <c:v>2</c:v>
                </c:pt>
                <c:pt idx="5">
                  <c:v>1.75</c:v>
                </c:pt>
                <c:pt idx="6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15A-4C54-8224-D3B95E7B7A6B}"/>
            </c:ext>
          </c:extLst>
        </c:ser>
        <c:ser>
          <c:idx val="8"/>
          <c:order val="3"/>
          <c:tx>
            <c:strRef>
              <c:f>Figures!$F$3</c:f>
              <c:strCache>
                <c:ptCount val="1"/>
                <c:pt idx="0">
                  <c:v>100K Benchmark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Figures!$F$16:$F$17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Figures!$H$16:$H$17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15A-4C54-8224-D3B95E7B7A6B}"/>
            </c:ext>
          </c:extLst>
        </c:ser>
        <c:ser>
          <c:idx val="9"/>
          <c:order val="4"/>
          <c:tx>
            <c:strRef>
              <c:f>Figures!$G$3</c:f>
              <c:strCache>
                <c:ptCount val="1"/>
                <c:pt idx="0">
                  <c:v>150K Benchmark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Figures!$G$19:$G$20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Figures!$H$19:$H$20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15A-4C54-8224-D3B95E7B7A6B}"/>
            </c:ext>
          </c:extLst>
        </c:ser>
        <c:ser>
          <c:idx val="0"/>
          <c:order val="5"/>
          <c:tx>
            <c:strRef>
              <c:f>Figures!$C$3</c:f>
              <c:strCache>
                <c:ptCount val="1"/>
                <c:pt idx="0">
                  <c:v>ICER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Figures!$C$4:$C$10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88</c:v>
                </c:pt>
              </c:numCache>
            </c:numRef>
          </c:xVal>
          <c:yVal>
            <c:numRef>
              <c:f>Figures!$H$4:$H$10</c:f>
              <c:numCache>
                <c:formatCode>General</c:formatCode>
                <c:ptCount val="7"/>
                <c:pt idx="0">
                  <c:v>0.5</c:v>
                </c:pt>
                <c:pt idx="2">
                  <c:v>2.5</c:v>
                </c:pt>
                <c:pt idx="3">
                  <c:v>2.25</c:v>
                </c:pt>
                <c:pt idx="4">
                  <c:v>2</c:v>
                </c:pt>
                <c:pt idx="5">
                  <c:v>1.75</c:v>
                </c:pt>
                <c:pt idx="6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5A-4C54-8224-D3B95E7B7A6B}"/>
            </c:ext>
          </c:extLst>
        </c:ser>
        <c:ser>
          <c:idx val="1"/>
          <c:order val="6"/>
          <c:tx>
            <c:strRef>
              <c:f>Figures!$D$3</c:f>
              <c:strCache>
                <c:ptCount val="1"/>
                <c:pt idx="0">
                  <c:v>Expert Group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Figures!$D$4:$D$10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41.73</c:v>
                </c:pt>
                <c:pt idx="5">
                  <c:v>88</c:v>
                </c:pt>
                <c:pt idx="6">
                  <c:v>96.54</c:v>
                </c:pt>
              </c:numCache>
            </c:numRef>
          </c:xVal>
          <c:yVal>
            <c:numRef>
              <c:f>Figures!$H$4:$H$10</c:f>
              <c:numCache>
                <c:formatCode>General</c:formatCode>
                <c:ptCount val="7"/>
                <c:pt idx="0">
                  <c:v>0.5</c:v>
                </c:pt>
                <c:pt idx="2">
                  <c:v>2.5</c:v>
                </c:pt>
                <c:pt idx="3">
                  <c:v>2.25</c:v>
                </c:pt>
                <c:pt idx="4">
                  <c:v>2</c:v>
                </c:pt>
                <c:pt idx="5">
                  <c:v>1.75</c:v>
                </c:pt>
                <c:pt idx="6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15A-4C54-8224-D3B95E7B7A6B}"/>
            </c:ext>
          </c:extLst>
        </c:ser>
        <c:ser>
          <c:idx val="2"/>
          <c:order val="7"/>
          <c:tx>
            <c:strRef>
              <c:f>Figures!$E$3</c:f>
              <c:strCache>
                <c:ptCount val="1"/>
                <c:pt idx="0">
                  <c:v>Expert Group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Figures!$E$4:$E$10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93.16</c:v>
                </c:pt>
                <c:pt idx="5">
                  <c:v>65.180000000000007</c:v>
                </c:pt>
                <c:pt idx="6">
                  <c:v>0</c:v>
                </c:pt>
              </c:numCache>
            </c:numRef>
          </c:xVal>
          <c:yVal>
            <c:numRef>
              <c:f>Figures!$H$4:$H$10</c:f>
              <c:numCache>
                <c:formatCode>General</c:formatCode>
                <c:ptCount val="7"/>
                <c:pt idx="0">
                  <c:v>0.5</c:v>
                </c:pt>
                <c:pt idx="2">
                  <c:v>2.5</c:v>
                </c:pt>
                <c:pt idx="3">
                  <c:v>2.25</c:v>
                </c:pt>
                <c:pt idx="4">
                  <c:v>2</c:v>
                </c:pt>
                <c:pt idx="5">
                  <c:v>1.75</c:v>
                </c:pt>
                <c:pt idx="6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15A-4C54-8224-D3B95E7B7A6B}"/>
            </c:ext>
          </c:extLst>
        </c:ser>
        <c:ser>
          <c:idx val="3"/>
          <c:order val="8"/>
          <c:tx>
            <c:strRef>
              <c:f>Figures!$F$3</c:f>
              <c:strCache>
                <c:ptCount val="1"/>
                <c:pt idx="0">
                  <c:v>100K Benchmark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Figures!$F$16:$F$17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Figures!$H$16:$H$17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15A-4C54-8224-D3B95E7B7A6B}"/>
            </c:ext>
          </c:extLst>
        </c:ser>
        <c:ser>
          <c:idx val="4"/>
          <c:order val="9"/>
          <c:tx>
            <c:strRef>
              <c:f>Figures!$G$3</c:f>
              <c:strCache>
                <c:ptCount val="1"/>
                <c:pt idx="0">
                  <c:v>150K Benchmark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Figures!$G$19:$G$20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Figures!$H$19:$H$20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15A-4C54-8224-D3B95E7B7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33168"/>
        <c:axId val="529118192"/>
      </c:scatterChart>
      <c:valAx>
        <c:axId val="52913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Cost-Effectiveness ($000/QALY)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9118192"/>
        <c:crosses val="autoZero"/>
        <c:crossBetween val="midCat"/>
      </c:valAx>
      <c:valAx>
        <c:axId val="52911819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33168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'Figures - main'!$C$3</c:f>
              <c:strCache>
                <c:ptCount val="1"/>
                <c:pt idx="0">
                  <c:v>ICER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'Figures - main'!$C$4:$C$10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88</c:v>
                </c:pt>
              </c:numCache>
            </c:numRef>
          </c:xVal>
          <c:yVal>
            <c:numRef>
              <c:f>'Figures - main'!$H$4:$H$10</c:f>
              <c:numCache>
                <c:formatCode>General</c:formatCode>
                <c:ptCount val="7"/>
                <c:pt idx="0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F2-409D-8941-EB4E3DC30AE4}"/>
            </c:ext>
          </c:extLst>
        </c:ser>
        <c:ser>
          <c:idx val="6"/>
          <c:order val="1"/>
          <c:tx>
            <c:strRef>
              <c:f>'Figures - main'!$D$3</c:f>
              <c:strCache>
                <c:ptCount val="1"/>
                <c:pt idx="0">
                  <c:v>Expert Group 1</c:v>
                </c:pt>
              </c:strCache>
            </c:strRef>
          </c:tx>
          <c:spPr>
            <a:ln w="25400">
              <a:noFill/>
            </a:ln>
          </c:spPr>
          <c:xVal>
            <c:numRef>
              <c:f>'Figures - main'!$D$4:$D$10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41.73</c:v>
                </c:pt>
                <c:pt idx="5">
                  <c:v>88</c:v>
                </c:pt>
                <c:pt idx="6">
                  <c:v>96.54</c:v>
                </c:pt>
              </c:numCache>
            </c:numRef>
          </c:xVal>
          <c:yVal>
            <c:numRef>
              <c:f>'Figures - main'!$H$4:$H$10</c:f>
              <c:numCache>
                <c:formatCode>General</c:formatCode>
                <c:ptCount val="7"/>
                <c:pt idx="0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F2-409D-8941-EB4E3DC30AE4}"/>
            </c:ext>
          </c:extLst>
        </c:ser>
        <c:ser>
          <c:idx val="7"/>
          <c:order val="2"/>
          <c:tx>
            <c:strRef>
              <c:f>'Figures - main'!$E$3</c:f>
              <c:strCache>
                <c:ptCount val="1"/>
                <c:pt idx="0">
                  <c:v>Expert Group 2</c:v>
                </c:pt>
              </c:strCache>
            </c:strRef>
          </c:tx>
          <c:spPr>
            <a:ln w="25400">
              <a:noFill/>
            </a:ln>
          </c:spPr>
          <c:xVal>
            <c:numRef>
              <c:f>'Figures - main'!$E$4:$E$10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93.16</c:v>
                </c:pt>
                <c:pt idx="5">
                  <c:v>65.180000000000007</c:v>
                </c:pt>
                <c:pt idx="6">
                  <c:v>0</c:v>
                </c:pt>
              </c:numCache>
            </c:numRef>
          </c:xVal>
          <c:yVal>
            <c:numRef>
              <c:f>'Figures - main'!$H$4:$H$10</c:f>
              <c:numCache>
                <c:formatCode>General</c:formatCode>
                <c:ptCount val="7"/>
                <c:pt idx="0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F2-409D-8941-EB4E3DC30AE4}"/>
            </c:ext>
          </c:extLst>
        </c:ser>
        <c:ser>
          <c:idx val="8"/>
          <c:order val="3"/>
          <c:tx>
            <c:strRef>
              <c:f>'Figures - main'!$F$3</c:f>
              <c:strCache>
                <c:ptCount val="1"/>
                <c:pt idx="0">
                  <c:v>100K Benchmark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'Figures - main'!$F$16:$F$17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'Figures - main'!$H$16:$H$17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F2-409D-8941-EB4E3DC30AE4}"/>
            </c:ext>
          </c:extLst>
        </c:ser>
        <c:ser>
          <c:idx val="9"/>
          <c:order val="4"/>
          <c:tx>
            <c:strRef>
              <c:f>'Figures - main'!$G$3</c:f>
              <c:strCache>
                <c:ptCount val="1"/>
                <c:pt idx="0">
                  <c:v>150K Benchmark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'Figures - main'!$G$19:$G$20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'Figures - main'!$H$19:$H$20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F2-409D-8941-EB4E3DC30AE4}"/>
            </c:ext>
          </c:extLst>
        </c:ser>
        <c:ser>
          <c:idx val="0"/>
          <c:order val="5"/>
          <c:tx>
            <c:strRef>
              <c:f>'Figures - main'!$C$3</c:f>
              <c:strCache>
                <c:ptCount val="1"/>
                <c:pt idx="0">
                  <c:v>ICER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'Figures - main'!$C$4:$C$10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88</c:v>
                </c:pt>
              </c:numCache>
            </c:numRef>
          </c:xVal>
          <c:yVal>
            <c:numRef>
              <c:f>'Figures - main'!$H$4:$H$10</c:f>
              <c:numCache>
                <c:formatCode>General</c:formatCode>
                <c:ptCount val="7"/>
                <c:pt idx="0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1F2-409D-8941-EB4E3DC30AE4}"/>
            </c:ext>
          </c:extLst>
        </c:ser>
        <c:ser>
          <c:idx val="1"/>
          <c:order val="6"/>
          <c:tx>
            <c:strRef>
              <c:f>'Figures - main'!$D$3</c:f>
              <c:strCache>
                <c:ptCount val="1"/>
                <c:pt idx="0">
                  <c:v>Expert Group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'Figures - main'!$D$4:$D$10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41.73</c:v>
                </c:pt>
                <c:pt idx="5">
                  <c:v>88</c:v>
                </c:pt>
                <c:pt idx="6">
                  <c:v>96.54</c:v>
                </c:pt>
              </c:numCache>
            </c:numRef>
          </c:xVal>
          <c:yVal>
            <c:numRef>
              <c:f>'Figures - main'!$H$4:$H$10</c:f>
              <c:numCache>
                <c:formatCode>General</c:formatCode>
                <c:ptCount val="7"/>
                <c:pt idx="0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1F2-409D-8941-EB4E3DC30AE4}"/>
            </c:ext>
          </c:extLst>
        </c:ser>
        <c:ser>
          <c:idx val="2"/>
          <c:order val="7"/>
          <c:tx>
            <c:strRef>
              <c:f>'Figures - main'!$E$3</c:f>
              <c:strCache>
                <c:ptCount val="1"/>
                <c:pt idx="0">
                  <c:v>Expert Group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'Figures - main'!$E$4:$E$10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2">
                  <c:v>88</c:v>
                </c:pt>
                <c:pt idx="3">
                  <c:v>88</c:v>
                </c:pt>
                <c:pt idx="4">
                  <c:v>93.16</c:v>
                </c:pt>
                <c:pt idx="5">
                  <c:v>65.180000000000007</c:v>
                </c:pt>
                <c:pt idx="6">
                  <c:v>0</c:v>
                </c:pt>
              </c:numCache>
            </c:numRef>
          </c:xVal>
          <c:yVal>
            <c:numRef>
              <c:f>'Figures - main'!$H$4:$H$10</c:f>
              <c:numCache>
                <c:formatCode>General</c:formatCode>
                <c:ptCount val="7"/>
                <c:pt idx="0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1F2-409D-8941-EB4E3DC30AE4}"/>
            </c:ext>
          </c:extLst>
        </c:ser>
        <c:ser>
          <c:idx val="3"/>
          <c:order val="8"/>
          <c:tx>
            <c:strRef>
              <c:f>'Figures - main'!$F$3</c:f>
              <c:strCache>
                <c:ptCount val="1"/>
                <c:pt idx="0">
                  <c:v>100K Benchmark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'Figures - main'!$F$16:$F$17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'Figures - main'!$H$16:$H$17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1F2-409D-8941-EB4E3DC30AE4}"/>
            </c:ext>
          </c:extLst>
        </c:ser>
        <c:ser>
          <c:idx val="4"/>
          <c:order val="9"/>
          <c:tx>
            <c:strRef>
              <c:f>'Figures - main'!$G$3</c:f>
              <c:strCache>
                <c:ptCount val="1"/>
                <c:pt idx="0">
                  <c:v>150K Benchmark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'Figures - main'!$G$19:$G$20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'Figures - main'!$H$19:$H$20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1F2-409D-8941-EB4E3DC30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33168"/>
        <c:axId val="529118192"/>
      </c:scatterChart>
      <c:valAx>
        <c:axId val="52913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Cost-Effectiveness ($000/QALY)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9118192"/>
        <c:crosses val="autoZero"/>
        <c:crossBetween val="midCat"/>
      </c:valAx>
      <c:valAx>
        <c:axId val="52911819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33168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600075</xdr:colOff>
      <xdr:row>6</xdr:row>
      <xdr:rowOff>104775</xdr:rowOff>
    </xdr:from>
    <xdr:to>
      <xdr:col>20</xdr:col>
      <xdr:colOff>494627</xdr:colOff>
      <xdr:row>25</xdr:row>
      <xdr:rowOff>64573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D2ADB-FB08-4269-B100-3CF864ABA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1238250"/>
          <a:ext cx="5380952" cy="33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86591</xdr:colOff>
      <xdr:row>37</xdr:row>
      <xdr:rowOff>151534</xdr:rowOff>
    </xdr:from>
    <xdr:to>
      <xdr:col>25</xdr:col>
      <xdr:colOff>240211</xdr:colOff>
      <xdr:row>75</xdr:row>
      <xdr:rowOff>61589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7A3F52-3F17-4102-B9B1-8037FAC7D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33364" y="6091670"/>
          <a:ext cx="8684841" cy="583287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21</xdr:col>
      <xdr:colOff>85725</xdr:colOff>
      <xdr:row>36</xdr:row>
      <xdr:rowOff>140970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D7937B-8E53-48AC-999E-5C2E506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53625" y="4857750"/>
          <a:ext cx="5572125" cy="1274445"/>
        </a:xfrm>
        <a:prstGeom prst="rect">
          <a:avLst/>
        </a:prstGeom>
      </xdr:spPr>
    </xdr:pic>
    <xdr:clientData/>
  </xdr:twoCellAnchor>
  <xdr:twoCellAnchor editAs="oneCell">
    <xdr:from>
      <xdr:col>27</xdr:col>
      <xdr:colOff>16257</xdr:colOff>
      <xdr:row>9</xdr:row>
      <xdr:rowOff>65200</xdr:rowOff>
    </xdr:from>
    <xdr:to>
      <xdr:col>28</xdr:col>
      <xdr:colOff>81102</xdr:colOff>
      <xdr:row>20</xdr:row>
      <xdr:rowOff>11206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DD6525-B440-4A18-995D-C5A9E77F2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67235" y="2036461"/>
          <a:ext cx="6425888" cy="176818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23</xdr:row>
      <xdr:rowOff>0</xdr:rowOff>
    </xdr:from>
    <xdr:to>
      <xdr:col>27</xdr:col>
      <xdr:colOff>6331323</xdr:colOff>
      <xdr:row>25</xdr:row>
      <xdr:rowOff>105780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1E8636-9339-45D9-B478-E10BB062D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4559" y="4101353"/>
          <a:ext cx="6331323" cy="419545"/>
        </a:xfrm>
        <a:prstGeom prst="rect">
          <a:avLst/>
        </a:prstGeom>
      </xdr:spPr>
    </xdr:pic>
    <xdr:clientData/>
  </xdr:twoCellAnchor>
  <xdr:twoCellAnchor editAs="oneCell">
    <xdr:from>
      <xdr:col>26</xdr:col>
      <xdr:colOff>593912</xdr:colOff>
      <xdr:row>25</xdr:row>
      <xdr:rowOff>107904</xdr:rowOff>
    </xdr:from>
    <xdr:to>
      <xdr:col>27</xdr:col>
      <xdr:colOff>6320117</xdr:colOff>
      <xdr:row>27</xdr:row>
      <xdr:rowOff>19568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93E36E-14A8-4111-A909-ABE7AC29F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103353" y="4523022"/>
          <a:ext cx="6331323" cy="225428"/>
        </a:xfrm>
        <a:prstGeom prst="rect">
          <a:avLst/>
        </a:prstGeom>
      </xdr:spPr>
    </xdr:pic>
    <xdr:clientData/>
  </xdr:twoCellAnchor>
  <xdr:twoCellAnchor editAs="oneCell">
    <xdr:from>
      <xdr:col>27</xdr:col>
      <xdr:colOff>16566</xdr:colOff>
      <xdr:row>31</xdr:row>
      <xdr:rowOff>16566</xdr:rowOff>
    </xdr:from>
    <xdr:to>
      <xdr:col>28</xdr:col>
      <xdr:colOff>70974</xdr:colOff>
      <xdr:row>57</xdr:row>
      <xdr:rowOff>135198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441242E-5E32-4FCE-B8BD-DBF7FA8CE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67544" y="5632175"/>
          <a:ext cx="6415451" cy="4425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388884</xdr:colOff>
      <xdr:row>2</xdr:row>
      <xdr:rowOff>135483</xdr:rowOff>
    </xdr:from>
    <xdr:to>
      <xdr:col>18</xdr:col>
      <xdr:colOff>465084</xdr:colOff>
      <xdr:row>20</xdr:row>
      <xdr:rowOff>99190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D4F3D5-8A16-4121-A38E-278AA5E9D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261383</xdr:colOff>
      <xdr:row>5</xdr:row>
      <xdr:rowOff>125628</xdr:rowOff>
    </xdr:from>
    <xdr:ext cx="907893" cy="41665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1A94028-43F4-4115-92F0-70843E8DEB59}"/>
            </a:ext>
          </a:extLst>
        </xdr:cNvPr>
        <xdr:cNvSpPr txBox="1"/>
      </xdr:nvSpPr>
      <xdr:spPr>
        <a:xfrm>
          <a:off x="11395780" y="1465697"/>
          <a:ext cx="907893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Impact after therapy ends</a:t>
          </a:r>
        </a:p>
      </xdr:txBody>
    </xdr:sp>
    <xdr:clientData/>
  </xdr:oneCellAnchor>
  <xdr:oneCellAnchor>
    <xdr:from>
      <xdr:col>10</xdr:col>
      <xdr:colOff>256904</xdr:colOff>
      <xdr:row>10</xdr:row>
      <xdr:rowOff>33065</xdr:rowOff>
    </xdr:from>
    <xdr:ext cx="675890" cy="41665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C623CA4-1D18-44C2-BD89-C7F39FD41307}"/>
            </a:ext>
          </a:extLst>
        </xdr:cNvPr>
        <xdr:cNvSpPr txBox="1"/>
      </xdr:nvSpPr>
      <xdr:spPr>
        <a:xfrm>
          <a:off x="10780387" y="2325634"/>
          <a:ext cx="675890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Utility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weights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9</xdr:col>
      <xdr:colOff>477633</xdr:colOff>
      <xdr:row>8</xdr:row>
      <xdr:rowOff>183284</xdr:rowOff>
    </xdr:from>
    <xdr:to>
      <xdr:col>10</xdr:col>
      <xdr:colOff>30943</xdr:colOff>
      <xdr:row>13</xdr:row>
      <xdr:rowOff>143870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B5A3862C-2DF4-4F37-A9AA-E1AF1F0220FE}"/>
            </a:ext>
          </a:extLst>
        </xdr:cNvPr>
        <xdr:cNvSpPr/>
      </xdr:nvSpPr>
      <xdr:spPr>
        <a:xfrm>
          <a:off x="10390202" y="2094853"/>
          <a:ext cx="164224" cy="913086"/>
        </a:xfrm>
        <a:prstGeom prst="lef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527545</xdr:colOff>
      <xdr:row>14</xdr:row>
      <xdr:rowOff>60654</xdr:rowOff>
    </xdr:from>
    <xdr:ext cx="1449713" cy="41665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44DF323-A762-4D04-947C-F615D0270932}"/>
            </a:ext>
          </a:extLst>
        </xdr:cNvPr>
        <xdr:cNvSpPr txBox="1"/>
      </xdr:nvSpPr>
      <xdr:spPr>
        <a:xfrm>
          <a:off x="11051028" y="3115223"/>
          <a:ext cx="1449713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Adverse event cost + quality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of life burden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13</xdr:col>
      <xdr:colOff>133407</xdr:colOff>
      <xdr:row>14</xdr:row>
      <xdr:rowOff>1533</xdr:rowOff>
    </xdr:from>
    <xdr:to>
      <xdr:col>13</xdr:col>
      <xdr:colOff>297629</xdr:colOff>
      <xdr:row>16</xdr:row>
      <xdr:rowOff>124009</xdr:rowOff>
    </xdr:to>
    <xdr:sp macro="" textlink="">
      <xdr:nvSpPr>
        <xdr:cNvPr id="11" name="Left Brace 10">
          <a:extLst>
            <a:ext uri="{FF2B5EF4-FFF2-40B4-BE49-F238E27FC236}">
              <a16:creationId xmlns:a16="http://schemas.microsoft.com/office/drawing/2014/main" id="{728AC8D8-174D-4FA3-BA03-71E1390706BC}"/>
            </a:ext>
          </a:extLst>
        </xdr:cNvPr>
        <xdr:cNvSpPr/>
      </xdr:nvSpPr>
      <xdr:spPr>
        <a:xfrm>
          <a:off x="12489631" y="3056102"/>
          <a:ext cx="164222" cy="503476"/>
        </a:xfrm>
        <a:prstGeom prst="lef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10</xdr:col>
      <xdr:colOff>26276</xdr:colOff>
      <xdr:row>2</xdr:row>
      <xdr:rowOff>330581</xdr:rowOff>
    </xdr:from>
    <xdr:ext cx="1748659" cy="4576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F6FBA3E-F4AD-4600-91EA-02A0B2574714}"/>
            </a:ext>
          </a:extLst>
        </xdr:cNvPr>
        <xdr:cNvSpPr txBox="1"/>
      </xdr:nvSpPr>
      <xdr:spPr>
        <a:xfrm>
          <a:off x="10549759" y="908650"/>
          <a:ext cx="1748659" cy="4576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Tx duration + responsiveness after 1 year</a:t>
          </a:r>
        </a:p>
      </xdr:txBody>
    </xdr:sp>
    <xdr:clientData/>
  </xdr:oneCellAnchor>
  <xdr:twoCellAnchor>
    <xdr:from>
      <xdr:col>12</xdr:col>
      <xdr:colOff>597776</xdr:colOff>
      <xdr:row>9</xdr:row>
      <xdr:rowOff>6569</xdr:rowOff>
    </xdr:from>
    <xdr:to>
      <xdr:col>13</xdr:col>
      <xdr:colOff>395300</xdr:colOff>
      <xdr:row>10</xdr:row>
      <xdr:rowOff>40808</xdr:rowOff>
    </xdr:to>
    <xdr:sp macro="" textlink="">
      <xdr:nvSpPr>
        <xdr:cNvPr id="13" name="TextBox 11">
          <a:extLst>
            <a:ext uri="{FF2B5EF4-FFF2-40B4-BE49-F238E27FC236}">
              <a16:creationId xmlns:a16="http://schemas.microsoft.com/office/drawing/2014/main" id="{16B760FE-15F0-4DDF-9861-63AF929983F4}"/>
            </a:ext>
          </a:extLst>
        </xdr:cNvPr>
        <xdr:cNvSpPr txBox="1"/>
      </xdr:nvSpPr>
      <xdr:spPr>
        <a:xfrm>
          <a:off x="12343086" y="2108638"/>
          <a:ext cx="408438" cy="224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Wt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0.37442</cdr:x>
      <cdr:y>0.1975</cdr:y>
    </cdr:from>
    <cdr:to>
      <cdr:x>0.40388</cdr:x>
      <cdr:y>0.33801</cdr:y>
    </cdr:to>
    <cdr:sp macro="" textlink="">
      <cdr:nvSpPr>
        <cdr:cNvPr id="2" name="Left Brace 1">
          <a:extLst xmlns:a="http://schemas.openxmlformats.org/drawingml/2006/main">
            <a:ext uri="{FF2B5EF4-FFF2-40B4-BE49-F238E27FC236}">
              <a16:creationId xmlns:a16="http://schemas.microsoft.com/office/drawing/2014/main" id="{728AC8D8-174D-4FA3-BA03-71E1390706BC}"/>
            </a:ext>
          </a:extLst>
        </cdr:cNvPr>
        <cdr:cNvSpPr/>
      </cdr:nvSpPr>
      <cdr:spPr>
        <a:xfrm xmlns:a="http://schemas.openxmlformats.org/drawingml/2006/main">
          <a:off x="2087179" y="707697"/>
          <a:ext cx="164222" cy="503476"/>
        </a:xfrm>
        <a:prstGeom xmlns:a="http://schemas.openxmlformats.org/drawingml/2006/main" prst="leftBrac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0.37442</cdr:x>
      <cdr:y>0.04168</cdr:y>
    </cdr:from>
    <cdr:to>
      <cdr:x>0.40388</cdr:x>
      <cdr:y>0.18219</cdr:y>
    </cdr:to>
    <cdr:sp macro="" textlink="">
      <cdr:nvSpPr>
        <cdr:cNvPr id="4" name="Left Brace 3">
          <a:extLst xmlns:a="http://schemas.openxmlformats.org/drawingml/2006/main">
            <a:ext uri="{FF2B5EF4-FFF2-40B4-BE49-F238E27FC236}">
              <a16:creationId xmlns:a16="http://schemas.microsoft.com/office/drawing/2014/main" id="{7437A052-9230-4A15-9552-14A1205B6301}"/>
            </a:ext>
          </a:extLst>
        </cdr:cNvPr>
        <cdr:cNvSpPr/>
      </cdr:nvSpPr>
      <cdr:spPr>
        <a:xfrm xmlns:a="http://schemas.openxmlformats.org/drawingml/2006/main">
          <a:off x="2087180" y="149335"/>
          <a:ext cx="164222" cy="503476"/>
        </a:xfrm>
        <a:prstGeom xmlns:a="http://schemas.openxmlformats.org/drawingml/2006/main" prst="leftBrac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0.36735</cdr:x>
      <cdr:y>0.42666</cdr:y>
    </cdr:from>
    <cdr:to>
      <cdr:x>0.44062</cdr:x>
      <cdr:y>0.48938</cdr:y>
    </cdr:to>
    <cdr:sp macro="" textlink="">
      <cdr:nvSpPr>
        <cdr:cNvPr id="5" name="TextBox 11">
          <a:extLst xmlns:a="http://schemas.openxmlformats.org/drawingml/2006/main">
            <a:ext uri="{FF2B5EF4-FFF2-40B4-BE49-F238E27FC236}">
              <a16:creationId xmlns:a16="http://schemas.microsoft.com/office/drawing/2014/main" id="{16B760FE-15F0-4DDF-9861-63AF929983F4}"/>
            </a:ext>
          </a:extLst>
        </cdr:cNvPr>
        <cdr:cNvSpPr txBox="1"/>
      </cdr:nvSpPr>
      <cdr:spPr>
        <a:xfrm xmlns:a="http://schemas.openxmlformats.org/drawingml/2006/main">
          <a:off x="2047766" y="1528817"/>
          <a:ext cx="408438" cy="22473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Wt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0.36617</cdr:x>
      <cdr:y>0.46516</cdr:y>
    </cdr:from>
    <cdr:to>
      <cdr:x>0.43944</cdr:x>
      <cdr:y>0.52788</cdr:y>
    </cdr:to>
    <cdr:sp macro="" textlink="">
      <cdr:nvSpPr>
        <cdr:cNvPr id="6" name="TextBox 11">
          <a:extLst xmlns:a="http://schemas.openxmlformats.org/drawingml/2006/main">
            <a:ext uri="{FF2B5EF4-FFF2-40B4-BE49-F238E27FC236}">
              <a16:creationId xmlns:a16="http://schemas.microsoft.com/office/drawing/2014/main" id="{16B760FE-15F0-4DDF-9861-63AF929983F4}"/>
            </a:ext>
          </a:extLst>
        </cdr:cNvPr>
        <cdr:cNvSpPr txBox="1"/>
      </cdr:nvSpPr>
      <cdr:spPr>
        <a:xfrm xmlns:a="http://schemas.openxmlformats.org/drawingml/2006/main">
          <a:off x="2041197" y="1666765"/>
          <a:ext cx="408438" cy="22473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Wt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0.36617</cdr:x>
      <cdr:y>0.50549</cdr:y>
    </cdr:from>
    <cdr:to>
      <cdr:x>0.43944</cdr:x>
      <cdr:y>0.56821</cdr:y>
    </cdr:to>
    <cdr:sp macro="" textlink="">
      <cdr:nvSpPr>
        <cdr:cNvPr id="7" name="TextBox 11">
          <a:extLst xmlns:a="http://schemas.openxmlformats.org/drawingml/2006/main">
            <a:ext uri="{FF2B5EF4-FFF2-40B4-BE49-F238E27FC236}">
              <a16:creationId xmlns:a16="http://schemas.microsoft.com/office/drawing/2014/main" id="{16B760FE-15F0-4DDF-9861-63AF929983F4}"/>
            </a:ext>
          </a:extLst>
        </cdr:cNvPr>
        <cdr:cNvSpPr txBox="1"/>
      </cdr:nvSpPr>
      <cdr:spPr>
        <a:xfrm xmlns:a="http://schemas.openxmlformats.org/drawingml/2006/main">
          <a:off x="2041197" y="1811283"/>
          <a:ext cx="408438" cy="22473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Wt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0.36617</cdr:x>
      <cdr:y>0.54216</cdr:y>
    </cdr:from>
    <cdr:to>
      <cdr:x>0.43944</cdr:x>
      <cdr:y>0.60488</cdr:y>
    </cdr:to>
    <cdr:sp macro="" textlink="">
      <cdr:nvSpPr>
        <cdr:cNvPr id="8" name="TextBox 11">
          <a:extLst xmlns:a="http://schemas.openxmlformats.org/drawingml/2006/main">
            <a:ext uri="{FF2B5EF4-FFF2-40B4-BE49-F238E27FC236}">
              <a16:creationId xmlns:a16="http://schemas.microsoft.com/office/drawing/2014/main" id="{16B760FE-15F0-4DDF-9861-63AF929983F4}"/>
            </a:ext>
          </a:extLst>
        </cdr:cNvPr>
        <cdr:cNvSpPr txBox="1"/>
      </cdr:nvSpPr>
      <cdr:spPr>
        <a:xfrm xmlns:a="http://schemas.openxmlformats.org/drawingml/2006/main">
          <a:off x="2041197" y="1942662"/>
          <a:ext cx="408438" cy="22473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Wt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0.41213</cdr:x>
      <cdr:y>0.06368</cdr:y>
    </cdr:from>
    <cdr:to>
      <cdr:x>0.46826</cdr:x>
      <cdr:y>0.17174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9E916F8D-673A-438F-A623-48A63EBFE5E7}"/>
            </a:ext>
          </a:extLst>
        </cdr:cNvPr>
        <cdr:cNvSpPr txBox="1"/>
      </cdr:nvSpPr>
      <cdr:spPr>
        <a:xfrm xmlns:a="http://schemas.openxmlformats.org/drawingml/2006/main">
          <a:off x="2297387" y="228162"/>
          <a:ext cx="312906" cy="38722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>
              <a:latin typeface="Times New Roman" panose="02020603050405020304" pitchFamily="18" charset="0"/>
              <a:cs typeface="Times New Roman" panose="02020603050405020304" pitchFamily="18" charset="0"/>
            </a:rPr>
            <a:t>?</a:t>
          </a:r>
        </a:p>
      </cdr:txBody>
    </cdr:sp>
  </cdr:relSizeAnchor>
  <cdr:relSizeAnchor xmlns:cdr="http://schemas.openxmlformats.org/drawingml/2006/chartDrawing">
    <cdr:from>
      <cdr:x>0.41095</cdr:x>
      <cdr:y>0.2085</cdr:y>
    </cdr:from>
    <cdr:to>
      <cdr:x>0.46708</cdr:x>
      <cdr:y>0.31657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E4914C39-6CB3-4077-BF60-B3DBFD62D7E2}"/>
            </a:ext>
          </a:extLst>
        </cdr:cNvPr>
        <cdr:cNvSpPr txBox="1"/>
      </cdr:nvSpPr>
      <cdr:spPr>
        <a:xfrm xmlns:a="http://schemas.openxmlformats.org/drawingml/2006/main">
          <a:off x="2290817" y="747111"/>
          <a:ext cx="312906" cy="38722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>
              <a:latin typeface="Times New Roman" panose="02020603050405020304" pitchFamily="18" charset="0"/>
              <a:cs typeface="Times New Roman" panose="02020603050405020304" pitchFamily="18" charset="0"/>
            </a:rPr>
            <a:t>?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388884</xdr:colOff>
      <xdr:row>2</xdr:row>
      <xdr:rowOff>135483</xdr:rowOff>
    </xdr:from>
    <xdr:to>
      <xdr:col>18</xdr:col>
      <xdr:colOff>465084</xdr:colOff>
      <xdr:row>20</xdr:row>
      <xdr:rowOff>99190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C9B2AB-A75B-46FE-9E45-79F2377CB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8DB6-F6C5-4220-9D69-DA32E4829C25}">
  <sheetPr>
    <tabColor rgb="FF00B0F0"/>
  </sheetPr>
  <dimension ref="A3:B7"/>
  <sheetViews>
    <sheetView workbookViewId="0">
      <selection activeCell="B8" sqref="B8"/>
    </sheetView>
  </sheetViews>
  <sheetFormatPr defaultRowHeight="15" x14ac:dyDescent="0.25"/>
  <cols>
    <col min="1" max="1" width="17.5703125" customWidth="1"/>
  </cols>
  <sheetData>
    <row r="3" spans="1:2" x14ac:dyDescent="0.25">
      <c r="A3" t="s">
        <v>19</v>
      </c>
      <c r="B3" s="32">
        <v>100000</v>
      </c>
    </row>
    <row r="4" spans="1:2" x14ac:dyDescent="0.25">
      <c r="A4" t="s">
        <v>20</v>
      </c>
      <c r="B4" s="32">
        <v>150000</v>
      </c>
    </row>
    <row r="6" spans="1:2" x14ac:dyDescent="0.25">
      <c r="A6" t="s">
        <v>21</v>
      </c>
      <c r="B6">
        <v>1000</v>
      </c>
    </row>
    <row r="7" spans="1:2" x14ac:dyDescent="0.25">
      <c r="A7" t="s">
        <v>22</v>
      </c>
      <c r="B7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D844-476E-4CFD-AEFD-625B417692D0}">
  <sheetPr>
    <tabColor rgb="FFFFC000"/>
  </sheetPr>
  <dimension ref="A2:AE57"/>
  <sheetViews>
    <sheetView topLeftCell="A4" zoomScale="115" zoomScaleNormal="115" workbookViewId="0">
      <selection activeCell="A30" sqref="A30"/>
    </sheetView>
  </sheetViews>
  <sheetFormatPr defaultRowHeight="12.75" x14ac:dyDescent="0.2"/>
  <cols>
    <col min="1" max="1" width="55" style="17" customWidth="1"/>
    <col min="2" max="5" width="9.140625" style="17"/>
    <col min="6" max="7" width="9.85546875" style="17" bestFit="1" customWidth="1"/>
    <col min="8" max="9" width="9.85546875" style="17" customWidth="1"/>
    <col min="10" max="21" width="9.140625" style="17"/>
    <col min="22" max="22" width="13.7109375" style="17" customWidth="1"/>
    <col min="23" max="23" width="11.42578125" style="17" customWidth="1"/>
    <col min="24" max="24" width="12" style="17" customWidth="1"/>
    <col min="25" max="27" width="9.140625" style="17"/>
    <col min="28" max="28" width="95.42578125" style="17" customWidth="1"/>
    <col min="29" max="29" width="9.140625" style="17"/>
    <col min="30" max="30" width="36.7109375" style="17" customWidth="1"/>
    <col min="31" max="16384" width="9.140625" style="17"/>
  </cols>
  <sheetData>
    <row r="2" spans="1:31" x14ac:dyDescent="0.2">
      <c r="B2" s="56" t="s">
        <v>44</v>
      </c>
      <c r="C2" s="56"/>
      <c r="D2" s="56"/>
      <c r="E2" s="56" t="s">
        <v>45</v>
      </c>
      <c r="F2" s="56"/>
      <c r="G2" s="56"/>
      <c r="H2" s="56" t="s">
        <v>56</v>
      </c>
      <c r="I2" s="56"/>
    </row>
    <row r="3" spans="1:31" ht="25.5" x14ac:dyDescent="0.2">
      <c r="A3" s="9" t="s">
        <v>65</v>
      </c>
      <c r="B3" s="41" t="s">
        <v>46</v>
      </c>
      <c r="C3" s="41" t="s">
        <v>48</v>
      </c>
      <c r="D3" s="41" t="s">
        <v>49</v>
      </c>
      <c r="E3" s="41" t="s">
        <v>51</v>
      </c>
      <c r="F3" s="41" t="s">
        <v>52</v>
      </c>
      <c r="G3" s="41" t="s">
        <v>53</v>
      </c>
      <c r="H3" s="41" t="s">
        <v>57</v>
      </c>
      <c r="I3" s="41" t="s">
        <v>60</v>
      </c>
    </row>
    <row r="4" spans="1:31" x14ac:dyDescent="0.2">
      <c r="A4" s="6" t="s">
        <v>68</v>
      </c>
      <c r="B4" s="47">
        <v>0.84</v>
      </c>
      <c r="C4" s="47">
        <v>0.81899999999999995</v>
      </c>
      <c r="D4" s="47">
        <v>0.86099999999999999</v>
      </c>
      <c r="E4" s="32">
        <v>88000</v>
      </c>
      <c r="F4" s="32">
        <v>83546</v>
      </c>
      <c r="G4" s="32">
        <v>91924</v>
      </c>
      <c r="H4" s="47">
        <v>0.84</v>
      </c>
      <c r="I4" s="47">
        <v>0.84</v>
      </c>
    </row>
    <row r="5" spans="1:31" x14ac:dyDescent="0.2">
      <c r="A5" s="6" t="s">
        <v>69</v>
      </c>
      <c r="B5" s="47">
        <v>0.91</v>
      </c>
      <c r="C5" s="47">
        <v>0.88700000000000001</v>
      </c>
      <c r="D5" s="47">
        <v>0.93300000000000005</v>
      </c>
      <c r="E5" s="32">
        <f>+E4</f>
        <v>88000</v>
      </c>
      <c r="F5" s="32">
        <v>64223</v>
      </c>
      <c r="G5" s="32">
        <v>137411</v>
      </c>
      <c r="H5" s="47">
        <v>0.91</v>
      </c>
      <c r="I5" s="47">
        <v>0.91</v>
      </c>
    </row>
    <row r="6" spans="1:31" x14ac:dyDescent="0.2">
      <c r="A6" s="6" t="s">
        <v>95</v>
      </c>
      <c r="B6" s="47">
        <f>+V19</f>
        <v>-0.09</v>
      </c>
      <c r="C6" s="47">
        <f>+W19</f>
        <v>-0.02</v>
      </c>
      <c r="D6" s="47">
        <f>+X19</f>
        <v>-0.11</v>
      </c>
      <c r="E6" s="32">
        <f>+V14</f>
        <v>88000</v>
      </c>
      <c r="F6" s="32">
        <f>+W14</f>
        <v>54302.570948710214</v>
      </c>
      <c r="G6" s="32">
        <f>+X14</f>
        <v>108605.83092890057</v>
      </c>
      <c r="H6" s="47">
        <f>+W24</f>
        <v>0</v>
      </c>
      <c r="I6" s="47">
        <f>+W25</f>
        <v>-0.09</v>
      </c>
    </row>
    <row r="7" spans="1:31" ht="38.25" x14ac:dyDescent="0.2">
      <c r="A7" s="6" t="s">
        <v>70</v>
      </c>
      <c r="B7" s="47">
        <f t="shared" ref="B7:H7" si="0">+B4</f>
        <v>0.84</v>
      </c>
      <c r="C7" s="47">
        <f t="shared" si="0"/>
        <v>0.81899999999999995</v>
      </c>
      <c r="D7" s="47">
        <f t="shared" si="0"/>
        <v>0.86099999999999999</v>
      </c>
      <c r="E7" s="32">
        <f t="shared" si="0"/>
        <v>88000</v>
      </c>
      <c r="F7" s="32">
        <f t="shared" si="0"/>
        <v>83546</v>
      </c>
      <c r="G7" s="32">
        <f t="shared" si="0"/>
        <v>91924</v>
      </c>
      <c r="H7" s="47">
        <f t="shared" si="0"/>
        <v>0.84</v>
      </c>
      <c r="I7" s="47">
        <f>+B7+AE8</f>
        <v>0.75</v>
      </c>
      <c r="AB7" s="49" t="s">
        <v>74</v>
      </c>
    </row>
    <row r="8" spans="1:31" x14ac:dyDescent="0.2">
      <c r="A8" s="6" t="s">
        <v>71</v>
      </c>
      <c r="B8" s="47">
        <f>+B5</f>
        <v>0.91</v>
      </c>
      <c r="C8" s="47">
        <f>+C5</f>
        <v>0.88700000000000001</v>
      </c>
      <c r="D8" s="47">
        <f>+D5</f>
        <v>0.93300000000000005</v>
      </c>
      <c r="E8" s="33">
        <f>+V14</f>
        <v>88000</v>
      </c>
      <c r="F8" s="32">
        <f>+F5</f>
        <v>64223</v>
      </c>
      <c r="G8" s="32">
        <f>+G5</f>
        <v>137411</v>
      </c>
      <c r="H8" s="47">
        <f>+H5</f>
        <v>0.91</v>
      </c>
      <c r="I8" s="47">
        <f>+B8+AE8</f>
        <v>0.82000000000000006</v>
      </c>
      <c r="V8" s="18" t="s">
        <v>66</v>
      </c>
      <c r="AD8" s="17" t="s">
        <v>81</v>
      </c>
      <c r="AE8" s="17">
        <v>-0.09</v>
      </c>
    </row>
    <row r="9" spans="1:31" x14ac:dyDescent="0.2">
      <c r="AD9" s="17" t="s">
        <v>82</v>
      </c>
    </row>
    <row r="10" spans="1:31" x14ac:dyDescent="0.2">
      <c r="V10" s="27" t="s">
        <v>75</v>
      </c>
      <c r="W10" s="27" t="s">
        <v>77</v>
      </c>
      <c r="X10" s="27" t="s">
        <v>78</v>
      </c>
    </row>
    <row r="11" spans="1:31" x14ac:dyDescent="0.2">
      <c r="V11" s="32">
        <v>255431</v>
      </c>
      <c r="W11" s="32">
        <v>157620</v>
      </c>
      <c r="X11" s="32">
        <v>315242</v>
      </c>
    </row>
    <row r="12" spans="1:31" x14ac:dyDescent="0.2">
      <c r="F12" s="32"/>
      <c r="G12" s="32"/>
    </row>
    <row r="13" spans="1:31" x14ac:dyDescent="0.2">
      <c r="E13" s="32"/>
      <c r="V13" s="17" t="s">
        <v>67</v>
      </c>
      <c r="Y13" s="33">
        <f>+E4</f>
        <v>88000</v>
      </c>
    </row>
    <row r="14" spans="1:31" x14ac:dyDescent="0.2">
      <c r="B14" s="47"/>
      <c r="C14" s="47"/>
      <c r="D14" s="32"/>
      <c r="E14" s="32"/>
      <c r="F14" s="32"/>
      <c r="G14" s="32"/>
      <c r="H14" s="32"/>
      <c r="V14" s="32">
        <f>+Y13</f>
        <v>88000</v>
      </c>
      <c r="W14" s="32">
        <f>+$V14*(W11/$V11)</f>
        <v>54302.570948710214</v>
      </c>
      <c r="X14" s="32">
        <f>+$V14*(X11/$V11)</f>
        <v>108605.83092890057</v>
      </c>
    </row>
    <row r="15" spans="1:31" x14ac:dyDescent="0.2">
      <c r="D15" s="32"/>
      <c r="E15" s="32"/>
      <c r="F15" s="32"/>
      <c r="G15" s="32"/>
      <c r="H15" s="32"/>
      <c r="V15" s="17" t="s">
        <v>47</v>
      </c>
      <c r="W15" s="17" t="s">
        <v>84</v>
      </c>
    </row>
    <row r="16" spans="1:31" x14ac:dyDescent="0.2">
      <c r="D16" s="32"/>
      <c r="E16" s="32"/>
      <c r="F16" s="32"/>
      <c r="G16" s="32"/>
      <c r="H16" s="32"/>
      <c r="V16" s="17" t="s">
        <v>76</v>
      </c>
      <c r="W16" s="17" t="s">
        <v>83</v>
      </c>
    </row>
    <row r="17" spans="4:28" x14ac:dyDescent="0.2">
      <c r="D17" s="32"/>
      <c r="E17" s="32"/>
      <c r="F17" s="32"/>
      <c r="G17" s="32"/>
      <c r="H17" s="32"/>
    </row>
    <row r="18" spans="4:28" x14ac:dyDescent="0.2">
      <c r="D18" s="32"/>
      <c r="E18" s="32"/>
      <c r="F18" s="32"/>
      <c r="G18" s="32"/>
      <c r="H18" s="32"/>
      <c r="V18" s="17" t="s">
        <v>80</v>
      </c>
    </row>
    <row r="19" spans="4:28" x14ac:dyDescent="0.2">
      <c r="V19" s="17">
        <v>-0.09</v>
      </c>
      <c r="W19" s="17">
        <v>-0.02</v>
      </c>
      <c r="X19" s="17">
        <v>-0.11</v>
      </c>
    </row>
    <row r="20" spans="4:28" x14ac:dyDescent="0.2">
      <c r="V20" s="17" t="s">
        <v>47</v>
      </c>
      <c r="W20" s="17" t="s">
        <v>85</v>
      </c>
    </row>
    <row r="21" spans="4:28" x14ac:dyDescent="0.2">
      <c r="V21" s="17" t="s">
        <v>50</v>
      </c>
      <c r="W21" s="17" t="s">
        <v>83</v>
      </c>
    </row>
    <row r="23" spans="4:28" x14ac:dyDescent="0.2">
      <c r="V23" s="17" t="s">
        <v>92</v>
      </c>
    </row>
    <row r="24" spans="4:28" x14ac:dyDescent="0.2">
      <c r="V24" s="17" t="s">
        <v>93</v>
      </c>
      <c r="W24" s="17">
        <v>0</v>
      </c>
    </row>
    <row r="25" spans="4:28" x14ac:dyDescent="0.2">
      <c r="V25" s="17" t="s">
        <v>94</v>
      </c>
      <c r="W25" s="17">
        <v>-0.09</v>
      </c>
    </row>
    <row r="30" spans="4:28" x14ac:dyDescent="0.2">
      <c r="AB30" s="50" t="s">
        <v>79</v>
      </c>
    </row>
    <row r="34" spans="1:3" x14ac:dyDescent="0.2">
      <c r="A34" s="18" t="s">
        <v>58</v>
      </c>
      <c r="B34" s="27" t="s">
        <v>88</v>
      </c>
      <c r="C34" s="17" t="s">
        <v>72</v>
      </c>
    </row>
    <row r="35" spans="1:3" x14ac:dyDescent="0.2">
      <c r="C35" s="17" t="s">
        <v>87</v>
      </c>
    </row>
    <row r="36" spans="1:3" x14ac:dyDescent="0.2">
      <c r="C36" s="17" t="s">
        <v>86</v>
      </c>
    </row>
    <row r="38" spans="1:3" x14ac:dyDescent="0.2">
      <c r="B38" s="27" t="s">
        <v>54</v>
      </c>
      <c r="C38" s="17" t="s">
        <v>73</v>
      </c>
    </row>
    <row r="40" spans="1:3" x14ac:dyDescent="0.2">
      <c r="B40" s="27" t="s">
        <v>55</v>
      </c>
      <c r="C40" s="17" t="s">
        <v>89</v>
      </c>
    </row>
    <row r="41" spans="1:3" x14ac:dyDescent="0.2">
      <c r="C41" s="17" t="s">
        <v>87</v>
      </c>
    </row>
    <row r="42" spans="1:3" x14ac:dyDescent="0.2">
      <c r="B42" s="27"/>
      <c r="C42" s="17" t="s">
        <v>89</v>
      </c>
    </row>
    <row r="44" spans="1:3" x14ac:dyDescent="0.2">
      <c r="B44" s="27" t="s">
        <v>90</v>
      </c>
      <c r="C44" s="17" t="s">
        <v>91</v>
      </c>
    </row>
    <row r="45" spans="1:3" x14ac:dyDescent="0.2">
      <c r="B45" s="27"/>
    </row>
    <row r="46" spans="1:3" x14ac:dyDescent="0.2">
      <c r="B46" s="27"/>
    </row>
    <row r="47" spans="1:3" x14ac:dyDescent="0.2">
      <c r="B47" s="27"/>
    </row>
    <row r="57" spans="2:2" x14ac:dyDescent="0.2">
      <c r="B57" s="27"/>
    </row>
  </sheetData>
  <mergeCells count="3">
    <mergeCell ref="B2:D2"/>
    <mergeCell ref="E2:G2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A340-4173-4186-9CFD-CA078C6D485B}">
  <sheetPr>
    <tabColor rgb="FFFFFF00"/>
  </sheetPr>
  <dimension ref="A1:BN58"/>
  <sheetViews>
    <sheetView topLeftCell="AG1" workbookViewId="0">
      <selection activeCell="AN23" sqref="AN23"/>
    </sheetView>
  </sheetViews>
  <sheetFormatPr defaultRowHeight="15" x14ac:dyDescent="0.25"/>
  <cols>
    <col min="1" max="1" width="51" customWidth="1"/>
    <col min="2" max="2" width="6.5703125" customWidth="1"/>
    <col min="3" max="3" width="6.140625" bestFit="1" customWidth="1"/>
    <col min="4" max="4" width="7.42578125" bestFit="1" customWidth="1"/>
    <col min="5" max="5" width="9.28515625" bestFit="1" customWidth="1"/>
    <col min="6" max="6" width="8.85546875" customWidth="1"/>
    <col min="7" max="7" width="8.5703125" customWidth="1"/>
    <col min="8" max="8" width="8.140625" customWidth="1"/>
    <col min="9" max="9" width="8.28515625" customWidth="1"/>
    <col min="10" max="10" width="8.85546875" customWidth="1"/>
    <col min="11" max="11" width="9.42578125" customWidth="1"/>
    <col min="12" max="14" width="8.140625" customWidth="1"/>
    <col min="15" max="15" width="3.140625" customWidth="1"/>
    <col min="16" max="18" width="8.7109375" customWidth="1"/>
    <col min="19" max="23" width="10.7109375" customWidth="1"/>
    <col min="24" max="24" width="11.42578125" customWidth="1"/>
    <col min="25" max="25" width="9.7109375" customWidth="1"/>
    <col min="26" max="26" width="4" customWidth="1"/>
    <col min="27" max="27" width="50.28515625" hidden="1" customWidth="1"/>
    <col min="28" max="28" width="3.42578125" hidden="1" customWidth="1"/>
    <col min="30" max="30" width="10" bestFit="1" customWidth="1"/>
    <col min="31" max="32" width="10" customWidth="1"/>
    <col min="35" max="35" width="2.7109375" customWidth="1"/>
    <col min="37" max="37" width="10" bestFit="1" customWidth="1"/>
    <col min="38" max="39" width="10" customWidth="1"/>
    <col min="42" max="42" width="3.85546875" customWidth="1"/>
    <col min="44" max="44" width="10" bestFit="1" customWidth="1"/>
    <col min="45" max="46" width="10" customWidth="1"/>
    <col min="49" max="49" width="3" customWidth="1"/>
    <col min="51" max="51" width="10" bestFit="1" customWidth="1"/>
    <col min="52" max="53" width="10" customWidth="1"/>
    <col min="56" max="56" width="3.140625" customWidth="1"/>
    <col min="57" max="57" width="8.7109375" customWidth="1"/>
    <col min="58" max="58" width="10" bestFit="1" customWidth="1"/>
    <col min="62" max="62" width="10.7109375" customWidth="1"/>
    <col min="63" max="63" width="3.42578125" customWidth="1"/>
    <col min="64" max="64" width="9.140625" customWidth="1"/>
    <col min="65" max="65" width="10" bestFit="1" customWidth="1"/>
    <col min="66" max="66" width="9.5703125" customWidth="1"/>
    <col min="70" max="70" width="4" customWidth="1"/>
    <col min="77" max="77" width="3.42578125" customWidth="1"/>
  </cols>
  <sheetData>
    <row r="1" spans="1:66" ht="39.75" customHeight="1" x14ac:dyDescent="0.25">
      <c r="A1" s="2"/>
      <c r="B1" s="59" t="s">
        <v>59</v>
      </c>
      <c r="C1" s="59"/>
      <c r="D1" s="59"/>
      <c r="E1" s="59" t="s">
        <v>42</v>
      </c>
      <c r="F1" s="59"/>
      <c r="G1" s="59"/>
      <c r="H1" s="59" t="s">
        <v>41</v>
      </c>
      <c r="I1" s="59"/>
      <c r="J1" s="59" t="s">
        <v>30</v>
      </c>
      <c r="K1" s="59"/>
      <c r="L1" s="59" t="s">
        <v>31</v>
      </c>
      <c r="M1" s="59"/>
      <c r="N1" s="59"/>
      <c r="O1" s="2"/>
      <c r="X1" s="5" t="s">
        <v>6</v>
      </c>
      <c r="Y1" s="5" t="s">
        <v>7</v>
      </c>
    </row>
    <row r="2" spans="1:66" ht="36" customHeight="1" x14ac:dyDescent="0.25">
      <c r="A2" s="6"/>
      <c r="B2" s="7" t="s">
        <v>0</v>
      </c>
      <c r="C2" s="7" t="s">
        <v>1</v>
      </c>
      <c r="D2" s="7" t="s">
        <v>2</v>
      </c>
      <c r="E2" s="7" t="s">
        <v>0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28</v>
      </c>
      <c r="K2" s="7" t="s">
        <v>29</v>
      </c>
      <c r="L2" s="7" t="s">
        <v>8</v>
      </c>
      <c r="M2" s="7" t="s">
        <v>9</v>
      </c>
      <c r="N2" s="7" t="s">
        <v>10</v>
      </c>
      <c r="P2" s="24" t="s">
        <v>3</v>
      </c>
      <c r="Q2" s="24" t="s">
        <v>4</v>
      </c>
      <c r="R2" s="24" t="s">
        <v>5</v>
      </c>
      <c r="S2" s="8" t="s">
        <v>8</v>
      </c>
      <c r="T2" s="8" t="s">
        <v>11</v>
      </c>
      <c r="U2" s="8" t="s">
        <v>12</v>
      </c>
      <c r="V2" s="8" t="s">
        <v>13</v>
      </c>
      <c r="W2" s="8" t="s">
        <v>14</v>
      </c>
      <c r="X2" s="8" t="s">
        <v>15</v>
      </c>
      <c r="Y2" s="8" t="s">
        <v>16</v>
      </c>
      <c r="AC2" s="58" t="str">
        <f>+A4</f>
        <v>Utility weight - With peanut sensitivity (Age 0-11)</v>
      </c>
      <c r="AD2" s="58"/>
      <c r="AE2" s="58"/>
      <c r="AF2" s="58"/>
      <c r="AG2" s="58"/>
      <c r="AH2" s="58"/>
      <c r="AJ2" s="58" t="str">
        <f>+A5</f>
        <v>Utility weight - With peanut sensitivity (Age 12+)</v>
      </c>
      <c r="AK2" s="58"/>
      <c r="AL2" s="58"/>
      <c r="AM2" s="58"/>
      <c r="AN2" s="58"/>
      <c r="AO2" s="58"/>
      <c r="AQ2" s="58" t="str">
        <f>+A6</f>
        <v>Disutility - Anaphylaxis associated with therapy use</v>
      </c>
      <c r="AR2" s="58"/>
      <c r="AS2" s="58"/>
      <c r="AT2" s="58"/>
      <c r="AU2" s="58"/>
      <c r="AV2" s="58"/>
      <c r="AX2" s="58" t="str">
        <f>+A7</f>
        <v>Utility weight - With peanut sensitivity (Age 0-11) - plus ongoing fear</v>
      </c>
      <c r="AY2" s="58"/>
      <c r="AZ2" s="58"/>
      <c r="BA2" s="58"/>
      <c r="BB2" s="58"/>
      <c r="BC2" s="58"/>
      <c r="BE2" s="58" t="str">
        <f>+A8</f>
        <v>Utility weight - With peanut sensitivity (Age 12+) - plus ongoing fear</v>
      </c>
      <c r="BF2" s="58"/>
      <c r="BG2" s="58"/>
      <c r="BH2" s="58"/>
      <c r="BI2" s="58"/>
      <c r="BJ2" s="58"/>
    </row>
    <row r="3" spans="1:66" x14ac:dyDescent="0.25">
      <c r="A3" s="9" t="str">
        <f>+'Table 3-1 - inputs'!A3</f>
        <v>Utility assumption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P3" s="21"/>
      <c r="Q3" s="21"/>
      <c r="R3" s="21"/>
      <c r="BN3" s="1"/>
    </row>
    <row r="4" spans="1:66" x14ac:dyDescent="0.25">
      <c r="A4" s="6" t="str">
        <f>+'Table 3-1 - inputs'!A4</f>
        <v>Utility weight - With peanut sensitivity (Age 0-11)</v>
      </c>
      <c r="B4" s="10">
        <f>+'Table 3-1 - inputs'!B4</f>
        <v>0.84</v>
      </c>
      <c r="C4" s="10">
        <f>+'Table 3-1 - inputs'!C4</f>
        <v>0.81899999999999995</v>
      </c>
      <c r="D4" s="10">
        <f>+'Table 3-1 - inputs'!D4</f>
        <v>0.86099999999999999</v>
      </c>
      <c r="E4" s="11">
        <f>+'Table 3-1 - inputs'!E4</f>
        <v>88000</v>
      </c>
      <c r="F4" s="11">
        <f>+'Table 3-1 - inputs'!F4</f>
        <v>83546</v>
      </c>
      <c r="G4" s="11">
        <f>+'Table 3-1 - inputs'!G4</f>
        <v>91924</v>
      </c>
      <c r="H4" s="10">
        <f>+'Table 3-1 - inputs'!H4</f>
        <v>0.84</v>
      </c>
      <c r="I4" s="10">
        <f>+'Table 3-1 - inputs'!I4</f>
        <v>0.84</v>
      </c>
      <c r="J4" s="11">
        <f>+MAX(0,AH5)</f>
        <v>88000.000000000233</v>
      </c>
      <c r="K4" s="11">
        <f>+MAX(0,AH6)</f>
        <v>88000.000000000233</v>
      </c>
      <c r="L4" s="12">
        <f>+S4</f>
        <v>1.3229013843969831E-15</v>
      </c>
      <c r="M4" s="14" t="str">
        <f t="shared" ref="M4:N7" si="0">+IF(X4,"YES","NO")</f>
        <v>NO</v>
      </c>
      <c r="N4" s="14" t="str">
        <f t="shared" si="0"/>
        <v>NO</v>
      </c>
      <c r="O4" s="6"/>
      <c r="P4" s="44">
        <f>+MIN(E4,J4,K4)</f>
        <v>88000</v>
      </c>
      <c r="Q4" s="44">
        <f>+MEDIAN(E4,J4,K4)</f>
        <v>88000.000000000233</v>
      </c>
      <c r="R4" s="44">
        <f>+MAX(E4,J4,K4)</f>
        <v>88000.000000000233</v>
      </c>
      <c r="S4" s="45">
        <f>+AVERAGE((Q4-P4)/Q4,(R4-Q4)/Q4)</f>
        <v>1.3229013843969831E-15</v>
      </c>
      <c r="T4" s="6" t="b">
        <f>+AND(E4&lt;=Benchmark1,J4&lt;=Benchmark1,K4&lt;=Benchmark1)</f>
        <v>1</v>
      </c>
      <c r="U4" s="45" t="b">
        <f>+AND(E4&gt;Benchmark1,J4&gt;Benchmark1,K4&gt;Benchmark1)</f>
        <v>0</v>
      </c>
      <c r="V4" s="6" t="b">
        <f>+AND(E4&lt;=Benchmark2,J4&lt;=Benchmark2,K4&lt;=Benchmark2)</f>
        <v>1</v>
      </c>
      <c r="W4" s="45" t="b">
        <f>+AND(E4&gt;Benchmark2,J4&gt;Benchmark2,K4&gt;Benchmark2)</f>
        <v>0</v>
      </c>
      <c r="X4" s="11" t="b">
        <f>+AND(NOT(T4),NOT(U4))</f>
        <v>0</v>
      </c>
      <c r="Y4" s="11" t="b">
        <f>+AND(NOT(V4),NOT(W4))</f>
        <v>0</v>
      </c>
      <c r="AA4" s="11" t="s">
        <v>32</v>
      </c>
      <c r="AC4" s="19">
        <f>+B4</f>
        <v>0.84</v>
      </c>
      <c r="AD4" s="20">
        <f>+E4</f>
        <v>88000</v>
      </c>
      <c r="AE4" s="20"/>
      <c r="AF4" s="20" t="s">
        <v>23</v>
      </c>
      <c r="AG4" s="23">
        <f>-AD7/(2*AC7)</f>
        <v>1.0059792452830496</v>
      </c>
      <c r="AH4" s="23"/>
      <c r="AJ4" s="19">
        <f>+B5</f>
        <v>0.91</v>
      </c>
      <c r="AK4" s="20">
        <f>+E5</f>
        <v>88000</v>
      </c>
      <c r="AL4" s="20"/>
      <c r="AM4" s="20" t="s">
        <v>23</v>
      </c>
      <c r="AN4" s="23">
        <f>-AK7/(2*AJ7)</f>
        <v>0.95770139473684102</v>
      </c>
      <c r="AO4" s="23"/>
      <c r="AQ4" s="19">
        <f>+B6</f>
        <v>-0.09</v>
      </c>
      <c r="AR4" s="20">
        <f>+E6</f>
        <v>88000</v>
      </c>
      <c r="AS4" s="20"/>
      <c r="AT4" s="20" t="s">
        <v>23</v>
      </c>
      <c r="AU4" s="23">
        <f>-AR7/(2*AQ7)</f>
        <v>-1.5534442177938129E-2</v>
      </c>
      <c r="AV4" s="23"/>
      <c r="AX4" s="19">
        <f>+B7</f>
        <v>0.84</v>
      </c>
      <c r="AY4" s="20">
        <f>+E7</f>
        <v>88000</v>
      </c>
      <c r="AZ4" s="20"/>
      <c r="BA4" s="20" t="s">
        <v>23</v>
      </c>
      <c r="BB4" s="23">
        <f>-AY7/(2*AX7)</f>
        <v>1.0059792452830496</v>
      </c>
      <c r="BC4" s="23"/>
      <c r="BE4" s="19">
        <f>+B8</f>
        <v>0.91</v>
      </c>
      <c r="BF4" s="20">
        <f>+E8</f>
        <v>88000</v>
      </c>
      <c r="BG4" s="20"/>
      <c r="BH4" s="20" t="s">
        <v>23</v>
      </c>
      <c r="BI4" s="23">
        <f>-BF7/(2*BE7)</f>
        <v>0.8771661855348365</v>
      </c>
      <c r="BJ4" s="23"/>
      <c r="BN4" s="1"/>
    </row>
    <row r="5" spans="1:66" x14ac:dyDescent="0.25">
      <c r="A5" s="6" t="str">
        <f>+'Table 3-1 - inputs'!A5</f>
        <v>Utility weight - With peanut sensitivity (Age 12+)</v>
      </c>
      <c r="B5" s="10">
        <f>+'Table 3-1 - inputs'!B5</f>
        <v>0.91</v>
      </c>
      <c r="C5" s="10">
        <f>+'Table 3-1 - inputs'!C5</f>
        <v>0.88700000000000001</v>
      </c>
      <c r="D5" s="10">
        <f>+'Table 3-1 - inputs'!D5</f>
        <v>0.93300000000000005</v>
      </c>
      <c r="E5" s="11">
        <f>+'Table 3-1 - inputs'!V14</f>
        <v>88000</v>
      </c>
      <c r="F5" s="28">
        <f>+'Table 3-1 - inputs'!W14</f>
        <v>54302.570948710214</v>
      </c>
      <c r="G5" s="28">
        <f>+'Table 3-1 - inputs'!X14</f>
        <v>108605.83092890057</v>
      </c>
      <c r="H5" s="10">
        <f>+'Table 3-1 - inputs'!H5</f>
        <v>0.91</v>
      </c>
      <c r="I5" s="10">
        <f>+'Table 3-1 - inputs'!I5</f>
        <v>0.91</v>
      </c>
      <c r="J5" s="11">
        <f>+MAX(0,AO5)</f>
        <v>87999.999999996275</v>
      </c>
      <c r="K5" s="11">
        <f>+MAX(0,AO6)</f>
        <v>87999.999999996275</v>
      </c>
      <c r="L5" s="12">
        <f t="shared" ref="L5:L7" si="1">+S5</f>
        <v>2.1166422150352679E-14</v>
      </c>
      <c r="M5" s="14" t="str">
        <f t="shared" si="0"/>
        <v>NO</v>
      </c>
      <c r="N5" s="14" t="str">
        <f t="shared" si="0"/>
        <v>NO</v>
      </c>
      <c r="O5" s="6"/>
      <c r="P5" s="44">
        <f>+MIN(E5,J5,K5)</f>
        <v>87999.999999996275</v>
      </c>
      <c r="Q5" s="44">
        <f>+MEDIAN(E5,J5,K5)</f>
        <v>87999.999999996275</v>
      </c>
      <c r="R5" s="44">
        <f>+MAX(E5,J5,K5)</f>
        <v>88000</v>
      </c>
      <c r="S5" s="45">
        <f t="shared" ref="S5:S8" si="2">+AVERAGE((Q5-P5)/Q5,(R5-Q5)/Q5)</f>
        <v>2.1166422150352679E-14</v>
      </c>
      <c r="T5" s="6" t="b">
        <f>+AND(E5&lt;=Benchmark1,J5&lt;=Benchmark1,K5&lt;=Benchmark1)</f>
        <v>1</v>
      </c>
      <c r="U5" s="45" t="b">
        <f>+AND(E5&gt;Benchmark1,J5&gt;Benchmark1,K5&gt;Benchmark1)</f>
        <v>0</v>
      </c>
      <c r="V5" s="6" t="b">
        <f>+AND(E5&lt;=Benchmark2,J5&lt;=Benchmark2,K5&lt;=Benchmark2)</f>
        <v>1</v>
      </c>
      <c r="W5" s="45" t="b">
        <f>+AND(E5&gt;Benchmark2,J5&gt;Benchmark2,K5&gt;Benchmark2)</f>
        <v>0</v>
      </c>
      <c r="X5" s="11" t="b">
        <f>+AND(NOT(T5),NOT(U5))</f>
        <v>0</v>
      </c>
      <c r="Y5" s="11" t="b">
        <f>+AND(NOT(V5),NOT(W5))</f>
        <v>0</v>
      </c>
      <c r="AA5" s="11" t="s">
        <v>33</v>
      </c>
      <c r="AC5" s="19">
        <f>+C4</f>
        <v>0.81899999999999995</v>
      </c>
      <c r="AD5" s="20">
        <f>+F4</f>
        <v>83546</v>
      </c>
      <c r="AE5" s="20"/>
      <c r="AF5" s="20" t="s">
        <v>24</v>
      </c>
      <c r="AG5" s="23">
        <f>+H4</f>
        <v>0.84</v>
      </c>
      <c r="AH5" s="20">
        <f>+AC9*AG5^2+AD9*AG5+AE9</f>
        <v>88000.000000000233</v>
      </c>
      <c r="AJ5" s="19">
        <f>+C5</f>
        <v>0.88700000000000001</v>
      </c>
      <c r="AK5" s="20">
        <f>+F5</f>
        <v>54302.570948710214</v>
      </c>
      <c r="AL5" s="20"/>
      <c r="AM5" s="20" t="s">
        <v>24</v>
      </c>
      <c r="AN5" s="23">
        <f>+H5</f>
        <v>0.91</v>
      </c>
      <c r="AO5" s="20">
        <f>+AJ9*AN5^2+AK9*AN5+AL9</f>
        <v>87999.999999996275</v>
      </c>
      <c r="AQ5" s="19">
        <f>+C6</f>
        <v>-0.02</v>
      </c>
      <c r="AR5" s="20">
        <f>+F6</f>
        <v>54302.570948710214</v>
      </c>
      <c r="AS5" s="20"/>
      <c r="AT5" s="20" t="s">
        <v>24</v>
      </c>
      <c r="AU5" s="23">
        <f>+H6</f>
        <v>0</v>
      </c>
      <c r="AV5" s="20">
        <f>+AQ9*AU5^2+AR9*AU5+AS9</f>
        <v>41725.42224067638</v>
      </c>
      <c r="AX5" s="19">
        <f>+C7</f>
        <v>0.81899999999999995</v>
      </c>
      <c r="AY5" s="20">
        <f>+F7</f>
        <v>83546</v>
      </c>
      <c r="AZ5" s="20"/>
      <c r="BA5" s="20" t="s">
        <v>24</v>
      </c>
      <c r="BB5" s="23">
        <f>+H7</f>
        <v>0.84</v>
      </c>
      <c r="BC5" s="20">
        <f>+AX9*BB5^2+AY9*BB5+AZ9</f>
        <v>88000.000000000233</v>
      </c>
      <c r="BE5" s="19">
        <f>+C8</f>
        <v>0.88700000000000001</v>
      </c>
      <c r="BF5" s="20">
        <f>+F8</f>
        <v>64223</v>
      </c>
      <c r="BG5" s="20"/>
      <c r="BH5" s="20" t="s">
        <v>24</v>
      </c>
      <c r="BI5" s="23">
        <f>+H8</f>
        <v>0.91</v>
      </c>
      <c r="BJ5" s="20">
        <f>+BE9*BI5^2+BF9*BI5+BG9</f>
        <v>96544.666666666511</v>
      </c>
      <c r="BN5" s="1"/>
    </row>
    <row r="6" spans="1:66" x14ac:dyDescent="0.25">
      <c r="A6" s="6" t="str">
        <f>+'Table 3-1 - inputs'!A6</f>
        <v>Disutility - Anaphylaxis associated with therapy use</v>
      </c>
      <c r="B6" s="10">
        <f>+'Table 3-1 - inputs'!B6</f>
        <v>-0.09</v>
      </c>
      <c r="C6" s="10">
        <f>+'Table 3-1 - inputs'!C6</f>
        <v>-0.02</v>
      </c>
      <c r="D6" s="10">
        <f>+'Table 3-1 - inputs'!D6</f>
        <v>-0.11</v>
      </c>
      <c r="E6" s="11">
        <f>+'Table 3-1 - inputs'!E6</f>
        <v>88000</v>
      </c>
      <c r="F6" s="11">
        <f>+'Table 3-1 - inputs'!F6</f>
        <v>54302.570948710214</v>
      </c>
      <c r="G6" s="11">
        <f>+'Table 3-1 - inputs'!G6</f>
        <v>108605.83092890057</v>
      </c>
      <c r="H6" s="10">
        <f>+'Table 3-1 - inputs'!H6</f>
        <v>0</v>
      </c>
      <c r="I6" s="10">
        <f>+'Table 3-1 - inputs'!I6</f>
        <v>-0.09</v>
      </c>
      <c r="J6" s="11">
        <f>+MAX(0,AV5)</f>
        <v>41725.42224067638</v>
      </c>
      <c r="K6" s="11">
        <f>+MAX(0,AV6)</f>
        <v>93161.295713414322</v>
      </c>
      <c r="L6" s="12">
        <f t="shared" si="1"/>
        <v>0.2922492810951019</v>
      </c>
      <c r="M6" s="14" t="str">
        <f t="shared" si="0"/>
        <v>NO</v>
      </c>
      <c r="N6" s="14" t="str">
        <f t="shared" si="0"/>
        <v>NO</v>
      </c>
      <c r="O6" s="6"/>
      <c r="P6" s="44">
        <f>+MIN(E6,J6,K6)</f>
        <v>41725.42224067638</v>
      </c>
      <c r="Q6" s="44">
        <f>+MEDIAN(E6,J6,K6)</f>
        <v>88000</v>
      </c>
      <c r="R6" s="44">
        <f>+MAX(E6,J6,K6)</f>
        <v>93161.295713414322</v>
      </c>
      <c r="S6" s="45">
        <f t="shared" si="2"/>
        <v>0.2922492810951019</v>
      </c>
      <c r="T6" s="6" t="b">
        <f>+AND(E6&lt;=Benchmark1,J6&lt;=Benchmark1,K6&lt;=Benchmark1)</f>
        <v>1</v>
      </c>
      <c r="U6" s="45" t="b">
        <f>+AND(E6&gt;Benchmark1,J6&gt;Benchmark1,K6&gt;Benchmark1)</f>
        <v>0</v>
      </c>
      <c r="V6" s="6" t="b">
        <f>+AND(E6&lt;=Benchmark2,J6&lt;=Benchmark2,K6&lt;=Benchmark2)</f>
        <v>1</v>
      </c>
      <c r="W6" s="45" t="b">
        <f>+AND(E6&gt;Benchmark2,J6&gt;Benchmark2,K6&gt;Benchmark2)</f>
        <v>0</v>
      </c>
      <c r="X6" s="11" t="b">
        <f>+AND(NOT(T6),NOT(U6))</f>
        <v>0</v>
      </c>
      <c r="Y6" s="11" t="b">
        <f>+AND(NOT(V6),NOT(W6))</f>
        <v>0</v>
      </c>
      <c r="AA6" s="11" t="s">
        <v>34</v>
      </c>
      <c r="AC6" s="19">
        <f>+D4</f>
        <v>0.86099999999999999</v>
      </c>
      <c r="AD6" s="20">
        <f>+G4</f>
        <v>91924</v>
      </c>
      <c r="AE6" s="20"/>
      <c r="AF6" s="20" t="s">
        <v>25</v>
      </c>
      <c r="AG6" s="23">
        <f>+I4</f>
        <v>0.84</v>
      </c>
      <c r="AH6" s="20">
        <f>+AC9*AG6^2+AD9*AG6+AE9</f>
        <v>88000.000000000233</v>
      </c>
      <c r="AJ6" s="19">
        <f>+D5</f>
        <v>0.93300000000000005</v>
      </c>
      <c r="AK6" s="20">
        <f>+G5</f>
        <v>108605.83092890057</v>
      </c>
      <c r="AL6" s="20"/>
      <c r="AM6" s="20" t="s">
        <v>25</v>
      </c>
      <c r="AN6" s="23">
        <f>+I5</f>
        <v>0.91</v>
      </c>
      <c r="AO6" s="20">
        <f>+AJ9*AN6^2+AK9*AN6+AL9</f>
        <v>87999.999999996275</v>
      </c>
      <c r="AQ6" s="19">
        <f>+D6</f>
        <v>-0.11</v>
      </c>
      <c r="AR6" s="20">
        <f>+G6</f>
        <v>108605.83092890057</v>
      </c>
      <c r="AS6" s="20"/>
      <c r="AT6" s="20" t="s">
        <v>25</v>
      </c>
      <c r="AU6" s="23">
        <f>+I6</f>
        <v>-0.09</v>
      </c>
      <c r="AV6" s="20">
        <f>+AQ9*AU6^2+AR9*AU6+AS9</f>
        <v>93161.295713414322</v>
      </c>
      <c r="AX6" s="19">
        <f>+D7</f>
        <v>0.86099999999999999</v>
      </c>
      <c r="AY6" s="20">
        <f>+G7</f>
        <v>91924</v>
      </c>
      <c r="AZ6" s="20"/>
      <c r="BA6" s="20" t="s">
        <v>25</v>
      </c>
      <c r="BB6" s="23">
        <f>+I7</f>
        <v>0.75</v>
      </c>
      <c r="BC6" s="20">
        <f>+AX9*BB6^2+AY9*BB6+AZ9</f>
        <v>65179.795918368269</v>
      </c>
      <c r="BE6" s="19">
        <f>+D8</f>
        <v>0.93300000000000005</v>
      </c>
      <c r="BF6" s="20">
        <f>+G8</f>
        <v>137411</v>
      </c>
      <c r="BG6" s="20"/>
      <c r="BH6" s="20" t="s">
        <v>25</v>
      </c>
      <c r="BI6" s="23">
        <f>+I8</f>
        <v>0.82000000000000006</v>
      </c>
      <c r="BJ6" s="20">
        <f>+BE9*BI6^2+BF9*BI6+BG9</f>
        <v>-46649.246376811527</v>
      </c>
      <c r="BN6" s="1"/>
    </row>
    <row r="7" spans="1:66" x14ac:dyDescent="0.25">
      <c r="A7" s="6" t="str">
        <f>+'Table 3-1 - inputs'!A7</f>
        <v>Utility weight - With peanut sensitivity (Age 0-11) - plus ongoing fear</v>
      </c>
      <c r="B7" s="10">
        <f>+'Table 3-1 - inputs'!B7</f>
        <v>0.84</v>
      </c>
      <c r="C7" s="10">
        <f>+'Table 3-1 - inputs'!C7</f>
        <v>0.81899999999999995</v>
      </c>
      <c r="D7" s="10">
        <f>+'Table 3-1 - inputs'!D7</f>
        <v>0.86099999999999999</v>
      </c>
      <c r="E7" s="11">
        <f>+'Table 3-1 - inputs'!E7</f>
        <v>88000</v>
      </c>
      <c r="F7" s="11">
        <f>+'Table 3-1 - inputs'!F7</f>
        <v>83546</v>
      </c>
      <c r="G7" s="11">
        <f>+'Table 3-1 - inputs'!G7</f>
        <v>91924</v>
      </c>
      <c r="H7" s="10">
        <f>+'Table 3-1 - inputs'!H7</f>
        <v>0.84</v>
      </c>
      <c r="I7" s="10">
        <f>+'Table 3-1 - inputs'!I7</f>
        <v>0.75</v>
      </c>
      <c r="J7" s="11">
        <f>+MAX(0,BC5)</f>
        <v>88000.000000000233</v>
      </c>
      <c r="K7" s="11">
        <f>+MAX(0,BC6)</f>
        <v>65179.795918368269</v>
      </c>
      <c r="L7" s="12">
        <f t="shared" si="1"/>
        <v>0.12966025046381799</v>
      </c>
      <c r="M7" s="14" t="str">
        <f t="shared" si="0"/>
        <v>NO</v>
      </c>
      <c r="N7" s="14" t="str">
        <f t="shared" si="0"/>
        <v>NO</v>
      </c>
      <c r="O7" s="6"/>
      <c r="P7" s="44">
        <f>+MIN(E7,J7,K7)</f>
        <v>65179.795918368269</v>
      </c>
      <c r="Q7" s="44">
        <f>+MEDIAN(E7,J7,K7)</f>
        <v>88000</v>
      </c>
      <c r="R7" s="44">
        <f>+MAX(E7,J7,K7)</f>
        <v>88000.000000000233</v>
      </c>
      <c r="S7" s="45">
        <f t="shared" si="2"/>
        <v>0.12966025046381799</v>
      </c>
      <c r="T7" s="6" t="b">
        <f>+AND(E7&lt;=Benchmark1,J7&lt;=Benchmark1,K7&lt;=Benchmark1)</f>
        <v>1</v>
      </c>
      <c r="U7" s="45" t="b">
        <f>+AND(E7&gt;Benchmark1,J7&gt;Benchmark1,K7&gt;Benchmark1)</f>
        <v>0</v>
      </c>
      <c r="V7" s="6" t="b">
        <f>+AND(E7&lt;=Benchmark2,J7&lt;=Benchmark2,K7&lt;=Benchmark2)</f>
        <v>1</v>
      </c>
      <c r="W7" s="45" t="b">
        <f>+AND(E7&gt;Benchmark2,J7&gt;Benchmark2,K7&gt;Benchmark2)</f>
        <v>0</v>
      </c>
      <c r="X7" s="11" t="b">
        <f>+AND(NOT(T7),NOT(U7))</f>
        <v>0</v>
      </c>
      <c r="Y7" s="11" t="b">
        <f>+AND(NOT(V7),NOT(W7))</f>
        <v>0</v>
      </c>
      <c r="AA7" s="11" t="s">
        <v>35</v>
      </c>
      <c r="AC7" s="22" cm="1">
        <f t="array" ref="AC7:AE7">+LINEST(AD4:AD6,AC4:AC6^{1,2})</f>
        <v>-600907.02947834705</v>
      </c>
      <c r="AD7" s="22">
        <v>1208999.9999998137</v>
      </c>
      <c r="AE7" s="22">
        <v>-503559.99999992177</v>
      </c>
      <c r="AG7" s="21">
        <f>+OR(AG4=MIN(AG4:AG6,AC4:AC6),AG4=MAX(AG4:AG6,AC4:AC6))*1</f>
        <v>1</v>
      </c>
      <c r="AI7" s="4"/>
      <c r="AJ7" s="22" cm="1">
        <f t="array" ref="AJ7:AL7">+LINEST(AK4:AK6,AJ4:AJ6^{1,2})</f>
        <v>-12373911.26879904</v>
      </c>
      <c r="AK7" s="22">
        <v>23701024.160957512</v>
      </c>
      <c r="AL7" s="22">
        <v>-11233096.064778853</v>
      </c>
      <c r="AM7" s="22"/>
      <c r="AN7" s="21">
        <f>+OR(AN4=MIN(AN4:AN6,AJ4:AJ6),AN4=MAX(AN4:AN6,AJ4:AJ6))*1</f>
        <v>1</v>
      </c>
      <c r="AQ7" s="22" cm="1">
        <f t="array" ref="AQ7:AS7">+LINEST(AR4:AR6,AQ4:AQ6^{1,2})</f>
        <v>6098885.5872797091</v>
      </c>
      <c r="AR7" s="22">
        <v>189485.57101091373</v>
      </c>
      <c r="AS7" s="22">
        <v>55652.728134016601</v>
      </c>
      <c r="AT7" s="22"/>
      <c r="AU7" s="21">
        <f>+OR(AU4=MIN(AU4:AU6,AQ4:AQ6),AU4=MAX(AU4:AU6,AQ4:AQ6))*1</f>
        <v>0</v>
      </c>
      <c r="AX7" s="22" cm="1">
        <f t="array" ref="AX7:AZ7">+LINEST(AY4:AY6,AX4:AX6^{1,2})</f>
        <v>-600907.02947834705</v>
      </c>
      <c r="AY7" s="22">
        <v>1208999.9999998137</v>
      </c>
      <c r="AZ7" s="22">
        <v>-503559.99999992177</v>
      </c>
      <c r="BA7" s="22"/>
      <c r="BB7" s="21">
        <f>+OR(BB4=MIN(BB4:BB6,AX4:AX6),BB4=MAX(BB4:BB6,AX4:AX6))*1</f>
        <v>1</v>
      </c>
      <c r="BE7" s="22" cm="1">
        <f t="array" ref="BE7:BG7">+LINEST(BF4:BF6,BE4:BE6^{1,2})</f>
        <v>24228733.459357567</v>
      </c>
      <c r="BF7" s="22">
        <v>-42505251.417769879</v>
      </c>
      <c r="BG7" s="22">
        <v>18703964.612476591</v>
      </c>
      <c r="BH7" s="22"/>
      <c r="BI7" s="21">
        <f>+OR(BI4=MIN(BI4:BI6,BE4:BE6),BI4=MAX(BI4:BI6,BE4:BE6))*1</f>
        <v>0</v>
      </c>
      <c r="BN7" s="1"/>
    </row>
    <row r="8" spans="1:66" x14ac:dyDescent="0.25">
      <c r="A8" s="6" t="str">
        <f>+'Table 3-1 - inputs'!A8</f>
        <v>Utility weight - With peanut sensitivity (Age 12+) - plus ongoing fear</v>
      </c>
      <c r="B8" s="10">
        <f>+'Table 3-1 - inputs'!B8</f>
        <v>0.91</v>
      </c>
      <c r="C8" s="10">
        <f>+'Table 3-1 - inputs'!C8</f>
        <v>0.88700000000000001</v>
      </c>
      <c r="D8" s="10">
        <f>+'Table 3-1 - inputs'!D8</f>
        <v>0.93300000000000005</v>
      </c>
      <c r="E8" s="11">
        <f>+'Table 3-1 - inputs'!E8</f>
        <v>88000</v>
      </c>
      <c r="F8" s="11">
        <f>+'Table 3-1 - inputs'!F8</f>
        <v>64223</v>
      </c>
      <c r="G8" s="11">
        <f>+'Table 3-1 - inputs'!G8</f>
        <v>137411</v>
      </c>
      <c r="H8" s="10">
        <f>+'Table 3-1 - inputs'!H8</f>
        <v>0.91</v>
      </c>
      <c r="I8" s="10">
        <f>+'Table 3-1 - inputs'!I8</f>
        <v>0.82000000000000006</v>
      </c>
      <c r="J8" s="44">
        <f>+MAX(0,BJ5)</f>
        <v>96544.666666666511</v>
      </c>
      <c r="K8" s="44">
        <f>+MAX(0,BJ6)</f>
        <v>0</v>
      </c>
      <c r="L8" s="12">
        <f t="shared" ref="L8" si="3">+S8</f>
        <v>0.54854924242424152</v>
      </c>
      <c r="M8" s="14" t="str">
        <f t="shared" ref="M8" si="4">+IF(X8,"YES","NO")</f>
        <v>NO</v>
      </c>
      <c r="N8" s="14" t="str">
        <f t="shared" ref="N8" si="5">+IF(Y8,"YES","NO")</f>
        <v>NO</v>
      </c>
      <c r="O8" s="6"/>
      <c r="P8" s="44">
        <f>+MIN(E8,J8,K8)</f>
        <v>0</v>
      </c>
      <c r="Q8" s="44">
        <f>+MEDIAN(E8,J8,K8)</f>
        <v>88000</v>
      </c>
      <c r="R8" s="44">
        <f>+MAX(E8,J8,K8)</f>
        <v>96544.666666666511</v>
      </c>
      <c r="S8" s="45">
        <f t="shared" si="2"/>
        <v>0.54854924242424152</v>
      </c>
      <c r="T8" s="6" t="b">
        <f>+AND(E8&lt;=Benchmark1,J8&lt;=Benchmark1,K8&lt;=Benchmark1)</f>
        <v>1</v>
      </c>
      <c r="U8" s="45" t="b">
        <f>+AND(E8&gt;Benchmark1,J8&gt;Benchmark1,K8&gt;Benchmark1)</f>
        <v>0</v>
      </c>
      <c r="V8" s="6" t="b">
        <f>+AND(E8&lt;=Benchmark2,J8&lt;=Benchmark2,K8&lt;=Benchmark2)</f>
        <v>1</v>
      </c>
      <c r="W8" s="45" t="b">
        <f>+AND(E8&gt;Benchmark2,J8&gt;Benchmark2,K8&gt;Benchmark2)</f>
        <v>0</v>
      </c>
      <c r="X8" s="11" t="b">
        <f>+AND(NOT(T8),NOT(U8))</f>
        <v>0</v>
      </c>
      <c r="Y8" s="11" t="b">
        <f>+AND(NOT(V8),NOT(W8))</f>
        <v>0</v>
      </c>
      <c r="AA8" s="11"/>
      <c r="AD8" s="22" cm="1">
        <f t="array" ref="AD8:AE8">+LINEST(AD4:AD6,AC4:AC6^{1})</f>
        <v>199476.19047619027</v>
      </c>
      <c r="AE8" s="22">
        <v>-79736.666666666468</v>
      </c>
      <c r="AG8" s="21">
        <f>+NOT(AG7)*1</f>
        <v>0</v>
      </c>
      <c r="AK8" s="22" cm="1">
        <f t="array" ref="AK8:AL8">+LINEST(AK4:AK6,AJ4:AJ6^{1})</f>
        <v>1180505.6517432679</v>
      </c>
      <c r="AL8" s="22">
        <v>-990624.00912717043</v>
      </c>
      <c r="AM8" s="22"/>
      <c r="AN8" s="21">
        <f>+NOT(AN7)*1</f>
        <v>0</v>
      </c>
      <c r="AR8" s="22" cm="1">
        <f t="array" ref="AR8:AS8">+LINEST(AR4:AR6,AQ4:AQ6^{1})</f>
        <v>-571509.70525264379</v>
      </c>
      <c r="AS8" s="22">
        <v>41725.42224067638</v>
      </c>
      <c r="AT8" s="22"/>
      <c r="AU8" s="21">
        <f>+NOT(AU7)*1</f>
        <v>1</v>
      </c>
      <c r="AY8" s="22" cm="1">
        <f t="array" ref="AY8:AZ8">+LINEST(AY4:AY6,AX4:AX6^{1})</f>
        <v>199476.19047619027</v>
      </c>
      <c r="AZ8" s="22">
        <v>-79736.666666666468</v>
      </c>
      <c r="BA8" s="22"/>
      <c r="BB8" s="21">
        <f>+NOT(BB7)*1</f>
        <v>0</v>
      </c>
      <c r="BF8" s="22" cm="1">
        <f t="array" ref="BF8:BG8">+LINEST(BF4:BF6,BE4:BE6^{1})</f>
        <v>1591043.4782608682</v>
      </c>
      <c r="BG8" s="22">
        <v>-1351304.8985507237</v>
      </c>
      <c r="BH8" s="22"/>
      <c r="BI8" s="21">
        <f>+NOT(BI7)*1</f>
        <v>1</v>
      </c>
      <c r="BN8" s="1"/>
    </row>
    <row r="9" spans="1:66" x14ac:dyDescent="0.25">
      <c r="A9" s="6"/>
      <c r="B9" s="10"/>
      <c r="C9" s="10"/>
      <c r="D9" s="14"/>
      <c r="E9" s="6"/>
      <c r="F9" s="6"/>
      <c r="G9" s="6"/>
      <c r="H9" s="10"/>
      <c r="I9" s="10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AA9" s="11"/>
      <c r="AC9" s="22">
        <f>+SUMPRODUCT(AC7:AC8,AG7:AG8)</f>
        <v>-600907.02947834705</v>
      </c>
      <c r="AD9" s="22">
        <f>+SUMPRODUCT(AD7:AD8,AG7:AG8)</f>
        <v>1208999.9999998137</v>
      </c>
      <c r="AE9" s="22">
        <f>+SUMPRODUCT(AE7:AE8,AG7:AG8)</f>
        <v>-503559.99999992177</v>
      </c>
      <c r="AJ9" s="22">
        <f>+SUMPRODUCT(AJ7:AJ8,AN7:AN8)</f>
        <v>-12373911.26879904</v>
      </c>
      <c r="AK9" s="22">
        <f>+SUMPRODUCT(AK7:AK8,AN7:AN8)</f>
        <v>23701024.160957512</v>
      </c>
      <c r="AL9" s="22">
        <f>+SUMPRODUCT(AL7:AL8,AN7:AN8)</f>
        <v>-11233096.064778853</v>
      </c>
      <c r="AQ9" s="22">
        <f>+SUMPRODUCT(AQ7:AQ8,AU7:AU8)</f>
        <v>0</v>
      </c>
      <c r="AR9" s="22">
        <f>+SUMPRODUCT(AR7:AR8,AU7:AU8)</f>
        <v>-571509.70525264379</v>
      </c>
      <c r="AS9" s="22">
        <f>+SUMPRODUCT(AS7:AS8,AU7:AU8)</f>
        <v>41725.42224067638</v>
      </c>
      <c r="AV9" s="3"/>
      <c r="AX9" s="22">
        <f>+SUMPRODUCT(AX7:AX8,BB7:BB8)</f>
        <v>-600907.02947834705</v>
      </c>
      <c r="AY9" s="22">
        <f>+SUMPRODUCT(AY7:AY8,BB7:BB8)</f>
        <v>1208999.9999998137</v>
      </c>
      <c r="AZ9" s="22">
        <f>+SUMPRODUCT(AZ7:AZ8,BB7:BB8)</f>
        <v>-503559.99999992177</v>
      </c>
      <c r="BE9" s="22">
        <f>+SUMPRODUCT(BE7:BE8,BI7:BI8)</f>
        <v>0</v>
      </c>
      <c r="BF9" s="22">
        <f>+SUMPRODUCT(BF7:BF8,BI7:BI8)</f>
        <v>1591043.4782608682</v>
      </c>
      <c r="BG9" s="22">
        <f>+SUMPRODUCT(BG7:BG8,BI7:BI8)</f>
        <v>-1351304.8985507237</v>
      </c>
      <c r="BN9" s="1"/>
    </row>
    <row r="10" spans="1:66" x14ac:dyDescent="0.25">
      <c r="A10" s="6"/>
      <c r="B10" s="10"/>
      <c r="C10" s="10"/>
      <c r="D10" s="14"/>
      <c r="E10" s="6"/>
      <c r="F10" s="6"/>
      <c r="G10" s="6"/>
      <c r="H10" s="10"/>
      <c r="I10" s="10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AA10" s="11"/>
      <c r="AC10" s="22"/>
      <c r="AD10" s="22"/>
      <c r="AE10" s="22"/>
      <c r="AJ10" s="22"/>
      <c r="AK10" s="22"/>
      <c r="AL10" s="22"/>
      <c r="AQ10" s="22"/>
      <c r="AR10" s="22"/>
      <c r="AS10" s="22"/>
      <c r="AV10" s="3"/>
      <c r="AX10" s="22"/>
      <c r="AY10" s="22"/>
      <c r="AZ10" s="22"/>
      <c r="BN10" s="1"/>
    </row>
    <row r="11" spans="1:66" x14ac:dyDescent="0.25">
      <c r="A11" s="9" t="s">
        <v>43</v>
      </c>
      <c r="B11" s="10"/>
      <c r="C11" s="10"/>
      <c r="D11" s="14"/>
      <c r="E11" s="6"/>
      <c r="F11" s="6"/>
      <c r="G11" s="6"/>
      <c r="H11" s="10"/>
      <c r="I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AA11" s="11"/>
      <c r="AC11" s="57" t="str">
        <f>+A12</f>
        <v>Utility weight - With peanut sensitivity (Age 0-11)</v>
      </c>
      <c r="AD11" s="57"/>
      <c r="AE11" s="57"/>
      <c r="AF11" s="57"/>
      <c r="AG11" s="57"/>
      <c r="AH11" s="57"/>
      <c r="AJ11" s="57" t="str">
        <f>+A13</f>
        <v>Utility weight - With peanut sensitivity (Age 12+)</v>
      </c>
      <c r="AK11" s="57"/>
      <c r="AL11" s="57"/>
      <c r="AM11" s="57"/>
      <c r="AN11" s="57"/>
      <c r="AO11" s="57"/>
      <c r="AQ11" s="57" t="str">
        <f>+A14</f>
        <v>Disutility - Anaphylaxis associated with therapy use</v>
      </c>
      <c r="AR11" s="57"/>
      <c r="AS11" s="57"/>
      <c r="AT11" s="57"/>
      <c r="AU11" s="57"/>
      <c r="AV11" s="57"/>
      <c r="AX11" s="57" t="str">
        <f>+A15</f>
        <v>Utility weight - With peanut sensitivity (Age 0-11) - plus ongoing fear</v>
      </c>
      <c r="AY11" s="57"/>
      <c r="AZ11" s="57"/>
      <c r="BA11" s="57"/>
      <c r="BB11" s="57"/>
      <c r="BC11" s="57"/>
      <c r="BN11" s="1"/>
    </row>
    <row r="12" spans="1:66" x14ac:dyDescent="0.25">
      <c r="A12" s="6" t="str">
        <f>+'Table 3-1 - inputs'!A4</f>
        <v>Utility weight - With peanut sensitivity (Age 0-11)</v>
      </c>
      <c r="B12" s="28">
        <f>+'Table 3-1 - inputs'!B19</f>
        <v>0</v>
      </c>
      <c r="C12" s="28">
        <f>+'Table 3-1 - inputs'!C19</f>
        <v>0</v>
      </c>
      <c r="D12" s="28">
        <f>+'Table 3-1 - inputs'!D19</f>
        <v>0</v>
      </c>
      <c r="E12" s="11">
        <f>+'Table 3-1 - inputs'!E19</f>
        <v>0</v>
      </c>
      <c r="F12" s="11">
        <f>+'Table 3-1 - inputs'!F19</f>
        <v>0</v>
      </c>
      <c r="G12" s="11">
        <f>+'Table 3-1 - inputs'!G19</f>
        <v>0</v>
      </c>
      <c r="H12" s="10" t="e">
        <f>+#REF!</f>
        <v>#REF!</v>
      </c>
      <c r="I12" s="10" t="e">
        <f>+#REF!</f>
        <v>#REF!</v>
      </c>
      <c r="J12" s="11" t="e">
        <f>+AH13</f>
        <v>#DIV/0!</v>
      </c>
      <c r="K12" s="11" t="e">
        <f>+AH14</f>
        <v>#DIV/0!</v>
      </c>
      <c r="L12" s="12" t="e">
        <f t="shared" ref="L12:L15" si="6">+S12</f>
        <v>#DIV/0!</v>
      </c>
      <c r="M12" s="14" t="e">
        <f t="shared" ref="M12:N15" si="7">+IF(X12,"YES","NO")</f>
        <v>#DIV/0!</v>
      </c>
      <c r="N12" s="14" t="e">
        <f t="shared" si="7"/>
        <v>#DIV/0!</v>
      </c>
      <c r="O12" s="6"/>
      <c r="P12" s="44" t="e">
        <f>+MIN(E12,J12,K12)</f>
        <v>#DIV/0!</v>
      </c>
      <c r="Q12" s="44" t="e">
        <f>+MEDIAN(E12,J12,K12)</f>
        <v>#DIV/0!</v>
      </c>
      <c r="R12" s="44" t="e">
        <f>+MAX(E12,J12,K12)</f>
        <v>#DIV/0!</v>
      </c>
      <c r="S12" s="45" t="e">
        <f t="shared" ref="S12:S15" si="8">+AVERAGE((Q12-P12)/Q12,(R12-Q12)/Q12)</f>
        <v>#DIV/0!</v>
      </c>
      <c r="T12" s="6" t="e">
        <f>+AND(E12&lt;=Benchmark1,J12&lt;=Benchmark1,K12&lt;=Benchmark1)</f>
        <v>#DIV/0!</v>
      </c>
      <c r="U12" s="45" t="e">
        <f>+AND(E12&gt;Benchmark1,J12&gt;Benchmark1,K12&gt;Benchmark1)</f>
        <v>#DIV/0!</v>
      </c>
      <c r="V12" s="6" t="e">
        <f>+AND(E12&lt;=Benchmark2,J12&lt;=Benchmark2,K12&lt;=Benchmark2)</f>
        <v>#DIV/0!</v>
      </c>
      <c r="W12" s="45" t="e">
        <f>+AND(E12&gt;Benchmark2,J12&gt;Benchmark2,K12&gt;Benchmark2)</f>
        <v>#DIV/0!</v>
      </c>
      <c r="X12" s="11" t="e">
        <f>+AND(NOT(T12),NOT(U12))</f>
        <v>#DIV/0!</v>
      </c>
      <c r="Y12" s="11" t="e">
        <f>+AND(NOT(V12),NOT(W12))</f>
        <v>#DIV/0!</v>
      </c>
      <c r="AA12" s="11" t="s">
        <v>17</v>
      </c>
      <c r="AC12" s="19">
        <f>+B12</f>
        <v>0</v>
      </c>
      <c r="AD12" s="20">
        <f>+E12</f>
        <v>0</v>
      </c>
      <c r="AE12" s="20"/>
      <c r="AF12" s="20" t="s">
        <v>23</v>
      </c>
      <c r="AG12" s="23" t="e">
        <f>-AD15/(2*AC15)</f>
        <v>#DIV/0!</v>
      </c>
      <c r="AH12" s="23"/>
      <c r="AJ12" s="19">
        <f>+B13</f>
        <v>0</v>
      </c>
      <c r="AK12" s="20">
        <f>+E13</f>
        <v>0</v>
      </c>
      <c r="AL12" s="20"/>
      <c r="AM12" s="20" t="s">
        <v>23</v>
      </c>
      <c r="AN12" s="23" t="e">
        <f>-AK15/(2*AJ15)</f>
        <v>#DIV/0!</v>
      </c>
      <c r="AO12" s="23"/>
      <c r="AQ12" s="19">
        <f>+B14</f>
        <v>0</v>
      </c>
      <c r="AR12" s="20">
        <f>+E14</f>
        <v>0</v>
      </c>
      <c r="AS12" s="20"/>
      <c r="AT12" s="20" t="s">
        <v>23</v>
      </c>
      <c r="AU12" s="23" t="e">
        <f>-AR15/(2*AQ15)</f>
        <v>#DIV/0!</v>
      </c>
      <c r="AV12" s="23"/>
      <c r="AX12" s="19">
        <f>+B15</f>
        <v>0</v>
      </c>
      <c r="AY12" s="20">
        <f>+E15</f>
        <v>0</v>
      </c>
      <c r="AZ12" s="20"/>
      <c r="BA12" s="20" t="s">
        <v>23</v>
      </c>
      <c r="BB12" s="23" t="e">
        <f>-AY15/(2*AX15)</f>
        <v>#DIV/0!</v>
      </c>
      <c r="BC12" s="23"/>
    </row>
    <row r="13" spans="1:66" x14ac:dyDescent="0.25">
      <c r="A13" s="6" t="str">
        <f>+'Table 3-1 - inputs'!A5</f>
        <v>Utility weight - With peanut sensitivity (Age 12+)</v>
      </c>
      <c r="B13" s="28">
        <f>+'Table 3-1 - inputs'!B20</f>
        <v>0</v>
      </c>
      <c r="C13" s="28">
        <f>+'Table 3-1 - inputs'!C20</f>
        <v>0</v>
      </c>
      <c r="D13" s="28">
        <f>+'Table 3-1 - inputs'!D20</f>
        <v>0</v>
      </c>
      <c r="E13" s="11">
        <f>+'Table 3-1 - inputs'!E20</f>
        <v>0</v>
      </c>
      <c r="F13" s="28">
        <f>+'Table 3-1 - inputs'!F20</f>
        <v>0</v>
      </c>
      <c r="G13" s="28">
        <f>+'Table 3-1 - inputs'!G20</f>
        <v>0</v>
      </c>
      <c r="H13" s="10" t="e">
        <f>+#REF!</f>
        <v>#REF!</v>
      </c>
      <c r="I13" s="10" t="e">
        <f>+#REF!</f>
        <v>#REF!</v>
      </c>
      <c r="J13" s="11" t="e">
        <f>+AO13</f>
        <v>#DIV/0!</v>
      </c>
      <c r="K13" s="11" t="e">
        <f>+AO14</f>
        <v>#DIV/0!</v>
      </c>
      <c r="L13" s="12" t="e">
        <f t="shared" si="6"/>
        <v>#DIV/0!</v>
      </c>
      <c r="M13" s="14" t="e">
        <f t="shared" si="7"/>
        <v>#DIV/0!</v>
      </c>
      <c r="N13" s="14" t="e">
        <f t="shared" si="7"/>
        <v>#DIV/0!</v>
      </c>
      <c r="O13" s="6"/>
      <c r="P13" s="44" t="e">
        <f>+MIN(E13,J13,K13)</f>
        <v>#DIV/0!</v>
      </c>
      <c r="Q13" s="44" t="e">
        <f>+MEDIAN(E13,J13,K13)</f>
        <v>#DIV/0!</v>
      </c>
      <c r="R13" s="44" t="e">
        <f>+MAX(E13,J13,K13)</f>
        <v>#DIV/0!</v>
      </c>
      <c r="S13" s="45" t="e">
        <f t="shared" si="8"/>
        <v>#DIV/0!</v>
      </c>
      <c r="T13" s="6" t="e">
        <f>+AND(E13&lt;=Benchmark1,J13&lt;=Benchmark1,K13&lt;=Benchmark1)</f>
        <v>#DIV/0!</v>
      </c>
      <c r="U13" s="45" t="e">
        <f>+AND(E13&gt;Benchmark1,J13&gt;Benchmark1,K13&gt;Benchmark1)</f>
        <v>#DIV/0!</v>
      </c>
      <c r="V13" s="6" t="e">
        <f>+AND(E13&lt;=Benchmark2,J13&lt;=Benchmark2,K13&lt;=Benchmark2)</f>
        <v>#DIV/0!</v>
      </c>
      <c r="W13" s="45" t="e">
        <f>+AND(E13&gt;Benchmark2,J13&gt;Benchmark2,K13&gt;Benchmark2)</f>
        <v>#DIV/0!</v>
      </c>
      <c r="X13" s="11" t="e">
        <f>+AND(NOT(T13),NOT(U13))</f>
        <v>#DIV/0!</v>
      </c>
      <c r="Y13" s="11" t="e">
        <f>+AND(NOT(V13),NOT(W13))</f>
        <v>#DIV/0!</v>
      </c>
      <c r="AA13" s="11" t="s">
        <v>33</v>
      </c>
      <c r="AC13" s="19">
        <f>+C12</f>
        <v>0</v>
      </c>
      <c r="AD13" s="20">
        <f>+F12</f>
        <v>0</v>
      </c>
      <c r="AE13" s="20"/>
      <c r="AF13" s="20" t="s">
        <v>24</v>
      </c>
      <c r="AG13" s="23" t="e">
        <f>+H12</f>
        <v>#REF!</v>
      </c>
      <c r="AH13" s="20" t="e">
        <f>+AC17*AG13^2+AD17*AG13+AE17</f>
        <v>#DIV/0!</v>
      </c>
      <c r="AJ13" s="19">
        <f>+C13</f>
        <v>0</v>
      </c>
      <c r="AK13" s="20">
        <f>+F13</f>
        <v>0</v>
      </c>
      <c r="AL13" s="20"/>
      <c r="AM13" s="20" t="s">
        <v>24</v>
      </c>
      <c r="AN13" s="23" t="e">
        <f>+H13</f>
        <v>#REF!</v>
      </c>
      <c r="AO13" s="20" t="e">
        <f>+AJ17*AN13^2+AK17*AN13+AL17</f>
        <v>#DIV/0!</v>
      </c>
      <c r="AQ13" s="19">
        <f>+C14</f>
        <v>0</v>
      </c>
      <c r="AR13" s="20">
        <f>+F14</f>
        <v>0</v>
      </c>
      <c r="AS13" s="20"/>
      <c r="AT13" s="20" t="s">
        <v>24</v>
      </c>
      <c r="AU13" s="23" t="e">
        <f>+H14</f>
        <v>#REF!</v>
      </c>
      <c r="AV13" s="20" t="e">
        <f>+AQ17*AU13^2+AR17*AU13+AS17</f>
        <v>#DIV/0!</v>
      </c>
      <c r="AX13" s="19">
        <f>+C15</f>
        <v>0</v>
      </c>
      <c r="AY13" s="20">
        <f>+F15</f>
        <v>0</v>
      </c>
      <c r="AZ13" s="20"/>
      <c r="BA13" s="20" t="s">
        <v>24</v>
      </c>
      <c r="BB13" s="23" t="e">
        <f>+H15</f>
        <v>#REF!</v>
      </c>
      <c r="BC13" s="20" t="e">
        <f>+AX17*BB13^2+AY17*BB13+AZ17</f>
        <v>#DIV/0!</v>
      </c>
    </row>
    <row r="14" spans="1:66" x14ac:dyDescent="0.25">
      <c r="A14" s="6" t="str">
        <f>+'Table 3-1 - inputs'!A6</f>
        <v>Disutility - Anaphylaxis associated with therapy use</v>
      </c>
      <c r="B14" s="28">
        <f>+'Table 3-1 - inputs'!B21</f>
        <v>0</v>
      </c>
      <c r="C14" s="43">
        <f>+'Table 3-1 - inputs'!C21</f>
        <v>0</v>
      </c>
      <c r="D14" s="28">
        <f>+'Table 3-1 - inputs'!D21</f>
        <v>0</v>
      </c>
      <c r="E14" s="11">
        <f>+'Table 3-1 - inputs'!E21</f>
        <v>0</v>
      </c>
      <c r="F14" s="11">
        <f>+'Table 3-1 - inputs'!F21</f>
        <v>0</v>
      </c>
      <c r="G14" s="11">
        <f>+'Table 3-1 - inputs'!G21</f>
        <v>0</v>
      </c>
      <c r="H14" s="10" t="e">
        <f>+#REF!</f>
        <v>#REF!</v>
      </c>
      <c r="I14" s="10" t="e">
        <f>+#REF!</f>
        <v>#REF!</v>
      </c>
      <c r="J14" s="11" t="e">
        <f>+AV13</f>
        <v>#DIV/0!</v>
      </c>
      <c r="K14" s="11" t="e">
        <f>+AV14</f>
        <v>#DIV/0!</v>
      </c>
      <c r="L14" s="12" t="e">
        <f t="shared" si="6"/>
        <v>#DIV/0!</v>
      </c>
      <c r="M14" s="14" t="e">
        <f t="shared" si="7"/>
        <v>#DIV/0!</v>
      </c>
      <c r="N14" s="14" t="e">
        <f t="shared" si="7"/>
        <v>#DIV/0!</v>
      </c>
      <c r="O14" s="6"/>
      <c r="P14" s="44" t="e">
        <f>+MIN(E14,J14,K14)</f>
        <v>#DIV/0!</v>
      </c>
      <c r="Q14" s="44" t="e">
        <f>+MEDIAN(E14,J14,K14)</f>
        <v>#DIV/0!</v>
      </c>
      <c r="R14" s="44" t="e">
        <f>+MAX(E14,J14,K14)</f>
        <v>#DIV/0!</v>
      </c>
      <c r="S14" s="45" t="e">
        <f t="shared" si="8"/>
        <v>#DIV/0!</v>
      </c>
      <c r="T14" s="6" t="e">
        <f>+AND(E14&lt;=Benchmark1,J14&lt;=Benchmark1,K14&lt;=Benchmark1)</f>
        <v>#DIV/0!</v>
      </c>
      <c r="U14" s="45" t="e">
        <f>+AND(E14&gt;Benchmark1,J14&gt;Benchmark1,K14&gt;Benchmark1)</f>
        <v>#DIV/0!</v>
      </c>
      <c r="V14" s="6" t="e">
        <f>+AND(E14&lt;=Benchmark2,J14&lt;=Benchmark2,K14&lt;=Benchmark2)</f>
        <v>#DIV/0!</v>
      </c>
      <c r="W14" s="45" t="e">
        <f>+AND(E14&gt;Benchmark2,J14&gt;Benchmark2,K14&gt;Benchmark2)</f>
        <v>#DIV/0!</v>
      </c>
      <c r="X14" s="11" t="e">
        <f>+AND(NOT(T14),NOT(U14))</f>
        <v>#DIV/0!</v>
      </c>
      <c r="Y14" s="11" t="e">
        <f>+AND(NOT(V14),NOT(W14))</f>
        <v>#DIV/0!</v>
      </c>
      <c r="AA14" s="11" t="s">
        <v>18</v>
      </c>
      <c r="AC14" s="19">
        <f>+D12</f>
        <v>0</v>
      </c>
      <c r="AD14" s="20">
        <f>+G12</f>
        <v>0</v>
      </c>
      <c r="AE14" s="20"/>
      <c r="AF14" s="20" t="s">
        <v>25</v>
      </c>
      <c r="AG14" s="23" t="e">
        <f>+I12</f>
        <v>#REF!</v>
      </c>
      <c r="AH14" s="20" t="e">
        <f>+AC17*AG14^2+AD17*AG14+AE17</f>
        <v>#DIV/0!</v>
      </c>
      <c r="AJ14" s="19">
        <f>+D13</f>
        <v>0</v>
      </c>
      <c r="AK14" s="20">
        <f>+G13</f>
        <v>0</v>
      </c>
      <c r="AL14" s="20"/>
      <c r="AM14" s="20" t="s">
        <v>25</v>
      </c>
      <c r="AN14" s="23" t="e">
        <f>+I13</f>
        <v>#REF!</v>
      </c>
      <c r="AO14" s="20" t="e">
        <f>+AJ17*AN14^2+AK17*AN14+AL17</f>
        <v>#DIV/0!</v>
      </c>
      <c r="AQ14" s="19">
        <f>+D14</f>
        <v>0</v>
      </c>
      <c r="AR14" s="20">
        <f>+G14</f>
        <v>0</v>
      </c>
      <c r="AS14" s="20"/>
      <c r="AT14" s="20" t="s">
        <v>25</v>
      </c>
      <c r="AU14" s="23" t="e">
        <f>+I14</f>
        <v>#REF!</v>
      </c>
      <c r="AV14" s="20" t="e">
        <f>+AQ17*AU14^2+AR17*AU14+AS17</f>
        <v>#DIV/0!</v>
      </c>
      <c r="AX14" s="19">
        <f>+D15</f>
        <v>0</v>
      </c>
      <c r="AY14" s="20">
        <f>+G15</f>
        <v>0</v>
      </c>
      <c r="AZ14" s="20"/>
      <c r="BA14" s="20" t="s">
        <v>25</v>
      </c>
      <c r="BB14" s="23" t="e">
        <f>+I15</f>
        <v>#REF!</v>
      </c>
      <c r="BC14" s="20" t="e">
        <f>+AX17*BB14^2+AY17*BB14+AZ17</f>
        <v>#DIV/0!</v>
      </c>
    </row>
    <row r="15" spans="1:66" x14ac:dyDescent="0.25">
      <c r="A15" s="6" t="str">
        <f>+'Table 3-1 - inputs'!A7</f>
        <v>Utility weight - With peanut sensitivity (Age 0-11) - plus ongoing fear</v>
      </c>
      <c r="B15" s="42">
        <f>+'Table 3-1 - inputs'!B22</f>
        <v>0</v>
      </c>
      <c r="C15" s="42">
        <f>+'Table 3-1 - inputs'!C22</f>
        <v>0</v>
      </c>
      <c r="D15" s="42">
        <f>+'Table 3-1 - inputs'!D22</f>
        <v>0</v>
      </c>
      <c r="E15" s="11">
        <f>+'Table 3-1 - inputs'!E22</f>
        <v>0</v>
      </c>
      <c r="F15" s="11">
        <f>+'Table 3-1 - inputs'!F22</f>
        <v>0</v>
      </c>
      <c r="G15" s="11">
        <f>+'Table 3-1 - inputs'!G22</f>
        <v>0</v>
      </c>
      <c r="H15" s="10" t="e">
        <f>+#REF!</f>
        <v>#REF!</v>
      </c>
      <c r="I15" s="10" t="e">
        <f>+#REF!</f>
        <v>#REF!</v>
      </c>
      <c r="J15" s="11" t="e">
        <f>+BC13</f>
        <v>#DIV/0!</v>
      </c>
      <c r="K15" s="11" t="e">
        <f>+BC14</f>
        <v>#DIV/0!</v>
      </c>
      <c r="L15" s="12" t="e">
        <f t="shared" si="6"/>
        <v>#DIV/0!</v>
      </c>
      <c r="M15" s="14" t="e">
        <f t="shared" si="7"/>
        <v>#DIV/0!</v>
      </c>
      <c r="N15" s="14" t="e">
        <f t="shared" si="7"/>
        <v>#DIV/0!</v>
      </c>
      <c r="O15" s="6"/>
      <c r="P15" s="44" t="e">
        <f>+MIN(E15,J15,K15)</f>
        <v>#DIV/0!</v>
      </c>
      <c r="Q15" s="44" t="e">
        <f>+MEDIAN(E15,J15,K15)</f>
        <v>#DIV/0!</v>
      </c>
      <c r="R15" s="44" t="e">
        <f>+MAX(E15,J15,K15)</f>
        <v>#DIV/0!</v>
      </c>
      <c r="S15" s="45" t="e">
        <f t="shared" si="8"/>
        <v>#DIV/0!</v>
      </c>
      <c r="T15" s="6" t="e">
        <f>+AND(E15&lt;=Benchmark1,J15&lt;=Benchmark1,K15&lt;=Benchmark1)</f>
        <v>#DIV/0!</v>
      </c>
      <c r="U15" s="45" t="e">
        <f>+AND(E15&gt;Benchmark1,J15&gt;Benchmark1,K15&gt;Benchmark1)</f>
        <v>#DIV/0!</v>
      </c>
      <c r="V15" s="6" t="e">
        <f>+AND(E15&lt;=Benchmark2,J15&lt;=Benchmark2,K15&lt;=Benchmark2)</f>
        <v>#DIV/0!</v>
      </c>
      <c r="W15" s="45" t="e">
        <f>+AND(E15&gt;Benchmark2,J15&gt;Benchmark2,K15&gt;Benchmark2)</f>
        <v>#DIV/0!</v>
      </c>
      <c r="X15" s="11" t="e">
        <f>+AND(NOT(T15),NOT(U15))</f>
        <v>#DIV/0!</v>
      </c>
      <c r="Y15" s="11" t="e">
        <f>+AND(NOT(V15),NOT(W15))</f>
        <v>#DIV/0!</v>
      </c>
      <c r="AA15" s="11" t="s">
        <v>36</v>
      </c>
      <c r="AC15" s="22" cm="1">
        <f t="array" ref="AC15:AE15">+LINEST(AD12:AD14,AC12:AC14^{1,2})</f>
        <v>0</v>
      </c>
      <c r="AD15" s="22">
        <v>0</v>
      </c>
      <c r="AE15" s="22">
        <v>0</v>
      </c>
      <c r="AG15" s="21" t="e">
        <f>+OR(AG12=MIN(AG12:AG14,AC12:AC14),AG12=MAX(AG12:AG14,AC12:AC14))*1</f>
        <v>#DIV/0!</v>
      </c>
      <c r="AJ15" s="22" cm="1">
        <f t="array" ref="AJ15:AL15">+LINEST(AK12:AK14,AJ12:AJ14^{1,2})</f>
        <v>0</v>
      </c>
      <c r="AK15" s="22">
        <v>0</v>
      </c>
      <c r="AL15" s="22">
        <v>0</v>
      </c>
      <c r="AM15" s="22"/>
      <c r="AN15" s="21" t="e">
        <f>+OR(AN12=MIN(AN12:AN14,AJ12:AJ14),AN12=MAX(AN12:AN14,AJ12:AJ14))*1</f>
        <v>#DIV/0!</v>
      </c>
      <c r="AQ15" s="22" cm="1">
        <f t="array" ref="AQ15:AS15">+LINEST(AR12:AR14,AQ12:AQ14^{1,2})</f>
        <v>0</v>
      </c>
      <c r="AR15" s="22">
        <v>0</v>
      </c>
      <c r="AS15" s="22">
        <v>0</v>
      </c>
      <c r="AT15" s="22"/>
      <c r="AU15" s="21" t="e">
        <f>+OR(AU12=MIN(AU12:AU14,AQ12:AQ14),AU12=MAX(AU12:AU14,AQ12:AQ14))*1</f>
        <v>#DIV/0!</v>
      </c>
      <c r="AX15" s="22" cm="1">
        <f t="array" ref="AX15:AZ15">+LINEST(AY12:AY14,AX12:AX14^{1,2})</f>
        <v>0</v>
      </c>
      <c r="AY15" s="22">
        <v>0</v>
      </c>
      <c r="AZ15" s="22">
        <v>0</v>
      </c>
      <c r="BA15" s="22"/>
      <c r="BB15" s="21" t="e">
        <f>+OR(BB12=MIN(BB12:BB14,AX12:AX14),BB12=MAX(BB12:BB14,AX12:AX14))*1</f>
        <v>#DIV/0!</v>
      </c>
    </row>
    <row r="16" spans="1:66" x14ac:dyDescent="0.25">
      <c r="A16" s="6"/>
      <c r="B16" s="10"/>
      <c r="C16" s="10"/>
      <c r="D16" s="10"/>
      <c r="E16" s="11"/>
      <c r="F16" s="11"/>
      <c r="G16" s="11"/>
      <c r="H16" s="10"/>
      <c r="I16" s="10"/>
      <c r="J16" s="11"/>
      <c r="K16" s="11"/>
      <c r="L16" s="12"/>
      <c r="M16" s="24"/>
      <c r="N16" s="24"/>
      <c r="P16" s="25"/>
      <c r="Q16" s="25"/>
      <c r="R16" s="25"/>
      <c r="S16" s="13"/>
      <c r="U16" s="13"/>
      <c r="W16" s="13"/>
      <c r="X16" s="11"/>
      <c r="Y16" s="11"/>
      <c r="AA16" s="11"/>
      <c r="AD16" s="22" cm="1">
        <f t="array" ref="AD16:AE16">+LINEST(AD12:AD14,AC12:AC14^{1})</f>
        <v>0</v>
      </c>
      <c r="AE16" s="22">
        <v>0</v>
      </c>
      <c r="AG16" s="21" t="e">
        <f>+NOT(AG15)*1</f>
        <v>#DIV/0!</v>
      </c>
      <c r="AK16" s="22" cm="1">
        <f t="array" ref="AK16:AL16">+LINEST(AK12:AK14,AJ12:AJ14^{1})</f>
        <v>0</v>
      </c>
      <c r="AL16" s="22">
        <v>0</v>
      </c>
      <c r="AM16" s="22"/>
      <c r="AN16" s="21" t="e">
        <f>+NOT(AN15)*1</f>
        <v>#DIV/0!</v>
      </c>
      <c r="AR16" s="22" cm="1">
        <f t="array" ref="AR16:AS16">+LINEST(AR12:AR14,AQ12:AQ14^{1})</f>
        <v>0</v>
      </c>
      <c r="AS16" s="22">
        <v>0</v>
      </c>
      <c r="AT16" s="22"/>
      <c r="AU16" s="21" t="e">
        <f>+NOT(AU15)*1</f>
        <v>#DIV/0!</v>
      </c>
      <c r="AY16" s="22" cm="1">
        <f t="array" ref="AY16:AZ16">+LINEST(AY12:AY14,AX12:AX14^{1})</f>
        <v>0</v>
      </c>
      <c r="AZ16" s="22">
        <v>0</v>
      </c>
      <c r="BA16" s="22"/>
      <c r="BB16" s="21" t="e">
        <f>+NOT(BB15)*1</f>
        <v>#DIV/0!</v>
      </c>
    </row>
    <row r="17" spans="1:54" x14ac:dyDescent="0.25">
      <c r="A17" s="6"/>
      <c r="B17" s="10"/>
      <c r="C17" s="10"/>
      <c r="D17" s="10"/>
      <c r="E17" s="11"/>
      <c r="F17" s="11"/>
      <c r="G17" s="11"/>
      <c r="H17" s="10"/>
      <c r="I17" s="10"/>
      <c r="J17" s="11"/>
      <c r="K17" s="11"/>
      <c r="L17" s="12"/>
      <c r="M17" s="24"/>
      <c r="N17" s="24"/>
      <c r="P17" s="25"/>
      <c r="Q17" s="25"/>
      <c r="R17" s="25"/>
      <c r="S17" s="13"/>
      <c r="U17" s="13"/>
      <c r="W17" s="13"/>
      <c r="X17" s="11"/>
      <c r="Y17" s="11"/>
      <c r="AA17" s="11"/>
      <c r="AC17" s="22" t="e">
        <f>+SUMPRODUCT(AC15:AC16,AG15:AG16)</f>
        <v>#DIV/0!</v>
      </c>
      <c r="AD17" s="22" t="e">
        <f>+SUMPRODUCT(AD15:AD16,AG15:AG16)</f>
        <v>#DIV/0!</v>
      </c>
      <c r="AE17" s="22" t="e">
        <f>+SUMPRODUCT(AE15:AE16,AG15:AG16)</f>
        <v>#DIV/0!</v>
      </c>
      <c r="AJ17" s="22" t="e">
        <f>+SUMPRODUCT(AJ15:AJ16,AN15:AN16)</f>
        <v>#DIV/0!</v>
      </c>
      <c r="AK17" s="22" t="e">
        <f>+SUMPRODUCT(AK15:AK16,AN15:AN16)</f>
        <v>#DIV/0!</v>
      </c>
      <c r="AL17" s="22" t="e">
        <f>+SUMPRODUCT(AL15:AL16,AN15:AN16)</f>
        <v>#DIV/0!</v>
      </c>
      <c r="AQ17" s="22" t="e">
        <f>+SUMPRODUCT(AQ15:AQ16,AU15:AU16)</f>
        <v>#DIV/0!</v>
      </c>
      <c r="AR17" s="22" t="e">
        <f>+SUMPRODUCT(AR15:AR16,AU15:AU16)</f>
        <v>#DIV/0!</v>
      </c>
      <c r="AS17" s="22" t="e">
        <f>+SUMPRODUCT(AS15:AS16,AU15:AU16)</f>
        <v>#DIV/0!</v>
      </c>
      <c r="AV17" s="3"/>
      <c r="AX17" s="22" t="e">
        <f>+SUMPRODUCT(AX15:AX16,BB15:BB16)</f>
        <v>#DIV/0!</v>
      </c>
      <c r="AY17" s="22" t="e">
        <f>+SUMPRODUCT(AY15:AY16,BB15:BB16)</f>
        <v>#DIV/0!</v>
      </c>
      <c r="AZ17" s="22" t="e">
        <f>+SUMPRODUCT(AZ15:AZ16,BB15:BB16)</f>
        <v>#DIV/0!</v>
      </c>
    </row>
    <row r="18" spans="1:54" x14ac:dyDescent="0.25">
      <c r="A18" s="6"/>
      <c r="B18" s="10"/>
      <c r="C18" s="10"/>
      <c r="D18" s="10"/>
      <c r="E18" s="11"/>
      <c r="F18" s="11"/>
      <c r="G18" s="11"/>
      <c r="H18" s="10"/>
      <c r="I18" s="10"/>
      <c r="J18" s="11"/>
      <c r="K18" s="11"/>
      <c r="L18" s="12"/>
      <c r="M18" s="24"/>
      <c r="N18" s="24"/>
      <c r="P18" s="25"/>
      <c r="Q18" s="25"/>
      <c r="R18" s="25"/>
      <c r="S18" s="13"/>
      <c r="U18" s="13"/>
      <c r="W18" s="13"/>
      <c r="X18" s="11"/>
      <c r="Y18" s="11"/>
      <c r="AA18" s="11"/>
      <c r="AC18" s="22"/>
      <c r="AD18" s="22"/>
      <c r="AE18" s="22"/>
      <c r="AG18" s="21"/>
      <c r="AJ18" s="22"/>
      <c r="AK18" s="22"/>
      <c r="AL18" s="22"/>
      <c r="AM18" s="22"/>
      <c r="AN18" s="21"/>
      <c r="AQ18" s="22"/>
      <c r="AR18" s="22"/>
      <c r="AS18" s="22"/>
      <c r="AT18" s="22"/>
      <c r="AU18" s="21"/>
      <c r="AX18" s="22"/>
      <c r="AY18" s="22"/>
      <c r="AZ18" s="22"/>
      <c r="BA18" s="22"/>
      <c r="BB18" s="21"/>
    </row>
    <row r="19" spans="1:54" x14ac:dyDescent="0.25">
      <c r="AA19" s="11"/>
    </row>
    <row r="20" spans="1:54" x14ac:dyDescent="0.25">
      <c r="AA20" s="11"/>
    </row>
    <row r="21" spans="1:54" x14ac:dyDescent="0.25">
      <c r="AA21" s="11"/>
    </row>
    <row r="22" spans="1:54" x14ac:dyDescent="0.25">
      <c r="A22" s="6" t="s">
        <v>62</v>
      </c>
      <c r="B22" s="15"/>
      <c r="C22" s="15"/>
      <c r="E22" s="15"/>
      <c r="F22" s="15"/>
      <c r="AA22" s="11"/>
    </row>
    <row r="23" spans="1:54" x14ac:dyDescent="0.25">
      <c r="A23" s="6" t="s">
        <v>63</v>
      </c>
      <c r="B23" s="16"/>
      <c r="C23" s="16"/>
      <c r="AA23" s="11"/>
    </row>
    <row r="24" spans="1:54" x14ac:dyDescent="0.25">
      <c r="A24" s="6" t="s">
        <v>64</v>
      </c>
      <c r="AA24" s="11"/>
    </row>
    <row r="25" spans="1:54" x14ac:dyDescent="0.25">
      <c r="A25" s="6" t="s">
        <v>64</v>
      </c>
      <c r="AA25" s="11"/>
    </row>
    <row r="26" spans="1:54" x14ac:dyDescent="0.25">
      <c r="AA26" s="11"/>
    </row>
    <row r="27" spans="1:54" x14ac:dyDescent="0.25">
      <c r="B27" s="15"/>
      <c r="C27" s="15"/>
      <c r="E27" s="15"/>
      <c r="F27" s="15"/>
      <c r="AA27" s="11"/>
    </row>
    <row r="31" spans="1:54" x14ac:dyDescent="0.25">
      <c r="B31" s="15"/>
      <c r="C31" s="15"/>
      <c r="F31" s="15"/>
      <c r="G31" s="15"/>
    </row>
    <row r="53" spans="1:9" x14ac:dyDescent="0.25">
      <c r="A53" s="2"/>
    </row>
    <row r="54" spans="1:9" x14ac:dyDescent="0.25">
      <c r="B54" s="15"/>
      <c r="C54" s="15"/>
      <c r="D54" s="1"/>
      <c r="E54" s="1"/>
      <c r="F54" s="15"/>
      <c r="G54" s="15"/>
      <c r="H54" s="13"/>
      <c r="I54" s="13"/>
    </row>
    <row r="57" spans="1:9" x14ac:dyDescent="0.25">
      <c r="A57" s="2"/>
    </row>
    <row r="58" spans="1:9" x14ac:dyDescent="0.25">
      <c r="B58" s="15"/>
      <c r="C58" s="15"/>
      <c r="D58" s="1"/>
      <c r="E58" s="1"/>
      <c r="F58" s="15"/>
      <c r="G58" s="15"/>
      <c r="H58" s="13"/>
      <c r="I58" s="13"/>
    </row>
  </sheetData>
  <mergeCells count="14">
    <mergeCell ref="BE2:BJ2"/>
    <mergeCell ref="B1:D1"/>
    <mergeCell ref="E1:G1"/>
    <mergeCell ref="H1:I1"/>
    <mergeCell ref="J1:K1"/>
    <mergeCell ref="L1:N1"/>
    <mergeCell ref="AJ2:AO2"/>
    <mergeCell ref="AQ2:AV2"/>
    <mergeCell ref="AX2:BC2"/>
    <mergeCell ref="AC11:AH11"/>
    <mergeCell ref="AJ11:AO11"/>
    <mergeCell ref="AQ11:AV11"/>
    <mergeCell ref="AX11:BC11"/>
    <mergeCell ref="AC2:AH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1B3A-E37F-446C-80C8-B7B6239A483B}">
  <sheetPr>
    <tabColor rgb="FF92D050"/>
  </sheetPr>
  <dimension ref="A1:U15"/>
  <sheetViews>
    <sheetView workbookViewId="0">
      <selection activeCell="I27" sqref="I27"/>
    </sheetView>
  </sheetViews>
  <sheetFormatPr defaultRowHeight="15" x14ac:dyDescent="0.25"/>
  <cols>
    <col min="1" max="1" width="20.140625" customWidth="1"/>
    <col min="2" max="2" width="7.42578125" customWidth="1"/>
    <col min="3" max="3" width="7.5703125" customWidth="1"/>
    <col min="4" max="4" width="6.5703125" customWidth="1"/>
    <col min="5" max="5" width="8.140625" customWidth="1"/>
    <col min="6" max="6" width="8.5703125" customWidth="1"/>
    <col min="7" max="7" width="8.42578125" customWidth="1"/>
    <col min="8" max="8" width="6.85546875" customWidth="1"/>
    <col min="9" max="9" width="7" customWidth="1"/>
  </cols>
  <sheetData>
    <row r="1" spans="1:21" ht="39.75" customHeight="1" x14ac:dyDescent="0.25">
      <c r="A1" s="34"/>
      <c r="B1" s="63" t="e">
        <f>+#REF!</f>
        <v>#REF!</v>
      </c>
      <c r="C1" s="63"/>
      <c r="D1" s="63"/>
      <c r="E1" s="63" t="e">
        <f>+#REF!</f>
        <v>#REF!</v>
      </c>
      <c r="F1" s="63"/>
      <c r="G1" s="63"/>
      <c r="H1" s="63" t="e">
        <f>+#REF!</f>
        <v>#REF!</v>
      </c>
      <c r="I1" s="63"/>
      <c r="J1" s="63" t="e">
        <f>+#REF!</f>
        <v>#REF!</v>
      </c>
      <c r="K1" s="63"/>
      <c r="L1" s="40" t="e">
        <f>+#REF!</f>
        <v>#REF!</v>
      </c>
      <c r="M1" s="64" t="s">
        <v>61</v>
      </c>
      <c r="N1" s="65"/>
      <c r="O1" s="2"/>
    </row>
    <row r="2" spans="1:21" ht="36" customHeight="1" x14ac:dyDescent="0.25">
      <c r="A2" s="35"/>
      <c r="B2" s="36" t="e">
        <f>+#REF!</f>
        <v>#REF!</v>
      </c>
      <c r="C2" s="36" t="e">
        <f>+#REF!</f>
        <v>#REF!</v>
      </c>
      <c r="D2" s="36" t="e">
        <f>+#REF!</f>
        <v>#REF!</v>
      </c>
      <c r="E2" s="36" t="e">
        <f>+#REF!</f>
        <v>#REF!</v>
      </c>
      <c r="F2" s="36" t="e">
        <f>+#REF!</f>
        <v>#REF!</v>
      </c>
      <c r="G2" s="36" t="e">
        <f>+#REF!</f>
        <v>#REF!</v>
      </c>
      <c r="H2" s="36" t="e">
        <f>+#REF!</f>
        <v>#REF!</v>
      </c>
      <c r="I2" s="36" t="e">
        <f>+#REF!</f>
        <v>#REF!</v>
      </c>
      <c r="J2" s="36" t="e">
        <f>+#REF!</f>
        <v>#REF!</v>
      </c>
      <c r="K2" s="36" t="e">
        <f>+#REF!</f>
        <v>#REF!</v>
      </c>
      <c r="L2" s="36" t="e">
        <f>+#REF!</f>
        <v>#REF!</v>
      </c>
      <c r="M2" s="36" t="e">
        <f>+#REF!</f>
        <v>#REF!</v>
      </c>
      <c r="N2" s="36" t="e">
        <f>+#REF!</f>
        <v>#REF!</v>
      </c>
    </row>
    <row r="3" spans="1:21" x14ac:dyDescent="0.25">
      <c r="A3" s="60" t="str">
        <f>+'Table 3-1'!A3</f>
        <v>Utility assumption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2"/>
      <c r="U3" s="1"/>
    </row>
    <row r="4" spans="1:21" ht="23.25" x14ac:dyDescent="0.25">
      <c r="A4" s="51" t="str">
        <f>+'Table 3-1'!A4</f>
        <v>Utility weight - With peanut sensitivity (Age 0-11)</v>
      </c>
      <c r="B4" s="52">
        <f>+'Table 3-1'!B4</f>
        <v>0.84</v>
      </c>
      <c r="C4" s="52">
        <f>+'Table 3-1'!C4</f>
        <v>0.81899999999999995</v>
      </c>
      <c r="D4" s="52">
        <f>+'Table 3-1'!D4</f>
        <v>0.86099999999999999</v>
      </c>
      <c r="E4" s="53">
        <f>+ROUND('Table 3-1'!E4/CE_Scale,RoundPlace)</f>
        <v>88</v>
      </c>
      <c r="F4" s="53">
        <f>+ROUND('Table 3-1'!F4/CE_Scale,RoundPlace)</f>
        <v>83.55</v>
      </c>
      <c r="G4" s="53">
        <f>+ROUND('Table 3-1'!G4/CE_Scale,RoundPlace)</f>
        <v>91.92</v>
      </c>
      <c r="H4" s="52">
        <f>+'Table 3-1'!H4</f>
        <v>0.84</v>
      </c>
      <c r="I4" s="52">
        <f>+'Table 3-1'!I4</f>
        <v>0.84</v>
      </c>
      <c r="J4" s="53">
        <f>+ROUND('Table 3-1'!J4/CE_Scale,RoundPlace)</f>
        <v>88</v>
      </c>
      <c r="K4" s="53">
        <f>+ROUND('Table 3-1'!K4/CE_Scale,RoundPlace)</f>
        <v>88</v>
      </c>
      <c r="L4" s="54">
        <f>+'Table 3-1'!L4</f>
        <v>1.3229013843969831E-15</v>
      </c>
      <c r="M4" s="55" t="str">
        <f>+'Table 3-1'!M4</f>
        <v>NO</v>
      </c>
      <c r="N4" s="55" t="str">
        <f>+'Table 3-1'!N4</f>
        <v>NO</v>
      </c>
      <c r="U4" s="1"/>
    </row>
    <row r="5" spans="1:21" ht="23.25" x14ac:dyDescent="0.25">
      <c r="A5" s="51" t="str">
        <f>+'Table 3-1'!A5</f>
        <v>Utility weight - With peanut sensitivity (Age 12+)</v>
      </c>
      <c r="B5" s="52">
        <f>+'Table 3-1'!B5</f>
        <v>0.91</v>
      </c>
      <c r="C5" s="52">
        <f>+'Table 3-1'!C5</f>
        <v>0.88700000000000001</v>
      </c>
      <c r="D5" s="52">
        <f>+'Table 3-1'!D5</f>
        <v>0.93300000000000005</v>
      </c>
      <c r="E5" s="53">
        <f>+ROUND('Table 3-1'!E5/CE_Scale,RoundPlace)</f>
        <v>88</v>
      </c>
      <c r="F5" s="53">
        <f>+ROUND('Table 3-1'!F5/CE_Scale,RoundPlace)</f>
        <v>54.3</v>
      </c>
      <c r="G5" s="53">
        <f>+ROUND('Table 3-1'!G5/CE_Scale,RoundPlace)</f>
        <v>108.61</v>
      </c>
      <c r="H5" s="52">
        <f>+'Table 3-1'!H5</f>
        <v>0.91</v>
      </c>
      <c r="I5" s="52">
        <f>+'Table 3-1'!I5</f>
        <v>0.91</v>
      </c>
      <c r="J5" s="53">
        <f>+ROUND('Table 3-1'!J5/CE_Scale,RoundPlace)</f>
        <v>88</v>
      </c>
      <c r="K5" s="53">
        <f>+ROUND('Table 3-1'!K5/CE_Scale,RoundPlace)</f>
        <v>88</v>
      </c>
      <c r="L5" s="54">
        <f>+'Table 3-1'!L5</f>
        <v>2.1166422150352679E-14</v>
      </c>
      <c r="M5" s="55" t="str">
        <f>+'Table 3-1'!M5</f>
        <v>NO</v>
      </c>
      <c r="N5" s="55" t="str">
        <f>+'Table 3-1'!N5</f>
        <v>NO</v>
      </c>
      <c r="U5" s="1"/>
    </row>
    <row r="6" spans="1:21" ht="23.25" x14ac:dyDescent="0.25">
      <c r="A6" s="51" t="str">
        <f>+'Table 3-1'!A6</f>
        <v>Disutility - Anaphylaxis associated with therapy use</v>
      </c>
      <c r="B6" s="52">
        <f>+'Table 3-1'!B6</f>
        <v>-0.09</v>
      </c>
      <c r="C6" s="52">
        <f>+'Table 3-1'!C6</f>
        <v>-0.02</v>
      </c>
      <c r="D6" s="52">
        <f>+'Table 3-1'!D6</f>
        <v>-0.11</v>
      </c>
      <c r="E6" s="53">
        <f>+ROUND('Table 3-1'!E6/CE_Scale,RoundPlace)</f>
        <v>88</v>
      </c>
      <c r="F6" s="53">
        <f>+ROUND('Table 3-1'!F6/CE_Scale,RoundPlace)</f>
        <v>54.3</v>
      </c>
      <c r="G6" s="53">
        <f>+ROUND('Table 3-1'!G6/CE_Scale,RoundPlace)</f>
        <v>108.61</v>
      </c>
      <c r="H6" s="52">
        <f>+'Table 3-1'!H6</f>
        <v>0</v>
      </c>
      <c r="I6" s="52">
        <f>+'Table 3-1'!I6</f>
        <v>-0.09</v>
      </c>
      <c r="J6" s="53">
        <f>+ROUND('Table 3-1'!J6/CE_Scale,RoundPlace)</f>
        <v>41.73</v>
      </c>
      <c r="K6" s="53">
        <f>+ROUND('Table 3-1'!K6/CE_Scale,RoundPlace)</f>
        <v>93.16</v>
      </c>
      <c r="L6" s="54">
        <f>+'Table 3-1'!L6</f>
        <v>0.2922492810951019</v>
      </c>
      <c r="M6" s="55" t="str">
        <f>+'Table 3-1'!M6</f>
        <v>NO</v>
      </c>
      <c r="N6" s="55" t="str">
        <f>+'Table 3-1'!N6</f>
        <v>NO</v>
      </c>
      <c r="U6" s="1"/>
    </row>
    <row r="7" spans="1:21" ht="34.5" x14ac:dyDescent="0.25">
      <c r="A7" s="51" t="str">
        <f>+'Table 3-1'!A7</f>
        <v>Utility weight - With peanut sensitivity (Age 0-11) - plus ongoing fear</v>
      </c>
      <c r="B7" s="52">
        <f>+'Table 3-1'!B7</f>
        <v>0.84</v>
      </c>
      <c r="C7" s="52">
        <f>+'Table 3-1'!C7</f>
        <v>0.81899999999999995</v>
      </c>
      <c r="D7" s="52">
        <f>+'Table 3-1'!D7</f>
        <v>0.86099999999999999</v>
      </c>
      <c r="E7" s="53">
        <f>+ROUND('Table 3-1'!E7/CE_Scale,RoundPlace)</f>
        <v>88</v>
      </c>
      <c r="F7" s="53">
        <f>+ROUND('Table 3-1'!F7/CE_Scale,RoundPlace)</f>
        <v>83.55</v>
      </c>
      <c r="G7" s="53">
        <f>+ROUND('Table 3-1'!G7/CE_Scale,RoundPlace)</f>
        <v>91.92</v>
      </c>
      <c r="H7" s="52">
        <f>+'Table 3-1'!H7</f>
        <v>0.84</v>
      </c>
      <c r="I7" s="52">
        <f>+'Table 3-1'!I7</f>
        <v>0.75</v>
      </c>
      <c r="J7" s="53">
        <f>+ROUND('Table 3-1'!J7/CE_Scale,RoundPlace)</f>
        <v>88</v>
      </c>
      <c r="K7" s="53">
        <f>+ROUND('Table 3-1'!K7/CE_Scale,RoundPlace)</f>
        <v>65.180000000000007</v>
      </c>
      <c r="L7" s="54">
        <f>+'Table 3-1'!L7</f>
        <v>0.12966025046381799</v>
      </c>
      <c r="M7" s="55" t="str">
        <f>+'Table 3-1'!M7</f>
        <v>NO</v>
      </c>
      <c r="N7" s="55" t="str">
        <f>+'Table 3-1'!N7</f>
        <v>NO</v>
      </c>
      <c r="U7" s="1"/>
    </row>
    <row r="8" spans="1:21" ht="34.5" x14ac:dyDescent="0.25">
      <c r="A8" s="51" t="str">
        <f>+'Table 3-1'!A8</f>
        <v>Utility weight - With peanut sensitivity (Age 12+) - plus ongoing fear</v>
      </c>
      <c r="B8" s="52">
        <f>+'Table 3-1'!B8</f>
        <v>0.91</v>
      </c>
      <c r="C8" s="52">
        <f>+'Table 3-1'!C8</f>
        <v>0.88700000000000001</v>
      </c>
      <c r="D8" s="52">
        <f>+'Table 3-1'!D8</f>
        <v>0.93300000000000005</v>
      </c>
      <c r="E8" s="53">
        <f>+ROUND('Table 3-1'!E8/CE_Scale,RoundPlace)</f>
        <v>88</v>
      </c>
      <c r="F8" s="53">
        <f>+ROUND('Table 3-1'!F8/CE_Scale,RoundPlace)</f>
        <v>64.22</v>
      </c>
      <c r="G8" s="53">
        <f>+ROUND('Table 3-1'!G8/CE_Scale,RoundPlace)</f>
        <v>137.41</v>
      </c>
      <c r="H8" s="52">
        <f>+'Table 3-1'!H8</f>
        <v>0.91</v>
      </c>
      <c r="I8" s="52">
        <f>+'Table 3-1'!I8</f>
        <v>0.82000000000000006</v>
      </c>
      <c r="J8" s="53">
        <f>+ROUND('Table 3-1'!J8/CE_Scale,RoundPlace)</f>
        <v>96.54</v>
      </c>
      <c r="K8" s="53">
        <f>+ROUND('Table 3-1'!K8/CE_Scale,RoundPlace)</f>
        <v>0</v>
      </c>
      <c r="L8" s="54">
        <f>+'Table 3-1'!L8</f>
        <v>0.54854924242424152</v>
      </c>
      <c r="M8" s="55" t="str">
        <f>+'Table 3-1'!M8</f>
        <v>NO</v>
      </c>
      <c r="N8" s="55" t="str">
        <f>+'Table 3-1'!N8</f>
        <v>NO</v>
      </c>
      <c r="U8" s="1"/>
    </row>
    <row r="9" spans="1:21" hidden="1" x14ac:dyDescent="0.25">
      <c r="A9" s="60" t="str">
        <f>+'Table 3-1'!A11</f>
        <v>Analysis (b) Voclosporin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2"/>
    </row>
    <row r="10" spans="1:21" hidden="1" x14ac:dyDescent="0.25">
      <c r="A10" s="35" t="str">
        <f>+'Table 3-1'!A12</f>
        <v>Utility weight - With peanut sensitivity (Age 0-11)</v>
      </c>
      <c r="B10" s="37" t="e">
        <f>+#REF!</f>
        <v>#REF!</v>
      </c>
      <c r="C10" s="37" t="e">
        <f>+#REF!</f>
        <v>#REF!</v>
      </c>
      <c r="D10" s="37" t="e">
        <f>+#REF!</f>
        <v>#REF!</v>
      </c>
      <c r="E10" s="38">
        <f>+ROUND('Table 3-1'!E12/CE_Scale,RoundPlace)</f>
        <v>0</v>
      </c>
      <c r="F10" s="38">
        <f>+ROUND('Table 3-1'!F12/CE_Scale,RoundPlace)</f>
        <v>0</v>
      </c>
      <c r="G10" s="38">
        <f>+ROUND('Table 3-1'!G12/CE_Scale,RoundPlace)</f>
        <v>0</v>
      </c>
      <c r="H10" s="37" t="e">
        <f>+'Table 3-1'!H12</f>
        <v>#REF!</v>
      </c>
      <c r="I10" s="37" t="e">
        <f>+'Table 3-1'!I12</f>
        <v>#REF!</v>
      </c>
      <c r="J10" s="38" t="e">
        <f>+ROUND('Table 3-1'!J12/CE_Scale,RoundPlace)</f>
        <v>#DIV/0!</v>
      </c>
      <c r="K10" s="38" t="e">
        <f>+ROUND('Table 3-1'!K12/CE_Scale,RoundPlace)</f>
        <v>#DIV/0!</v>
      </c>
      <c r="L10" s="39" t="e">
        <f>+'Table 3-1'!L12</f>
        <v>#DIV/0!</v>
      </c>
      <c r="M10" s="39" t="e">
        <f>+'Table 3-1'!M12</f>
        <v>#DIV/0!</v>
      </c>
      <c r="N10" s="39" t="e">
        <f>+'Table 3-1'!N12</f>
        <v>#DIV/0!</v>
      </c>
    </row>
    <row r="11" spans="1:21" hidden="1" x14ac:dyDescent="0.25">
      <c r="A11" s="35" t="str">
        <f>+'Table 3-1'!A13</f>
        <v>Utility weight - With peanut sensitivity (Age 12+)</v>
      </c>
      <c r="B11" s="37" t="e">
        <f>+#REF!</f>
        <v>#REF!</v>
      </c>
      <c r="C11" s="37" t="e">
        <f>+#REF!</f>
        <v>#REF!</v>
      </c>
      <c r="D11" s="37" t="e">
        <f>+#REF!</f>
        <v>#REF!</v>
      </c>
      <c r="E11" s="38">
        <f>+ROUND('Table 3-1'!E13/CE_Scale,RoundPlace)</f>
        <v>0</v>
      </c>
      <c r="F11" s="38">
        <f>+ROUND('Table 3-1'!F13/CE_Scale,RoundPlace)</f>
        <v>0</v>
      </c>
      <c r="G11" s="38">
        <f>+ROUND('Table 3-1'!G13/CE_Scale,RoundPlace)</f>
        <v>0</v>
      </c>
      <c r="H11" s="37" t="e">
        <f>+'Table 3-1'!H13</f>
        <v>#REF!</v>
      </c>
      <c r="I11" s="37" t="e">
        <f>+'Table 3-1'!I13</f>
        <v>#REF!</v>
      </c>
      <c r="J11" s="38" t="e">
        <f>+ROUND('Table 3-1'!J13/CE_Scale,RoundPlace)</f>
        <v>#DIV/0!</v>
      </c>
      <c r="K11" s="38" t="e">
        <f>+ROUND('Table 3-1'!K13/CE_Scale,RoundPlace)</f>
        <v>#DIV/0!</v>
      </c>
      <c r="L11" s="39" t="e">
        <f>+'Table 3-1'!L13</f>
        <v>#DIV/0!</v>
      </c>
      <c r="M11" s="39" t="e">
        <f>+'Table 3-1'!M13</f>
        <v>#DIV/0!</v>
      </c>
      <c r="N11" s="39" t="e">
        <f>+'Table 3-1'!N13</f>
        <v>#DIV/0!</v>
      </c>
    </row>
    <row r="12" spans="1:21" hidden="1" x14ac:dyDescent="0.25">
      <c r="A12" s="35" t="str">
        <f>+'Table 3-1'!A14</f>
        <v>Disutility - Anaphylaxis associated with therapy use</v>
      </c>
      <c r="B12" s="37" t="e">
        <f>+#REF!</f>
        <v>#REF!</v>
      </c>
      <c r="C12" s="37" t="e">
        <f>+#REF!</f>
        <v>#REF!</v>
      </c>
      <c r="D12" s="37" t="e">
        <f>+#REF!</f>
        <v>#REF!</v>
      </c>
      <c r="E12" s="38">
        <f>+ROUND('Table 3-1'!E14/CE_Scale,RoundPlace)</f>
        <v>0</v>
      </c>
      <c r="F12" s="38">
        <f>+ROUND('Table 3-1'!F14/CE_Scale,RoundPlace)</f>
        <v>0</v>
      </c>
      <c r="G12" s="38">
        <f>+ROUND('Table 3-1'!G14/CE_Scale,RoundPlace)</f>
        <v>0</v>
      </c>
      <c r="H12" s="37" t="e">
        <f>+'Table 3-1'!H14</f>
        <v>#REF!</v>
      </c>
      <c r="I12" s="37" t="e">
        <f>+'Table 3-1'!I14</f>
        <v>#REF!</v>
      </c>
      <c r="J12" s="38" t="e">
        <f>+ROUND('Table 3-1'!J14/CE_Scale,RoundPlace)</f>
        <v>#DIV/0!</v>
      </c>
      <c r="K12" s="38" t="e">
        <f>+ROUND('Table 3-1'!K14/CE_Scale,RoundPlace)</f>
        <v>#DIV/0!</v>
      </c>
      <c r="L12" s="39" t="e">
        <f>+'Table 3-1'!L14</f>
        <v>#DIV/0!</v>
      </c>
      <c r="M12" s="39" t="e">
        <f>+'Table 3-1'!M14</f>
        <v>#DIV/0!</v>
      </c>
      <c r="N12" s="39" t="e">
        <f>+'Table 3-1'!N14</f>
        <v>#DIV/0!</v>
      </c>
    </row>
    <row r="13" spans="1:21" hidden="1" x14ac:dyDescent="0.25">
      <c r="A13" s="35" t="str">
        <f>+'Table 3-1'!A15</f>
        <v>Utility weight - With peanut sensitivity (Age 0-11) - plus ongoing fear</v>
      </c>
      <c r="B13" s="37" t="e">
        <f>+#REF!</f>
        <v>#REF!</v>
      </c>
      <c r="C13" s="37" t="e">
        <f>+#REF!</f>
        <v>#REF!</v>
      </c>
      <c r="D13" s="37" t="e">
        <f>+#REF!</f>
        <v>#REF!</v>
      </c>
      <c r="E13" s="38">
        <f>+ROUND('Table 3-1'!E15/CE_Scale,RoundPlace)</f>
        <v>0</v>
      </c>
      <c r="F13" s="38">
        <f>+ROUND('Table 3-1'!F15/CE_Scale,RoundPlace)</f>
        <v>0</v>
      </c>
      <c r="G13" s="38">
        <f>+ROUND('Table 3-1'!G15/CE_Scale,RoundPlace)</f>
        <v>0</v>
      </c>
      <c r="H13" s="37" t="e">
        <f>+'Table 3-1'!H15</f>
        <v>#REF!</v>
      </c>
      <c r="I13" s="37" t="e">
        <f>+'Table 3-1'!I15</f>
        <v>#REF!</v>
      </c>
      <c r="J13" s="38" t="e">
        <f>+ROUND('Table 3-1'!J15/CE_Scale,RoundPlace)</f>
        <v>#DIV/0!</v>
      </c>
      <c r="K13" s="38" t="e">
        <f>+ROUND('Table 3-1'!K15/CE_Scale,RoundPlace)</f>
        <v>#DIV/0!</v>
      </c>
      <c r="L13" s="39" t="e">
        <f>+'Table 3-1'!L15</f>
        <v>#DIV/0!</v>
      </c>
      <c r="M13" s="39" t="e">
        <f>+'Table 3-1'!M15</f>
        <v>#DIV/0!</v>
      </c>
      <c r="N13" s="39" t="e">
        <f>+'Table 3-1'!N15</f>
        <v>#DIV/0!</v>
      </c>
    </row>
    <row r="15" spans="1:21" x14ac:dyDescent="0.25">
      <c r="U15" s="46"/>
    </row>
  </sheetData>
  <mergeCells count="7">
    <mergeCell ref="A9:N9"/>
    <mergeCell ref="B1:D1"/>
    <mergeCell ref="E1:G1"/>
    <mergeCell ref="H1:I1"/>
    <mergeCell ref="J1:K1"/>
    <mergeCell ref="A3:N3"/>
    <mergeCell ref="M1:N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A630-5905-49B8-ACB1-C7C7CDB9D516}">
  <sheetPr>
    <tabColor rgb="FF92D050"/>
  </sheetPr>
  <dimension ref="A2:H39"/>
  <sheetViews>
    <sheetView topLeftCell="A10" zoomScale="145" zoomScaleNormal="145" workbookViewId="0">
      <selection activeCell="B22" sqref="B22"/>
    </sheetView>
  </sheetViews>
  <sheetFormatPr defaultRowHeight="15" x14ac:dyDescent="0.25"/>
  <cols>
    <col min="1" max="1" width="33.85546875" customWidth="1"/>
    <col min="2" max="2" width="37" customWidth="1"/>
    <col min="3" max="8" width="11.42578125" customWidth="1"/>
  </cols>
  <sheetData>
    <row r="2" spans="1:8" ht="30.75" customHeight="1" x14ac:dyDescent="0.25">
      <c r="C2" s="66" t="e">
        <f>+#REF!</f>
        <v>#REF!</v>
      </c>
      <c r="D2" s="66"/>
      <c r="E2" s="66"/>
      <c r="F2" s="66"/>
      <c r="G2" s="66"/>
      <c r="H2" s="66"/>
    </row>
    <row r="3" spans="1:8" ht="30" x14ac:dyDescent="0.25">
      <c r="C3" s="29" t="s">
        <v>37</v>
      </c>
      <c r="D3" s="29" t="s">
        <v>28</v>
      </c>
      <c r="E3" s="29" t="s">
        <v>29</v>
      </c>
      <c r="F3" s="29" t="s">
        <v>39</v>
      </c>
      <c r="G3" s="29" t="s">
        <v>40</v>
      </c>
      <c r="H3" s="29" t="s">
        <v>38</v>
      </c>
    </row>
    <row r="4" spans="1:8" x14ac:dyDescent="0.25">
      <c r="A4" s="17"/>
      <c r="B4" s="17" t="s">
        <v>96</v>
      </c>
      <c r="C4" s="32" t="e">
        <f>+#REF!</f>
        <v>#REF!</v>
      </c>
      <c r="D4" s="32" t="e">
        <f>+#REF!</f>
        <v>#REF!</v>
      </c>
      <c r="E4" s="32" t="e">
        <f>+#REF!</f>
        <v>#REF!</v>
      </c>
      <c r="F4" s="30"/>
      <c r="G4" s="30"/>
      <c r="H4" s="26">
        <v>0.5</v>
      </c>
    </row>
    <row r="5" spans="1:8" x14ac:dyDescent="0.25">
      <c r="A5" s="17"/>
      <c r="B5" s="17"/>
      <c r="C5" s="33"/>
      <c r="D5" s="33"/>
      <c r="E5" s="33"/>
      <c r="F5" s="17"/>
      <c r="G5" s="17"/>
      <c r="H5" s="17"/>
    </row>
    <row r="6" spans="1:8" x14ac:dyDescent="0.25">
      <c r="A6" s="17"/>
      <c r="B6" s="17" t="str">
        <f>+'Table 3-1 fmt'!A4</f>
        <v>Utility weight - With peanut sensitivity (Age 0-11)</v>
      </c>
      <c r="C6" s="33">
        <f>+'Table 3-1 fmt'!E4</f>
        <v>88</v>
      </c>
      <c r="D6" s="33">
        <f>+'Table 3-1 fmt'!J4</f>
        <v>88</v>
      </c>
      <c r="E6" s="33">
        <f>+'Table 3-1 fmt'!K4</f>
        <v>88</v>
      </c>
      <c r="F6" s="31"/>
      <c r="G6" s="31"/>
      <c r="H6" s="27">
        <f>+H7+0.25</f>
        <v>2.5</v>
      </c>
    </row>
    <row r="7" spans="1:8" x14ac:dyDescent="0.25">
      <c r="A7" s="17"/>
      <c r="B7" s="17" t="str">
        <f>+'Table 3-1 fmt'!A5</f>
        <v>Utility weight - With peanut sensitivity (Age 12+)</v>
      </c>
      <c r="C7" s="33">
        <f>+'Table 3-1 fmt'!E5</f>
        <v>88</v>
      </c>
      <c r="D7" s="33">
        <f>+'Table 3-1 fmt'!J5</f>
        <v>88</v>
      </c>
      <c r="E7" s="33">
        <f>+'Table 3-1 fmt'!K5</f>
        <v>88</v>
      </c>
      <c r="F7" s="17"/>
      <c r="G7" s="17"/>
      <c r="H7" s="27">
        <f>+H8+0.25</f>
        <v>2.25</v>
      </c>
    </row>
    <row r="8" spans="1:8" x14ac:dyDescent="0.25">
      <c r="A8" s="17"/>
      <c r="B8" s="17" t="str">
        <f>+'Table 3-1 fmt'!A6</f>
        <v>Disutility - Anaphylaxis associated with therapy use</v>
      </c>
      <c r="C8" s="33">
        <f>+'Table 3-1 fmt'!E6</f>
        <v>88</v>
      </c>
      <c r="D8" s="33">
        <f>+'Table 3-1 fmt'!J6</f>
        <v>41.73</v>
      </c>
      <c r="E8" s="33">
        <f>+'Table 3-1 fmt'!K6</f>
        <v>93.16</v>
      </c>
      <c r="F8" s="31"/>
      <c r="G8" s="31"/>
      <c r="H8" s="27">
        <f>+H9+0.25</f>
        <v>2</v>
      </c>
    </row>
    <row r="9" spans="1:8" x14ac:dyDescent="0.25">
      <c r="A9" s="17"/>
      <c r="B9" s="17" t="str">
        <f>+'Table 3-1 fmt'!A7</f>
        <v>Utility weight - With peanut sensitivity (Age 0-11) - plus ongoing fear</v>
      </c>
      <c r="C9" s="33">
        <f>+'Table 3-1 fmt'!E7</f>
        <v>88</v>
      </c>
      <c r="D9" s="33">
        <f>+'Table 3-1 fmt'!J7</f>
        <v>88</v>
      </c>
      <c r="E9" s="33">
        <f>+'Table 3-1 fmt'!K7</f>
        <v>65.180000000000007</v>
      </c>
      <c r="F9" s="17"/>
      <c r="G9" s="17"/>
      <c r="H9" s="27">
        <f>+H10+0.25</f>
        <v>1.75</v>
      </c>
    </row>
    <row r="10" spans="1:8" x14ac:dyDescent="0.25">
      <c r="A10" s="17"/>
      <c r="B10" s="17" t="str">
        <f>+'Table 3-1 fmt'!A8</f>
        <v>Utility weight - With peanut sensitivity (Age 12+) - plus ongoing fear</v>
      </c>
      <c r="C10" s="33">
        <f>+'Table 3-1 fmt'!E8</f>
        <v>88</v>
      </c>
      <c r="D10" s="33">
        <f>+'Table 3-1 fmt'!J8</f>
        <v>96.54</v>
      </c>
      <c r="E10" s="33">
        <f>+'Table 3-1 fmt'!K8</f>
        <v>0</v>
      </c>
      <c r="F10" s="31"/>
      <c r="G10" s="31"/>
      <c r="H10" s="26">
        <v>1.5</v>
      </c>
    </row>
    <row r="11" spans="1:8" x14ac:dyDescent="0.25">
      <c r="A11" s="17"/>
      <c r="B11" s="17"/>
      <c r="C11" s="33"/>
      <c r="D11" s="33"/>
      <c r="E11" s="33"/>
      <c r="F11" s="31"/>
      <c r="G11" s="31"/>
      <c r="H11" s="27"/>
    </row>
    <row r="12" spans="1:8" x14ac:dyDescent="0.25">
      <c r="A12" s="17"/>
      <c r="B12" s="17" t="s">
        <v>97</v>
      </c>
      <c r="C12" s="33"/>
      <c r="D12" s="33"/>
      <c r="E12" s="33"/>
      <c r="F12" s="31"/>
      <c r="G12" s="31"/>
      <c r="H12" s="27"/>
    </row>
    <row r="13" spans="1:8" x14ac:dyDescent="0.25">
      <c r="A13" s="17"/>
      <c r="B13" s="17"/>
      <c r="C13" s="33"/>
      <c r="D13" s="33"/>
      <c r="E13" s="33"/>
      <c r="F13" s="31"/>
      <c r="G13" s="31"/>
      <c r="H13" s="27"/>
    </row>
    <row r="14" spans="1:8" x14ac:dyDescent="0.25">
      <c r="A14" s="17"/>
      <c r="B14" s="17" t="s">
        <v>98</v>
      </c>
      <c r="C14" s="33"/>
      <c r="D14" s="33"/>
      <c r="E14" s="33"/>
      <c r="F14" s="31"/>
      <c r="G14" s="31"/>
      <c r="H14" s="27"/>
    </row>
    <row r="15" spans="1:8" x14ac:dyDescent="0.25">
      <c r="A15" s="17"/>
      <c r="B15" s="17"/>
      <c r="C15" s="17"/>
      <c r="D15" s="17"/>
      <c r="E15" s="17"/>
      <c r="F15" s="17"/>
      <c r="G15" s="17"/>
      <c r="H15" s="17"/>
    </row>
    <row r="16" spans="1:8" x14ac:dyDescent="0.25">
      <c r="A16" s="17"/>
      <c r="B16" s="17"/>
      <c r="C16" s="17"/>
      <c r="D16" s="17"/>
      <c r="E16" s="17"/>
      <c r="F16" s="17">
        <v>100</v>
      </c>
      <c r="G16" s="17"/>
      <c r="H16" s="17">
        <v>0</v>
      </c>
    </row>
    <row r="17" spans="1:8" x14ac:dyDescent="0.25">
      <c r="A17" s="17"/>
      <c r="B17" s="17"/>
      <c r="C17" s="17"/>
      <c r="D17" s="17"/>
      <c r="E17" s="17"/>
      <c r="F17" s="17">
        <v>100</v>
      </c>
      <c r="G17" s="17"/>
      <c r="H17" s="17">
        <v>5</v>
      </c>
    </row>
    <row r="18" spans="1:8" x14ac:dyDescent="0.25">
      <c r="A18" s="17"/>
      <c r="B18" s="17"/>
      <c r="C18" s="17"/>
      <c r="D18" s="17"/>
      <c r="E18" s="17"/>
      <c r="F18" s="17"/>
      <c r="G18" s="17"/>
      <c r="H18" s="17"/>
    </row>
    <row r="19" spans="1:8" x14ac:dyDescent="0.25">
      <c r="A19" s="17"/>
      <c r="B19" s="17"/>
      <c r="C19" s="17"/>
      <c r="D19" s="17"/>
      <c r="E19" s="17"/>
      <c r="F19" s="17"/>
      <c r="G19" s="17">
        <v>150</v>
      </c>
      <c r="H19" s="17">
        <v>0</v>
      </c>
    </row>
    <row r="20" spans="1:8" x14ac:dyDescent="0.25">
      <c r="A20" s="17"/>
      <c r="B20" s="17"/>
      <c r="C20" s="17"/>
      <c r="D20" s="17"/>
      <c r="E20" s="17"/>
      <c r="F20" s="17"/>
      <c r="G20" s="17">
        <v>150</v>
      </c>
      <c r="H20" s="17">
        <v>5</v>
      </c>
    </row>
    <row r="21" spans="1:8" x14ac:dyDescent="0.25">
      <c r="A21" s="17"/>
      <c r="B21" s="17"/>
      <c r="C21" s="17"/>
      <c r="D21" s="17"/>
      <c r="E21" s="17"/>
      <c r="F21" s="17"/>
      <c r="G21" s="17"/>
      <c r="H21" s="17"/>
    </row>
    <row r="22" spans="1:8" x14ac:dyDescent="0.25">
      <c r="C22" s="66"/>
      <c r="D22" s="66"/>
      <c r="E22" s="66"/>
      <c r="F22" s="66"/>
      <c r="G22" s="66"/>
      <c r="H22" s="66"/>
    </row>
    <row r="23" spans="1:8" x14ac:dyDescent="0.25">
      <c r="C23" s="29"/>
      <c r="D23" s="29"/>
      <c r="E23" s="29"/>
      <c r="F23" s="29"/>
      <c r="G23" s="29"/>
      <c r="H23" s="29"/>
    </row>
    <row r="24" spans="1:8" x14ac:dyDescent="0.25">
      <c r="A24" s="17"/>
      <c r="B24" s="17"/>
      <c r="C24" s="32"/>
      <c r="D24" s="32"/>
      <c r="E24" s="32"/>
      <c r="F24" s="30"/>
      <c r="G24" s="30"/>
      <c r="H24" s="26"/>
    </row>
    <row r="25" spans="1:8" x14ac:dyDescent="0.25">
      <c r="A25" s="17"/>
      <c r="B25" s="17"/>
      <c r="C25" s="32"/>
      <c r="D25" s="32"/>
      <c r="E25" s="32"/>
      <c r="F25" s="30"/>
      <c r="G25" s="30"/>
      <c r="H25" s="26"/>
    </row>
    <row r="26" spans="1:8" x14ac:dyDescent="0.25">
      <c r="A26" s="17"/>
      <c r="B26" s="17"/>
      <c r="C26" s="32"/>
      <c r="D26" s="32"/>
      <c r="E26" s="32"/>
      <c r="F26" s="30"/>
      <c r="G26" s="30"/>
      <c r="H26" s="26"/>
    </row>
    <row r="27" spans="1:8" x14ac:dyDescent="0.25">
      <c r="A27" s="17"/>
      <c r="B27" s="17"/>
      <c r="C27" s="32"/>
      <c r="D27" s="32"/>
      <c r="E27" s="32"/>
      <c r="F27" s="30"/>
      <c r="G27" s="30"/>
      <c r="H27" s="26"/>
    </row>
    <row r="28" spans="1:8" x14ac:dyDescent="0.25">
      <c r="A28" s="17"/>
      <c r="B28" s="17"/>
      <c r="C28" s="33"/>
      <c r="D28" s="33"/>
      <c r="E28" s="33"/>
      <c r="F28" s="17"/>
      <c r="G28" s="17"/>
      <c r="H28" s="17"/>
    </row>
    <row r="29" spans="1:8" x14ac:dyDescent="0.25">
      <c r="A29" s="17"/>
      <c r="B29" s="17"/>
      <c r="C29" s="33"/>
      <c r="D29" s="32"/>
      <c r="E29" s="32"/>
      <c r="F29" s="31"/>
      <c r="G29" s="31"/>
      <c r="H29" s="27"/>
    </row>
    <row r="30" spans="1:8" x14ac:dyDescent="0.25">
      <c r="A30" s="17"/>
      <c r="B30" s="17"/>
      <c r="C30" s="33"/>
      <c r="D30" s="32"/>
      <c r="E30" s="32"/>
      <c r="F30" s="17"/>
      <c r="G30" s="17"/>
      <c r="H30" s="27"/>
    </row>
    <row r="31" spans="1:8" x14ac:dyDescent="0.25">
      <c r="A31" s="17"/>
      <c r="B31" s="17"/>
      <c r="C31" s="33"/>
      <c r="D31" s="32"/>
      <c r="E31" s="32"/>
      <c r="F31" s="31"/>
      <c r="G31" s="31"/>
      <c r="H31" s="27"/>
    </row>
    <row r="32" spans="1:8" x14ac:dyDescent="0.25">
      <c r="A32" s="17"/>
      <c r="B32" s="17"/>
      <c r="C32" s="33"/>
      <c r="D32" s="32"/>
      <c r="E32" s="32"/>
      <c r="F32" s="17"/>
      <c r="G32" s="17"/>
      <c r="H32" s="27"/>
    </row>
    <row r="33" spans="1:8" x14ac:dyDescent="0.25">
      <c r="A33" s="17"/>
      <c r="B33" s="17"/>
      <c r="C33" s="33"/>
      <c r="D33" s="33"/>
      <c r="E33" s="33"/>
      <c r="F33" s="31"/>
      <c r="G33" s="31"/>
      <c r="H33" s="26"/>
    </row>
    <row r="34" spans="1:8" x14ac:dyDescent="0.25">
      <c r="A34" s="17"/>
      <c r="B34" s="17"/>
      <c r="C34" s="17"/>
      <c r="D34" s="17"/>
      <c r="E34" s="17"/>
      <c r="F34" s="17"/>
      <c r="G34" s="17"/>
      <c r="H34" s="17"/>
    </row>
    <row r="35" spans="1:8" x14ac:dyDescent="0.25">
      <c r="A35" s="17"/>
      <c r="B35" s="17"/>
      <c r="C35" s="17"/>
      <c r="D35" s="17"/>
      <c r="E35" s="17"/>
      <c r="F35" s="17"/>
      <c r="G35" s="17"/>
      <c r="H35" s="26"/>
    </row>
    <row r="36" spans="1:8" x14ac:dyDescent="0.25">
      <c r="A36" s="17"/>
      <c r="B36" s="17"/>
      <c r="C36" s="17"/>
      <c r="D36" s="17"/>
      <c r="E36" s="17"/>
      <c r="F36" s="17"/>
      <c r="G36" s="17"/>
      <c r="H36" s="26"/>
    </row>
    <row r="37" spans="1:8" x14ac:dyDescent="0.25">
      <c r="A37" s="17"/>
      <c r="B37" s="17"/>
      <c r="C37" s="17"/>
      <c r="D37" s="17"/>
      <c r="E37" s="17"/>
      <c r="F37" s="17"/>
      <c r="G37" s="17"/>
      <c r="H37" s="26"/>
    </row>
    <row r="38" spans="1:8" x14ac:dyDescent="0.25">
      <c r="A38" s="17"/>
      <c r="B38" s="17"/>
      <c r="C38" s="17"/>
      <c r="D38" s="17"/>
      <c r="E38" s="17"/>
      <c r="F38" s="17"/>
      <c r="G38" s="17"/>
      <c r="H38" s="26"/>
    </row>
    <row r="39" spans="1:8" x14ac:dyDescent="0.25">
      <c r="A39" s="17"/>
      <c r="B39" s="17"/>
      <c r="C39" s="17"/>
      <c r="D39" s="17"/>
      <c r="E39" s="17"/>
      <c r="F39" s="17"/>
      <c r="G39" s="17"/>
      <c r="H39" s="26"/>
    </row>
  </sheetData>
  <mergeCells count="2">
    <mergeCell ref="C2:H2"/>
    <mergeCell ref="C22:H22"/>
  </mergeCells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2244-687C-48E9-A4FE-EE3716014ADE}">
  <sheetPr>
    <tabColor rgb="FF92D050"/>
  </sheetPr>
  <dimension ref="A2:H39"/>
  <sheetViews>
    <sheetView tabSelected="1" topLeftCell="C1" zoomScale="145" zoomScaleNormal="145" workbookViewId="0">
      <selection activeCell="K35" sqref="K35"/>
    </sheetView>
  </sheetViews>
  <sheetFormatPr defaultRowHeight="15" x14ac:dyDescent="0.25"/>
  <cols>
    <col min="1" max="1" width="33.85546875" customWidth="1"/>
    <col min="2" max="2" width="37" customWidth="1"/>
    <col min="3" max="8" width="11.42578125" customWidth="1"/>
  </cols>
  <sheetData>
    <row r="2" spans="1:8" ht="30.75" customHeight="1" x14ac:dyDescent="0.25">
      <c r="C2" s="66" t="e">
        <f>+#REF!</f>
        <v>#REF!</v>
      </c>
      <c r="D2" s="66"/>
      <c r="E2" s="66"/>
      <c r="F2" s="66"/>
      <c r="G2" s="66"/>
      <c r="H2" s="66"/>
    </row>
    <row r="3" spans="1:8" ht="30" x14ac:dyDescent="0.25">
      <c r="C3" s="48" t="s">
        <v>37</v>
      </c>
      <c r="D3" s="48" t="s">
        <v>28</v>
      </c>
      <c r="E3" s="48" t="s">
        <v>29</v>
      </c>
      <c r="F3" s="48" t="s">
        <v>39</v>
      </c>
      <c r="G3" s="48" t="s">
        <v>40</v>
      </c>
      <c r="H3" s="48" t="s">
        <v>38</v>
      </c>
    </row>
    <row r="4" spans="1:8" x14ac:dyDescent="0.25">
      <c r="A4" s="17"/>
      <c r="B4" s="17" t="s">
        <v>96</v>
      </c>
      <c r="C4" s="32" t="e">
        <f>+#REF!</f>
        <v>#REF!</v>
      </c>
      <c r="D4" s="32" t="e">
        <f>+#REF!</f>
        <v>#REF!</v>
      </c>
      <c r="E4" s="32" t="e">
        <f>+#REF!</f>
        <v>#REF!</v>
      </c>
      <c r="F4" s="30"/>
      <c r="G4" s="30"/>
      <c r="H4" s="27">
        <v>0.5</v>
      </c>
    </row>
    <row r="5" spans="1:8" x14ac:dyDescent="0.25">
      <c r="A5" s="17"/>
      <c r="B5" s="17"/>
      <c r="C5" s="33"/>
      <c r="D5" s="33"/>
      <c r="E5" s="33"/>
      <c r="F5" s="17"/>
      <c r="G5" s="17"/>
      <c r="H5" s="17"/>
    </row>
    <row r="6" spans="1:8" x14ac:dyDescent="0.25">
      <c r="A6" s="17"/>
      <c r="B6" s="17" t="str">
        <f>+'Table 3-1 fmt'!A4</f>
        <v>Utility weight - With peanut sensitivity (Age 0-11)</v>
      </c>
      <c r="C6" s="33">
        <f>+'Table 3-1 fmt'!E4</f>
        <v>88</v>
      </c>
      <c r="D6" s="33">
        <f>+'Table 3-1 fmt'!J4</f>
        <v>88</v>
      </c>
      <c r="E6" s="33">
        <f>+'Table 3-1 fmt'!K4</f>
        <v>88</v>
      </c>
      <c r="F6" s="31"/>
      <c r="G6" s="31"/>
      <c r="H6" s="27">
        <v>0.5</v>
      </c>
    </row>
    <row r="7" spans="1:8" x14ac:dyDescent="0.25">
      <c r="A7" s="17"/>
      <c r="B7" s="17" t="str">
        <f>+'Table 3-1 fmt'!A5</f>
        <v>Utility weight - With peanut sensitivity (Age 12+)</v>
      </c>
      <c r="C7" s="33">
        <f>+'Table 3-1 fmt'!E5</f>
        <v>88</v>
      </c>
      <c r="D7" s="33">
        <f>+'Table 3-1 fmt'!J5</f>
        <v>88</v>
      </c>
      <c r="E7" s="33">
        <f>+'Table 3-1 fmt'!K5</f>
        <v>88</v>
      </c>
      <c r="F7" s="17"/>
      <c r="G7" s="17"/>
      <c r="H7" s="27">
        <v>0.5</v>
      </c>
    </row>
    <row r="8" spans="1:8" x14ac:dyDescent="0.25">
      <c r="A8" s="17"/>
      <c r="B8" s="17" t="str">
        <f>+'Table 3-1 fmt'!A6</f>
        <v>Disutility - Anaphylaxis associated with therapy use</v>
      </c>
      <c r="C8" s="33">
        <f>+'Table 3-1 fmt'!E6</f>
        <v>88</v>
      </c>
      <c r="D8" s="33">
        <f>+'Table 3-1 fmt'!J6</f>
        <v>41.73</v>
      </c>
      <c r="E8" s="33">
        <f>+'Table 3-1 fmt'!K6</f>
        <v>93.16</v>
      </c>
      <c r="F8" s="31"/>
      <c r="G8" s="31"/>
      <c r="H8" s="27">
        <v>0.5</v>
      </c>
    </row>
    <row r="9" spans="1:8" x14ac:dyDescent="0.25">
      <c r="A9" s="17"/>
      <c r="B9" s="17" t="str">
        <f>+'Table 3-1 fmt'!A7</f>
        <v>Utility weight - With peanut sensitivity (Age 0-11) - plus ongoing fear</v>
      </c>
      <c r="C9" s="33">
        <f>+'Table 3-1 fmt'!E7</f>
        <v>88</v>
      </c>
      <c r="D9" s="33">
        <f>+'Table 3-1 fmt'!J7</f>
        <v>88</v>
      </c>
      <c r="E9" s="33">
        <f>+'Table 3-1 fmt'!K7</f>
        <v>65.180000000000007</v>
      </c>
      <c r="F9" s="17"/>
      <c r="G9" s="17"/>
      <c r="H9" s="27">
        <v>0.5</v>
      </c>
    </row>
    <row r="10" spans="1:8" x14ac:dyDescent="0.25">
      <c r="A10" s="17"/>
      <c r="B10" s="17" t="str">
        <f>+'Table 3-1 fmt'!A8</f>
        <v>Utility weight - With peanut sensitivity (Age 12+) - plus ongoing fear</v>
      </c>
      <c r="C10" s="33">
        <f>+'Table 3-1 fmt'!E8</f>
        <v>88</v>
      </c>
      <c r="D10" s="33">
        <f>+'Table 3-1 fmt'!J8</f>
        <v>96.54</v>
      </c>
      <c r="E10" s="33">
        <f>+'Table 3-1 fmt'!K8</f>
        <v>0</v>
      </c>
      <c r="F10" s="31"/>
      <c r="G10" s="31"/>
      <c r="H10" s="27">
        <v>0.5</v>
      </c>
    </row>
    <row r="11" spans="1:8" x14ac:dyDescent="0.25">
      <c r="A11" s="17"/>
      <c r="B11" s="17"/>
      <c r="C11" s="33"/>
      <c r="D11" s="33"/>
      <c r="E11" s="33"/>
      <c r="F11" s="31"/>
      <c r="G11" s="31"/>
      <c r="H11" s="27"/>
    </row>
    <row r="12" spans="1:8" x14ac:dyDescent="0.25">
      <c r="A12" s="17"/>
      <c r="B12" s="17" t="s">
        <v>97</v>
      </c>
      <c r="C12" s="33"/>
      <c r="D12" s="33"/>
      <c r="E12" s="33"/>
      <c r="F12" s="31"/>
      <c r="G12" s="31"/>
      <c r="H12" s="27"/>
    </row>
    <row r="13" spans="1:8" x14ac:dyDescent="0.25">
      <c r="A13" s="17"/>
      <c r="B13" s="17"/>
      <c r="C13" s="33"/>
      <c r="D13" s="33"/>
      <c r="E13" s="33"/>
      <c r="F13" s="31"/>
      <c r="G13" s="31"/>
      <c r="H13" s="27"/>
    </row>
    <row r="14" spans="1:8" x14ac:dyDescent="0.25">
      <c r="A14" s="17"/>
      <c r="B14" s="17" t="s">
        <v>98</v>
      </c>
      <c r="C14" s="33"/>
      <c r="D14" s="33"/>
      <c r="E14" s="33"/>
      <c r="F14" s="31"/>
      <c r="G14" s="31"/>
      <c r="H14" s="27"/>
    </row>
    <row r="15" spans="1:8" x14ac:dyDescent="0.25">
      <c r="A15" s="17"/>
      <c r="B15" s="17"/>
      <c r="C15" s="17"/>
      <c r="D15" s="17"/>
      <c r="E15" s="17"/>
      <c r="F15" s="17"/>
      <c r="G15" s="17"/>
      <c r="H15" s="17"/>
    </row>
    <row r="16" spans="1:8" x14ac:dyDescent="0.25">
      <c r="A16" s="17"/>
      <c r="B16" s="17"/>
      <c r="C16" s="17"/>
      <c r="D16" s="17"/>
      <c r="E16" s="17"/>
      <c r="F16" s="17">
        <v>100</v>
      </c>
      <c r="G16" s="17"/>
      <c r="H16" s="17">
        <v>0</v>
      </c>
    </row>
    <row r="17" spans="1:8" x14ac:dyDescent="0.25">
      <c r="A17" s="17"/>
      <c r="B17" s="17"/>
      <c r="C17" s="17"/>
      <c r="D17" s="17"/>
      <c r="E17" s="17"/>
      <c r="F17" s="17">
        <v>100</v>
      </c>
      <c r="G17" s="17"/>
      <c r="H17" s="17">
        <v>1</v>
      </c>
    </row>
    <row r="18" spans="1:8" x14ac:dyDescent="0.25">
      <c r="A18" s="17"/>
      <c r="B18" s="17"/>
      <c r="C18" s="17"/>
      <c r="D18" s="17"/>
      <c r="E18" s="17"/>
      <c r="F18" s="17"/>
      <c r="G18" s="17"/>
      <c r="H18" s="17"/>
    </row>
    <row r="19" spans="1:8" x14ac:dyDescent="0.25">
      <c r="A19" s="17"/>
      <c r="B19" s="17"/>
      <c r="C19" s="17"/>
      <c r="D19" s="17"/>
      <c r="E19" s="17"/>
      <c r="F19" s="17"/>
      <c r="G19" s="17">
        <v>150</v>
      </c>
      <c r="H19" s="17">
        <v>0</v>
      </c>
    </row>
    <row r="20" spans="1:8" x14ac:dyDescent="0.25">
      <c r="A20" s="17"/>
      <c r="B20" s="17"/>
      <c r="C20" s="17"/>
      <c r="D20" s="17"/>
      <c r="E20" s="17"/>
      <c r="F20" s="17"/>
      <c r="G20" s="17">
        <v>150</v>
      </c>
      <c r="H20" s="17">
        <v>1</v>
      </c>
    </row>
    <row r="21" spans="1:8" x14ac:dyDescent="0.25">
      <c r="A21" s="17"/>
      <c r="B21" s="17"/>
      <c r="C21" s="17"/>
      <c r="D21" s="17"/>
      <c r="E21" s="17"/>
      <c r="F21" s="17"/>
      <c r="G21" s="17"/>
      <c r="H21" s="17"/>
    </row>
    <row r="22" spans="1:8" x14ac:dyDescent="0.25">
      <c r="C22" s="66"/>
      <c r="D22" s="66"/>
      <c r="E22" s="66"/>
      <c r="F22" s="66"/>
      <c r="G22" s="66"/>
      <c r="H22" s="66"/>
    </row>
    <row r="23" spans="1:8" x14ac:dyDescent="0.25">
      <c r="C23" s="48"/>
      <c r="D23" s="48"/>
      <c r="E23" s="48"/>
      <c r="F23" s="48"/>
      <c r="G23" s="48"/>
      <c r="H23" s="48"/>
    </row>
    <row r="24" spans="1:8" x14ac:dyDescent="0.25">
      <c r="A24" s="17"/>
      <c r="B24" s="17"/>
      <c r="C24" s="32"/>
      <c r="D24" s="32"/>
      <c r="E24" s="32"/>
      <c r="F24" s="30"/>
      <c r="G24" s="30"/>
      <c r="H24" s="27"/>
    </row>
    <row r="25" spans="1:8" x14ac:dyDescent="0.25">
      <c r="A25" s="17"/>
      <c r="B25" s="17"/>
      <c r="C25" s="32"/>
      <c r="D25" s="32"/>
      <c r="E25" s="32"/>
      <c r="F25" s="30"/>
      <c r="G25" s="30"/>
      <c r="H25" s="27"/>
    </row>
    <row r="26" spans="1:8" x14ac:dyDescent="0.25">
      <c r="A26" s="17"/>
      <c r="B26" s="17"/>
      <c r="C26" s="32"/>
      <c r="D26" s="32"/>
      <c r="E26" s="32"/>
      <c r="F26" s="30"/>
      <c r="G26" s="30"/>
      <c r="H26" s="27"/>
    </row>
    <row r="27" spans="1:8" x14ac:dyDescent="0.25">
      <c r="A27" s="17"/>
      <c r="B27" s="17"/>
      <c r="C27" s="32"/>
      <c r="D27" s="32"/>
      <c r="E27" s="32"/>
      <c r="F27" s="30"/>
      <c r="G27" s="30"/>
      <c r="H27" s="27"/>
    </row>
    <row r="28" spans="1:8" x14ac:dyDescent="0.25">
      <c r="A28" s="17"/>
      <c r="B28" s="17"/>
      <c r="C28" s="33"/>
      <c r="D28" s="33"/>
      <c r="E28" s="33"/>
      <c r="F28" s="17"/>
      <c r="G28" s="17"/>
      <c r="H28" s="17"/>
    </row>
    <row r="29" spans="1:8" x14ac:dyDescent="0.25">
      <c r="A29" s="17"/>
      <c r="B29" s="17"/>
      <c r="C29" s="33"/>
      <c r="D29" s="32"/>
      <c r="E29" s="32"/>
      <c r="F29" s="31"/>
      <c r="G29" s="31"/>
      <c r="H29" s="27"/>
    </row>
    <row r="30" spans="1:8" x14ac:dyDescent="0.25">
      <c r="A30" s="17"/>
      <c r="B30" s="17"/>
      <c r="C30" s="33"/>
      <c r="D30" s="32"/>
      <c r="E30" s="32"/>
      <c r="F30" s="17"/>
      <c r="G30" s="17"/>
      <c r="H30" s="27"/>
    </row>
    <row r="31" spans="1:8" x14ac:dyDescent="0.25">
      <c r="A31" s="17"/>
      <c r="B31" s="17"/>
      <c r="C31" s="33"/>
      <c r="D31" s="32"/>
      <c r="E31" s="32"/>
      <c r="F31" s="31"/>
      <c r="G31" s="31"/>
      <c r="H31" s="27"/>
    </row>
    <row r="32" spans="1:8" x14ac:dyDescent="0.25">
      <c r="A32" s="17"/>
      <c r="B32" s="17"/>
      <c r="C32" s="33"/>
      <c r="D32" s="32"/>
      <c r="E32" s="32"/>
      <c r="F32" s="17"/>
      <c r="G32" s="17"/>
      <c r="H32" s="27"/>
    </row>
    <row r="33" spans="1:8" x14ac:dyDescent="0.25">
      <c r="A33" s="17"/>
      <c r="B33" s="17"/>
      <c r="C33" s="33"/>
      <c r="D33" s="33"/>
      <c r="E33" s="33"/>
      <c r="F33" s="31"/>
      <c r="G33" s="31"/>
      <c r="H33" s="27"/>
    </row>
    <row r="34" spans="1:8" x14ac:dyDescent="0.25">
      <c r="A34" s="17"/>
      <c r="B34" s="17"/>
      <c r="C34" s="17"/>
      <c r="D34" s="17"/>
      <c r="E34" s="17"/>
      <c r="F34" s="17"/>
      <c r="G34" s="17"/>
      <c r="H34" s="17"/>
    </row>
    <row r="35" spans="1:8" x14ac:dyDescent="0.25">
      <c r="A35" s="17"/>
      <c r="B35" s="17"/>
      <c r="C35" s="17"/>
      <c r="D35" s="17"/>
      <c r="E35" s="17"/>
      <c r="F35" s="17"/>
      <c r="G35" s="17"/>
      <c r="H35" s="27"/>
    </row>
    <row r="36" spans="1:8" x14ac:dyDescent="0.25">
      <c r="A36" s="17"/>
      <c r="B36" s="17"/>
      <c r="C36" s="17"/>
      <c r="D36" s="17"/>
      <c r="E36" s="17"/>
      <c r="F36" s="17"/>
      <c r="G36" s="17"/>
      <c r="H36" s="27"/>
    </row>
    <row r="37" spans="1:8" x14ac:dyDescent="0.25">
      <c r="A37" s="17"/>
      <c r="B37" s="17"/>
      <c r="C37" s="17"/>
      <c r="D37" s="17"/>
      <c r="E37" s="17"/>
      <c r="F37" s="17"/>
      <c r="G37" s="17"/>
      <c r="H37" s="27"/>
    </row>
    <row r="38" spans="1:8" x14ac:dyDescent="0.25">
      <c r="A38" s="17"/>
      <c r="B38" s="17"/>
      <c r="C38" s="17"/>
      <c r="D38" s="17"/>
      <c r="E38" s="17"/>
      <c r="F38" s="17"/>
      <c r="G38" s="17"/>
      <c r="H38" s="27"/>
    </row>
    <row r="39" spans="1:8" x14ac:dyDescent="0.25">
      <c r="A39" s="17"/>
      <c r="B39" s="17"/>
      <c r="C39" s="17"/>
      <c r="D39" s="17"/>
      <c r="E39" s="17"/>
      <c r="F39" s="17"/>
      <c r="G39" s="17"/>
      <c r="H39" s="27"/>
    </row>
  </sheetData>
  <mergeCells count="2">
    <mergeCell ref="C2:H2"/>
    <mergeCell ref="C22:H2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Display</vt:lpstr>
      <vt:lpstr>Table 3-1 - inputs</vt:lpstr>
      <vt:lpstr>Table 3-1</vt:lpstr>
      <vt:lpstr>Table 3-1 fmt</vt:lpstr>
      <vt:lpstr>Figures</vt:lpstr>
      <vt:lpstr>Figures - main</vt:lpstr>
      <vt:lpstr>Benchmark1</vt:lpstr>
      <vt:lpstr>Benchmark2</vt:lpstr>
      <vt:lpstr>CE_Scale</vt:lpstr>
      <vt:lpstr>RoundPlace</vt:lpstr>
      <vt:lpstr>'Table 3-1'!xRoundPlace</vt:lpstr>
    </vt:vector>
  </TitlesOfParts>
  <Company>Tufts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Joshua</dc:creator>
  <cp:lastModifiedBy>Cohen, Joshua</cp:lastModifiedBy>
  <dcterms:created xsi:type="dcterms:W3CDTF">2023-10-10T16:37:24Z</dcterms:created>
  <dcterms:modified xsi:type="dcterms:W3CDTF">2023-11-23T16:00:52Z</dcterms:modified>
</cp:coreProperties>
</file>