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ml.chartshapes+xml"/>
  <Override PartName="/xl/charts/chart2.xml" ContentType="application/vnd.openxmlformats-officedocument.drawingml.chart+xml"/>
  <Override PartName="/xl/drawings/drawing6.xml" ContentType="application/vnd.openxmlformats-officedocument.drawingml.chartshapes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ml.chartshapes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EVR\Projects\NPC - HTA\13 - Manuscript\01 - Supplement\13 - Calculations\15 - Bladder cancer\"/>
    </mc:Choice>
  </mc:AlternateContent>
  <xr:revisionPtr revIDLastSave="0" documentId="13_ncr:1_{AFEA566B-5544-446E-8730-0938AE3EBCDB}" xr6:coauthVersionLast="46" xr6:coauthVersionMax="47" xr10:uidLastSave="{00000000-0000-0000-0000-000000000000}"/>
  <bookViews>
    <workbookView xWindow="-120" yWindow="-120" windowWidth="29040" windowHeight="15840" xr2:uid="{630AAA72-9A29-43DC-9665-D45F3AA6FC2F}"/>
  </bookViews>
  <sheets>
    <sheet name="Display" sheetId="24" r:id="rId1"/>
    <sheet name="Table 5-5 - inputs" sheetId="5" r:id="rId2"/>
    <sheet name="Table 5-5" sheetId="4" r:id="rId3"/>
    <sheet name="Table 5-5 fmt" sheetId="14" r:id="rId4"/>
    <sheet name="Table 5-6 - inputs" sheetId="21" r:id="rId5"/>
    <sheet name="Table 5-6" sheetId="22" r:id="rId6"/>
    <sheet name="Table 5-6 fmt" sheetId="23" r:id="rId7"/>
    <sheet name="Table 5-7 - inputs" sheetId="25" r:id="rId8"/>
    <sheet name="Table 5-7" sheetId="26" r:id="rId9"/>
    <sheet name="Table 5-7 fmt" sheetId="27" r:id="rId10"/>
    <sheet name="Figures" sheetId="20" r:id="rId11"/>
    <sheet name="Figures - main" sheetId="28" r:id="rId12"/>
  </sheets>
  <definedNames>
    <definedName name="Benchmark1">Display!$B$3</definedName>
    <definedName name="Benchmark2">Display!$B$4</definedName>
    <definedName name="CE_BC_nicaparib_Platinum">#REF!</definedName>
    <definedName name="CE_BC_olaparib_BRCA">#REF!</definedName>
    <definedName name="CE_BC_olaparib_Platinum">#REF!</definedName>
    <definedName name="CE_BC_rucaparib_BRCA">#REF!</definedName>
    <definedName name="CE_BC_rucaparib_Platinum">#REF!</definedName>
    <definedName name="CE_Scale">Display!$B$6</definedName>
    <definedName name="LDL_C_reduction">#REF!</definedName>
    <definedName name="RoundPlace">Display!$B$7</definedName>
    <definedName name="xBenchmark1" localSheetId="5">'Table 5-6'!#REF!</definedName>
    <definedName name="xBenchmark1" localSheetId="8">'Table 5-7'!#REF!</definedName>
    <definedName name="xBenchmark2" localSheetId="5">'Table 5-6'!#REF!</definedName>
    <definedName name="xBenchmark2" localSheetId="8">'Table 5-7'!#REF!</definedName>
    <definedName name="xCE_Scale" localSheetId="5">'Table 5-6'!#REF!</definedName>
    <definedName name="xCE_Scale" localSheetId="8">'Table 5-7'!#REF!</definedName>
    <definedName name="xRoundPlace" localSheetId="5">'Table 5-6'!$B$20</definedName>
    <definedName name="xRoundPlace" localSheetId="8">'Table 5-7'!$B$23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7" i="25" l="1"/>
  <c r="A27" i="26" s="1"/>
  <c r="A19" i="25"/>
  <c r="A19" i="26" s="1"/>
  <c r="A11" i="25"/>
  <c r="A11" i="26" s="1"/>
  <c r="A3" i="25"/>
  <c r="A3" i="26" s="1"/>
  <c r="A30" i="21"/>
  <c r="A27" i="22" s="1"/>
  <c r="A21" i="21"/>
  <c r="A19" i="22" s="1"/>
  <c r="A12" i="21"/>
  <c r="A11" i="22" s="1"/>
  <c r="A3" i="21"/>
  <c r="A3" i="22" s="1"/>
  <c r="A27" i="4"/>
  <c r="A19" i="4"/>
  <c r="A11" i="4"/>
  <c r="A3" i="4"/>
  <c r="B68" i="28"/>
  <c r="B69" i="28"/>
  <c r="B70" i="28"/>
  <c r="B71" i="28"/>
  <c r="B72" i="28"/>
  <c r="B50" i="28"/>
  <c r="B51" i="28"/>
  <c r="B52" i="28"/>
  <c r="B53" i="28"/>
  <c r="B54" i="28"/>
  <c r="B32" i="28"/>
  <c r="B33" i="28"/>
  <c r="B34" i="28"/>
  <c r="B35" i="28"/>
  <c r="B36" i="28"/>
  <c r="B14" i="28"/>
  <c r="B15" i="28"/>
  <c r="B16" i="28"/>
  <c r="B17" i="28"/>
  <c r="B18" i="28"/>
  <c r="H7" i="28"/>
  <c r="H8" i="28" s="1"/>
  <c r="H9" i="28" s="1"/>
  <c r="H10" i="28" s="1"/>
  <c r="H11" i="28" s="1"/>
  <c r="H12" i="28" s="1"/>
  <c r="H14" i="28" s="1"/>
  <c r="H15" i="28" s="1"/>
  <c r="H16" i="28" s="1"/>
  <c r="H17" i="28" s="1"/>
  <c r="H18" i="28" s="1"/>
  <c r="H21" i="28" s="1"/>
  <c r="H22" i="28" s="1"/>
  <c r="H23" i="28" s="1"/>
  <c r="H25" i="28" s="1"/>
  <c r="H26" i="28" s="1"/>
  <c r="H27" i="28" s="1"/>
  <c r="H28" i="28" s="1"/>
  <c r="H29" i="28" s="1"/>
  <c r="H30" i="28" s="1"/>
  <c r="H32" i="28" s="1"/>
  <c r="H33" i="28" s="1"/>
  <c r="H34" i="28" s="1"/>
  <c r="H35" i="28" s="1"/>
  <c r="H36" i="28" s="1"/>
  <c r="H39" i="28" s="1"/>
  <c r="H40" i="28" s="1"/>
  <c r="H41" i="28" s="1"/>
  <c r="H43" i="28" s="1"/>
  <c r="H44" i="28" s="1"/>
  <c r="H45" i="28" s="1"/>
  <c r="H46" i="28" s="1"/>
  <c r="H47" i="28" s="1"/>
  <c r="H48" i="28" s="1"/>
  <c r="H50" i="28" s="1"/>
  <c r="H51" i="28" s="1"/>
  <c r="H52" i="28" s="1"/>
  <c r="H53" i="28" s="1"/>
  <c r="H54" i="28" s="1"/>
  <c r="H57" i="28" s="1"/>
  <c r="H58" i="28" s="1"/>
  <c r="H59" i="28" s="1"/>
  <c r="H61" i="28" s="1"/>
  <c r="H62" i="28" s="1"/>
  <c r="H63" i="28" s="1"/>
  <c r="H64" i="28" s="1"/>
  <c r="H65" i="28" s="1"/>
  <c r="H66" i="28" s="1"/>
  <c r="H68" i="28" s="1"/>
  <c r="H69" i="28" s="1"/>
  <c r="H70" i="28" s="1"/>
  <c r="H71" i="28" s="1"/>
  <c r="H72" i="28" s="1"/>
  <c r="H4" i="28"/>
  <c r="H5" i="28" s="1"/>
  <c r="H80" i="20"/>
  <c r="H79" i="20" s="1"/>
  <c r="H88" i="20" s="1"/>
  <c r="H87" i="20" s="1"/>
  <c r="H86" i="20" s="1"/>
  <c r="H85" i="20" s="1"/>
  <c r="H84" i="20" s="1"/>
  <c r="H83" i="20" s="1"/>
  <c r="H94" i="20" s="1"/>
  <c r="H93" i="20" s="1"/>
  <c r="H92" i="20" s="1"/>
  <c r="H91" i="20" s="1"/>
  <c r="H90" i="20" s="1"/>
  <c r="H55" i="20"/>
  <c r="H54" i="20" s="1"/>
  <c r="H63" i="20" s="1"/>
  <c r="H62" i="20" s="1"/>
  <c r="H61" i="20" s="1"/>
  <c r="H60" i="20" s="1"/>
  <c r="H59" i="20" s="1"/>
  <c r="H58" i="20" s="1"/>
  <c r="H69" i="20" s="1"/>
  <c r="H68" i="20" s="1"/>
  <c r="H67" i="20" s="1"/>
  <c r="H66" i="20" s="1"/>
  <c r="H65" i="20" s="1"/>
  <c r="H30" i="20"/>
  <c r="H29" i="20" s="1"/>
  <c r="H38" i="20" s="1"/>
  <c r="H37" i="20" s="1"/>
  <c r="H36" i="20" s="1"/>
  <c r="H35" i="20" s="1"/>
  <c r="H34" i="20" s="1"/>
  <c r="H33" i="20" s="1"/>
  <c r="H44" i="20" s="1"/>
  <c r="H43" i="20" s="1"/>
  <c r="H42" i="20" s="1"/>
  <c r="H41" i="20" s="1"/>
  <c r="H40" i="20" s="1"/>
  <c r="H5" i="20"/>
  <c r="H4" i="20" s="1"/>
  <c r="H13" i="20" s="1"/>
  <c r="H12" i="20" s="1"/>
  <c r="H11" i="20" s="1"/>
  <c r="H10" i="20" s="1"/>
  <c r="H9" i="20" s="1"/>
  <c r="H8" i="20" s="1"/>
  <c r="H19" i="20" s="1"/>
  <c r="H18" i="20" s="1"/>
  <c r="H17" i="20" s="1"/>
  <c r="H16" i="20" s="1"/>
  <c r="H15" i="20" s="1"/>
  <c r="A19" i="23" l="1"/>
  <c r="A3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L1" i="23"/>
  <c r="J1" i="23"/>
  <c r="H1" i="23"/>
  <c r="E1" i="23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L1" i="27"/>
  <c r="J1" i="27"/>
  <c r="H1" i="27"/>
  <c r="E1" i="27"/>
  <c r="B1" i="27"/>
  <c r="B1" i="23"/>
  <c r="E29" i="22" l="1"/>
  <c r="F29" i="22"/>
  <c r="G29" i="22"/>
  <c r="E30" i="22"/>
  <c r="F30" i="22"/>
  <c r="G30" i="22"/>
  <c r="E31" i="22"/>
  <c r="F31" i="22"/>
  <c r="G31" i="22"/>
  <c r="E32" i="22"/>
  <c r="F32" i="22"/>
  <c r="G32" i="22"/>
  <c r="E33" i="22"/>
  <c r="F33" i="22"/>
  <c r="G33" i="22"/>
  <c r="G28" i="22"/>
  <c r="F28" i="22"/>
  <c r="E28" i="22"/>
  <c r="E29" i="4"/>
  <c r="F29" i="4"/>
  <c r="G29" i="4"/>
  <c r="E30" i="4"/>
  <c r="F30" i="4"/>
  <c r="G30" i="4"/>
  <c r="G28" i="4"/>
  <c r="F28" i="4"/>
  <c r="E28" i="4"/>
  <c r="E21" i="4"/>
  <c r="F21" i="4"/>
  <c r="G21" i="4"/>
  <c r="E22" i="4"/>
  <c r="F22" i="4"/>
  <c r="G22" i="4"/>
  <c r="G20" i="4"/>
  <c r="F20" i="4"/>
  <c r="E20" i="4"/>
  <c r="H23" i="25"/>
  <c r="H31" i="25" s="1"/>
  <c r="H31" i="26" s="1"/>
  <c r="I22" i="25"/>
  <c r="I30" i="25" s="1"/>
  <c r="I30" i="26" s="1"/>
  <c r="H20" i="25"/>
  <c r="H28" i="25" s="1"/>
  <c r="H28" i="26" s="1"/>
  <c r="I16" i="25"/>
  <c r="I24" i="25" s="1"/>
  <c r="I32" i="25" s="1"/>
  <c r="I32" i="26" s="1"/>
  <c r="H16" i="25"/>
  <c r="H24" i="25" s="1"/>
  <c r="H32" i="25" s="1"/>
  <c r="H32" i="26" s="1"/>
  <c r="I15" i="25"/>
  <c r="I15" i="26" s="1"/>
  <c r="H15" i="25"/>
  <c r="H15" i="26" s="1"/>
  <c r="I14" i="25"/>
  <c r="I14" i="26" s="1"/>
  <c r="H14" i="25"/>
  <c r="H14" i="26" s="1"/>
  <c r="I13" i="25"/>
  <c r="I13" i="26" s="1"/>
  <c r="H13" i="25"/>
  <c r="H21" i="25" s="1"/>
  <c r="H29" i="25" s="1"/>
  <c r="H29" i="26" s="1"/>
  <c r="I12" i="25"/>
  <c r="I12" i="26" s="1"/>
  <c r="AF14" i="26" s="1"/>
  <c r="H12" i="25"/>
  <c r="H12" i="26" s="1"/>
  <c r="AF13" i="26" s="1"/>
  <c r="I26" i="21"/>
  <c r="I35" i="21" s="1"/>
  <c r="I32" i="22" s="1"/>
  <c r="I18" i="21"/>
  <c r="I27" i="21" s="1"/>
  <c r="I36" i="21" s="1"/>
  <c r="I33" i="22" s="1"/>
  <c r="H18" i="21"/>
  <c r="H17" i="22" s="1"/>
  <c r="I17" i="21"/>
  <c r="I16" i="22" s="1"/>
  <c r="H17" i="21"/>
  <c r="H16" i="22" s="1"/>
  <c r="I16" i="21"/>
  <c r="I15" i="22" s="1"/>
  <c r="H16" i="21"/>
  <c r="H15" i="22" s="1"/>
  <c r="I15" i="21"/>
  <c r="I14" i="22" s="1"/>
  <c r="H15" i="21"/>
  <c r="H14" i="22" s="1"/>
  <c r="I14" i="21"/>
  <c r="I23" i="21" s="1"/>
  <c r="I32" i="21" s="1"/>
  <c r="I29" i="22" s="1"/>
  <c r="H14" i="21"/>
  <c r="H13" i="22" s="1"/>
  <c r="I13" i="21"/>
  <c r="I12" i="22" s="1"/>
  <c r="H13" i="21"/>
  <c r="H12" i="22" s="1"/>
  <c r="I19" i="5"/>
  <c r="I21" i="4" s="1"/>
  <c r="H19" i="5"/>
  <c r="H26" i="5" s="1"/>
  <c r="H29" i="4" s="1"/>
  <c r="I12" i="5"/>
  <c r="I13" i="5"/>
  <c r="I20" i="5" s="1"/>
  <c r="I11" i="5"/>
  <c r="I18" i="5" s="1"/>
  <c r="H13" i="5"/>
  <c r="H20" i="5" s="1"/>
  <c r="H12" i="5"/>
  <c r="H11" i="5"/>
  <c r="H18" i="5" s="1"/>
  <c r="H16" i="26" l="1"/>
  <c r="H13" i="26"/>
  <c r="I16" i="26"/>
  <c r="I20" i="25"/>
  <c r="I28" i="25" s="1"/>
  <c r="I28" i="26" s="1"/>
  <c r="I23" i="25"/>
  <c r="I31" i="25" s="1"/>
  <c r="I31" i="26" s="1"/>
  <c r="I21" i="25"/>
  <c r="I29" i="25" s="1"/>
  <c r="I29" i="26" s="1"/>
  <c r="AM30" i="26" s="1"/>
  <c r="H22" i="25"/>
  <c r="H30" i="25" s="1"/>
  <c r="H30" i="26" s="1"/>
  <c r="H25" i="21"/>
  <c r="H34" i="21" s="1"/>
  <c r="H31" i="22" s="1"/>
  <c r="H22" i="21"/>
  <c r="H31" i="21" s="1"/>
  <c r="H28" i="22" s="1"/>
  <c r="I22" i="21"/>
  <c r="I31" i="21" s="1"/>
  <c r="I28" i="22" s="1"/>
  <c r="I25" i="21"/>
  <c r="I34" i="21" s="1"/>
  <c r="I31" i="22" s="1"/>
  <c r="I24" i="21"/>
  <c r="I33" i="21" s="1"/>
  <c r="I30" i="22" s="1"/>
  <c r="H23" i="21"/>
  <c r="H32" i="21" s="1"/>
  <c r="H29" i="22" s="1"/>
  <c r="AM29" i="22" s="1"/>
  <c r="H26" i="21"/>
  <c r="H35" i="21" s="1"/>
  <c r="H32" i="22" s="1"/>
  <c r="BH29" i="22" s="1"/>
  <c r="I17" i="22"/>
  <c r="BO14" i="22" s="1"/>
  <c r="I13" i="22"/>
  <c r="H24" i="21"/>
  <c r="H33" i="21" s="1"/>
  <c r="H30" i="22" s="1"/>
  <c r="AT29" i="22" s="1"/>
  <c r="H27" i="21"/>
  <c r="H36" i="21" s="1"/>
  <c r="H33" i="22" s="1"/>
  <c r="BO29" i="22" s="1"/>
  <c r="H20" i="4"/>
  <c r="H25" i="5"/>
  <c r="H27" i="5"/>
  <c r="H30" i="4" s="1"/>
  <c r="AU29" i="4" s="1"/>
  <c r="H22" i="4"/>
  <c r="I25" i="5"/>
  <c r="I20" i="4"/>
  <c r="I27" i="5"/>
  <c r="I30" i="4" s="1"/>
  <c r="I22" i="4"/>
  <c r="I26" i="5"/>
  <c r="I29" i="4" s="1"/>
  <c r="H21" i="4"/>
  <c r="A83" i="20"/>
  <c r="I28" i="27"/>
  <c r="A28" i="27"/>
  <c r="A24" i="27"/>
  <c r="N22" i="27"/>
  <c r="M22" i="27"/>
  <c r="A13" i="27"/>
  <c r="A10" i="27"/>
  <c r="A7" i="27"/>
  <c r="A4" i="27"/>
  <c r="A17" i="27"/>
  <c r="A3" i="27"/>
  <c r="E29" i="26"/>
  <c r="E26" i="27" s="1"/>
  <c r="F29" i="26"/>
  <c r="F26" i="27" s="1"/>
  <c r="G29" i="26"/>
  <c r="G26" i="27" s="1"/>
  <c r="H26" i="27"/>
  <c r="E30" i="26"/>
  <c r="F30" i="26"/>
  <c r="AQ29" i="26" s="1"/>
  <c r="G30" i="26"/>
  <c r="G27" i="27" s="1"/>
  <c r="H27" i="27"/>
  <c r="I27" i="27"/>
  <c r="E31" i="26"/>
  <c r="E28" i="27" s="1"/>
  <c r="F31" i="26"/>
  <c r="F28" i="27" s="1"/>
  <c r="G31" i="26"/>
  <c r="AX30" i="26" s="1"/>
  <c r="BA29" i="26"/>
  <c r="E32" i="26"/>
  <c r="BE28" i="26" s="1"/>
  <c r="F32" i="26"/>
  <c r="F29" i="27" s="1"/>
  <c r="G32" i="26"/>
  <c r="G29" i="27" s="1"/>
  <c r="H29" i="27"/>
  <c r="I29" i="27"/>
  <c r="G28" i="26"/>
  <c r="AC30" i="26" s="1"/>
  <c r="F28" i="26"/>
  <c r="AC29" i="26" s="1"/>
  <c r="E28" i="26"/>
  <c r="E25" i="27" s="1"/>
  <c r="AQ28" i="26"/>
  <c r="I24" i="26"/>
  <c r="BH22" i="26" s="1"/>
  <c r="H24" i="26"/>
  <c r="BH21" i="26" s="1"/>
  <c r="G24" i="26"/>
  <c r="BE22" i="26" s="1"/>
  <c r="F24" i="26"/>
  <c r="F22" i="27" s="1"/>
  <c r="E24" i="26"/>
  <c r="I23" i="26"/>
  <c r="BA22" i="26" s="1"/>
  <c r="H23" i="26"/>
  <c r="BA21" i="26" s="1"/>
  <c r="G23" i="26"/>
  <c r="AX22" i="26" s="1"/>
  <c r="F23" i="26"/>
  <c r="F21" i="27" s="1"/>
  <c r="E23" i="26"/>
  <c r="I22" i="26"/>
  <c r="AT22" i="26" s="1"/>
  <c r="H22" i="26"/>
  <c r="AT21" i="26" s="1"/>
  <c r="G22" i="26"/>
  <c r="AQ22" i="26" s="1"/>
  <c r="F22" i="26"/>
  <c r="AQ21" i="26" s="1"/>
  <c r="E22" i="26"/>
  <c r="H21" i="26"/>
  <c r="AM21" i="26" s="1"/>
  <c r="G21" i="26"/>
  <c r="AJ22" i="26" s="1"/>
  <c r="F21" i="26"/>
  <c r="AJ21" i="26" s="1"/>
  <c r="E21" i="26"/>
  <c r="I20" i="26"/>
  <c r="AF22" i="26" s="1"/>
  <c r="H20" i="26"/>
  <c r="AF21" i="26" s="1"/>
  <c r="G20" i="26"/>
  <c r="G18" i="27" s="1"/>
  <c r="F20" i="26"/>
  <c r="AC21" i="26" s="1"/>
  <c r="E20" i="26"/>
  <c r="G16" i="26"/>
  <c r="BE14" i="26" s="1"/>
  <c r="F16" i="26"/>
  <c r="BE13" i="26" s="1"/>
  <c r="E16" i="26"/>
  <c r="A16" i="26"/>
  <c r="A15" i="27" s="1"/>
  <c r="G15" i="26"/>
  <c r="G14" i="27" s="1"/>
  <c r="F15" i="26"/>
  <c r="AX13" i="26" s="1"/>
  <c r="E15" i="26"/>
  <c r="E14" i="27" s="1"/>
  <c r="A15" i="26"/>
  <c r="A14" i="27" s="1"/>
  <c r="G14" i="26"/>
  <c r="AQ14" i="26" s="1"/>
  <c r="F14" i="26"/>
  <c r="AQ13" i="26" s="1"/>
  <c r="E14" i="26"/>
  <c r="A14" i="26"/>
  <c r="AP11" i="26" s="1"/>
  <c r="G13" i="26"/>
  <c r="G12" i="27" s="1"/>
  <c r="F13" i="26"/>
  <c r="AJ13" i="26" s="1"/>
  <c r="E13" i="26"/>
  <c r="AJ12" i="26" s="1"/>
  <c r="A13" i="26"/>
  <c r="AI11" i="26" s="1"/>
  <c r="G12" i="26"/>
  <c r="AC14" i="26" s="1"/>
  <c r="F12" i="26"/>
  <c r="AC13" i="26" s="1"/>
  <c r="E12" i="26"/>
  <c r="AC12" i="26" s="1"/>
  <c r="A12" i="26"/>
  <c r="AB11" i="26" s="1"/>
  <c r="I8" i="26"/>
  <c r="BH6" i="26" s="1"/>
  <c r="H8" i="26"/>
  <c r="BH5" i="26" s="1"/>
  <c r="G8" i="26"/>
  <c r="BE6" i="26" s="1"/>
  <c r="F8" i="26"/>
  <c r="F8" i="27" s="1"/>
  <c r="E8" i="26"/>
  <c r="BE4" i="26" s="1"/>
  <c r="D8" i="26"/>
  <c r="BD6" i="26" s="1"/>
  <c r="C8" i="26"/>
  <c r="BD5" i="26" s="1"/>
  <c r="B8" i="26"/>
  <c r="BD4" i="26" s="1"/>
  <c r="A8" i="26"/>
  <c r="BD2" i="26" s="1"/>
  <c r="BD11" i="26" s="1"/>
  <c r="BD27" i="26" s="1"/>
  <c r="I7" i="26"/>
  <c r="BA6" i="26" s="1"/>
  <c r="H7" i="26"/>
  <c r="H7" i="27" s="1"/>
  <c r="G7" i="26"/>
  <c r="AX6" i="26" s="1"/>
  <c r="F7" i="26"/>
  <c r="AX5" i="26" s="1"/>
  <c r="E7" i="26"/>
  <c r="E7" i="27" s="1"/>
  <c r="D7" i="26"/>
  <c r="AW6" i="26" s="1"/>
  <c r="C7" i="26"/>
  <c r="AW5" i="26" s="1"/>
  <c r="B7" i="26"/>
  <c r="AW4" i="26" s="1"/>
  <c r="A7" i="26"/>
  <c r="AW2" i="26" s="1"/>
  <c r="I6" i="26"/>
  <c r="AT6" i="26" s="1"/>
  <c r="H6" i="26"/>
  <c r="AT5" i="26" s="1"/>
  <c r="G6" i="26"/>
  <c r="AQ6" i="26" s="1"/>
  <c r="F6" i="26"/>
  <c r="AQ5" i="26" s="1"/>
  <c r="E6" i="26"/>
  <c r="E6" i="27" s="1"/>
  <c r="D6" i="26"/>
  <c r="AP6" i="26" s="1"/>
  <c r="C6" i="26"/>
  <c r="AP5" i="26" s="1"/>
  <c r="B6" i="26"/>
  <c r="AP4" i="26" s="1"/>
  <c r="A6" i="26"/>
  <c r="A6" i="27" s="1"/>
  <c r="I5" i="26"/>
  <c r="I5" i="27" s="1"/>
  <c r="H5" i="26"/>
  <c r="H5" i="27" s="1"/>
  <c r="G5" i="26"/>
  <c r="AJ6" i="26" s="1"/>
  <c r="F5" i="26"/>
  <c r="AJ5" i="26" s="1"/>
  <c r="E5" i="26"/>
  <c r="E5" i="27" s="1"/>
  <c r="D5" i="26"/>
  <c r="D5" i="27" s="1"/>
  <c r="C5" i="26"/>
  <c r="AI5" i="26" s="1"/>
  <c r="B5" i="26"/>
  <c r="B5" i="27" s="1"/>
  <c r="A5" i="26"/>
  <c r="AI2" i="26" s="1"/>
  <c r="I4" i="26"/>
  <c r="AF6" i="26" s="1"/>
  <c r="H4" i="26"/>
  <c r="AF5" i="26" s="1"/>
  <c r="G4" i="26"/>
  <c r="G4" i="27" s="1"/>
  <c r="F4" i="26"/>
  <c r="AC5" i="26" s="1"/>
  <c r="E4" i="26"/>
  <c r="E4" i="27" s="1"/>
  <c r="D4" i="26"/>
  <c r="AB6" i="26" s="1"/>
  <c r="C4" i="26"/>
  <c r="AB5" i="26" s="1"/>
  <c r="B4" i="26"/>
  <c r="AB4" i="26" s="1"/>
  <c r="A4" i="26"/>
  <c r="BA30" i="26"/>
  <c r="AT30" i="26"/>
  <c r="AT29" i="26"/>
  <c r="AM29" i="26"/>
  <c r="AF30" i="26"/>
  <c r="AF29" i="26"/>
  <c r="N24" i="26"/>
  <c r="M24" i="26"/>
  <c r="BD19" i="26"/>
  <c r="BH14" i="26"/>
  <c r="BH13" i="26"/>
  <c r="BA14" i="26"/>
  <c r="BA13" i="26"/>
  <c r="AW11" i="26"/>
  <c r="AT14" i="26"/>
  <c r="AT13" i="26"/>
  <c r="AM14" i="26"/>
  <c r="AM13" i="26"/>
  <c r="AM6" i="26"/>
  <c r="BA5" i="26"/>
  <c r="D16" i="25"/>
  <c r="D24" i="25" s="1"/>
  <c r="D32" i="25" s="1"/>
  <c r="D32" i="26" s="1"/>
  <c r="D29" i="27" s="1"/>
  <c r="C16" i="25"/>
  <c r="C24" i="25" s="1"/>
  <c r="C32" i="25" s="1"/>
  <c r="C32" i="26" s="1"/>
  <c r="C29" i="27" s="1"/>
  <c r="B16" i="25"/>
  <c r="B24" i="25" s="1"/>
  <c r="B32" i="25" s="1"/>
  <c r="B32" i="26" s="1"/>
  <c r="B29" i="27" s="1"/>
  <c r="A16" i="25"/>
  <c r="A24" i="25" s="1"/>
  <c r="A32" i="25" s="1"/>
  <c r="A32" i="26" s="1"/>
  <c r="A29" i="27" s="1"/>
  <c r="D15" i="25"/>
  <c r="D23" i="25" s="1"/>
  <c r="D31" i="25" s="1"/>
  <c r="D31" i="26" s="1"/>
  <c r="D28" i="27" s="1"/>
  <c r="C15" i="25"/>
  <c r="C23" i="25" s="1"/>
  <c r="C31" i="25" s="1"/>
  <c r="C31" i="26" s="1"/>
  <c r="C28" i="27" s="1"/>
  <c r="B15" i="25"/>
  <c r="B23" i="25" s="1"/>
  <c r="B31" i="25" s="1"/>
  <c r="B31" i="26" s="1"/>
  <c r="B28" i="27" s="1"/>
  <c r="A15" i="25"/>
  <c r="A23" i="25" s="1"/>
  <c r="A31" i="25" s="1"/>
  <c r="A31" i="26" s="1"/>
  <c r="AW27" i="26" s="1"/>
  <c r="D14" i="25"/>
  <c r="D22" i="25" s="1"/>
  <c r="D30" i="25" s="1"/>
  <c r="D30" i="26" s="1"/>
  <c r="D27" i="27" s="1"/>
  <c r="C14" i="25"/>
  <c r="C22" i="25" s="1"/>
  <c r="C30" i="25" s="1"/>
  <c r="B14" i="25"/>
  <c r="B22" i="25" s="1"/>
  <c r="B30" i="25" s="1"/>
  <c r="B30" i="26" s="1"/>
  <c r="B27" i="27" s="1"/>
  <c r="A14" i="25"/>
  <c r="A22" i="25" s="1"/>
  <c r="A30" i="25" s="1"/>
  <c r="A30" i="26" s="1"/>
  <c r="AP27" i="26" s="1"/>
  <c r="D13" i="25"/>
  <c r="D21" i="25" s="1"/>
  <c r="D21" i="26" s="1"/>
  <c r="AI22" i="26" s="1"/>
  <c r="C13" i="25"/>
  <c r="C21" i="25" s="1"/>
  <c r="C21" i="26" s="1"/>
  <c r="AI21" i="26" s="1"/>
  <c r="B13" i="25"/>
  <c r="B21" i="25" s="1"/>
  <c r="B29" i="25" s="1"/>
  <c r="A13" i="25"/>
  <c r="A21" i="25" s="1"/>
  <c r="A29" i="25" s="1"/>
  <c r="A29" i="26" s="1"/>
  <c r="AI27" i="26" s="1"/>
  <c r="D12" i="25"/>
  <c r="D20" i="25" s="1"/>
  <c r="D20" i="26" s="1"/>
  <c r="AB22" i="26" s="1"/>
  <c r="C12" i="25"/>
  <c r="C20" i="25" s="1"/>
  <c r="C20" i="26" s="1"/>
  <c r="AB21" i="26" s="1"/>
  <c r="B12" i="25"/>
  <c r="B20" i="25" s="1"/>
  <c r="B28" i="25" s="1"/>
  <c r="A12" i="25"/>
  <c r="A20" i="25" s="1"/>
  <c r="A28" i="25" s="1"/>
  <c r="A28" i="26" s="1"/>
  <c r="AB27" i="26" s="1"/>
  <c r="I32" i="23"/>
  <c r="G29" i="23"/>
  <c r="A27" i="23"/>
  <c r="A11" i="23"/>
  <c r="E29" i="23"/>
  <c r="AJ29" i="22"/>
  <c r="I29" i="23"/>
  <c r="AQ29" i="22"/>
  <c r="G30" i="23"/>
  <c r="I30" i="23"/>
  <c r="AX29" i="22"/>
  <c r="AX30" i="22"/>
  <c r="H31" i="23"/>
  <c r="BA30" i="22"/>
  <c r="BE29" i="22"/>
  <c r="BE30" i="22"/>
  <c r="BL29" i="22"/>
  <c r="G33" i="23"/>
  <c r="I33" i="23"/>
  <c r="E21" i="22"/>
  <c r="F21" i="22"/>
  <c r="AJ21" i="22" s="1"/>
  <c r="G21" i="22"/>
  <c r="G21" i="23" s="1"/>
  <c r="H21" i="22"/>
  <c r="AM21" i="22" s="1"/>
  <c r="I21" i="22"/>
  <c r="I21" i="23" s="1"/>
  <c r="E22" i="22"/>
  <c r="F22" i="22"/>
  <c r="AQ21" i="22" s="1"/>
  <c r="G22" i="22"/>
  <c r="AQ22" i="22" s="1"/>
  <c r="I22" i="22"/>
  <c r="I22" i="23" s="1"/>
  <c r="E23" i="22"/>
  <c r="F23" i="22"/>
  <c r="F23" i="23" s="1"/>
  <c r="G23" i="22"/>
  <c r="G23" i="23" s="1"/>
  <c r="H23" i="22"/>
  <c r="BA21" i="22" s="1"/>
  <c r="E24" i="22"/>
  <c r="F24" i="22"/>
  <c r="F24" i="23" s="1"/>
  <c r="G24" i="22"/>
  <c r="BE22" i="22" s="1"/>
  <c r="H24" i="22"/>
  <c r="H24" i="23" s="1"/>
  <c r="I24" i="22"/>
  <c r="I24" i="23" s="1"/>
  <c r="E25" i="22"/>
  <c r="F25" i="22"/>
  <c r="BL21" i="22" s="1"/>
  <c r="G25" i="22"/>
  <c r="BL22" i="22" s="1"/>
  <c r="I25" i="22"/>
  <c r="I25" i="23" s="1"/>
  <c r="I20" i="22"/>
  <c r="AF22" i="22" s="1"/>
  <c r="H20" i="22"/>
  <c r="H20" i="23" s="1"/>
  <c r="G20" i="22"/>
  <c r="AC22" i="22" s="1"/>
  <c r="F20" i="22"/>
  <c r="F20" i="23" s="1"/>
  <c r="E20" i="22"/>
  <c r="BO30" i="22"/>
  <c r="BH30" i="22"/>
  <c r="AT30" i="22"/>
  <c r="AM30" i="22"/>
  <c r="BA29" i="22"/>
  <c r="AJ30" i="22"/>
  <c r="AF30" i="22"/>
  <c r="AF29" i="22"/>
  <c r="AC30" i="22"/>
  <c r="AC29" i="22"/>
  <c r="E28" i="23"/>
  <c r="E13" i="22"/>
  <c r="F13" i="22"/>
  <c r="F13" i="23" s="1"/>
  <c r="G13" i="22"/>
  <c r="G13" i="23" s="1"/>
  <c r="AM13" i="22"/>
  <c r="AM14" i="22"/>
  <c r="E14" i="22"/>
  <c r="F14" i="22"/>
  <c r="F14" i="23" s="1"/>
  <c r="G14" i="22"/>
  <c r="AQ14" i="22" s="1"/>
  <c r="AT13" i="22"/>
  <c r="AT14" i="22"/>
  <c r="E15" i="22"/>
  <c r="F15" i="22"/>
  <c r="F15" i="23" s="1"/>
  <c r="G15" i="22"/>
  <c r="G15" i="23" s="1"/>
  <c r="BA13" i="22"/>
  <c r="E16" i="22"/>
  <c r="E16" i="23" s="1"/>
  <c r="F16" i="22"/>
  <c r="BE13" i="22" s="1"/>
  <c r="G16" i="22"/>
  <c r="BE14" i="22" s="1"/>
  <c r="BH13" i="22"/>
  <c r="BH14" i="22"/>
  <c r="E17" i="22"/>
  <c r="BL12" i="22" s="1"/>
  <c r="F17" i="22"/>
  <c r="BL13" i="22" s="1"/>
  <c r="G17" i="22"/>
  <c r="BL14" i="22" s="1"/>
  <c r="BO13" i="22"/>
  <c r="G12" i="22"/>
  <c r="G12" i="23" s="1"/>
  <c r="F12" i="22"/>
  <c r="AC13" i="22" s="1"/>
  <c r="E12" i="22"/>
  <c r="A16" i="22"/>
  <c r="A16" i="23" s="1"/>
  <c r="B62" i="20" s="1"/>
  <c r="B47" i="28" s="1"/>
  <c r="A17" i="22"/>
  <c r="A17" i="23" s="1"/>
  <c r="B63" i="20" s="1"/>
  <c r="B48" i="28" s="1"/>
  <c r="A8" i="22"/>
  <c r="BD2" i="22" s="1"/>
  <c r="BD11" i="22" s="1"/>
  <c r="B8" i="22"/>
  <c r="BD4" i="22" s="1"/>
  <c r="C8" i="22"/>
  <c r="C8" i="23" s="1"/>
  <c r="C16" i="23" s="1"/>
  <c r="C24" i="23" s="1"/>
  <c r="C32" i="23" s="1"/>
  <c r="D8" i="22"/>
  <c r="BD6" i="22" s="1"/>
  <c r="E8" i="22"/>
  <c r="F8" i="22"/>
  <c r="BE5" i="22" s="1"/>
  <c r="G8" i="22"/>
  <c r="BE6" i="22" s="1"/>
  <c r="H8" i="22"/>
  <c r="BH5" i="22" s="1"/>
  <c r="I8" i="22"/>
  <c r="BH6" i="22" s="1"/>
  <c r="A9" i="22"/>
  <c r="BK2" i="22" s="1"/>
  <c r="BK11" i="22" s="1"/>
  <c r="B9" i="22"/>
  <c r="BK4" i="22" s="1"/>
  <c r="C9" i="22"/>
  <c r="BK5" i="22" s="1"/>
  <c r="D9" i="22"/>
  <c r="BK6" i="22" s="1"/>
  <c r="E9" i="22"/>
  <c r="F9" i="22"/>
  <c r="BL5" i="22" s="1"/>
  <c r="G9" i="22"/>
  <c r="BL6" i="22" s="1"/>
  <c r="H9" i="22"/>
  <c r="BO5" i="22" s="1"/>
  <c r="I9" i="22"/>
  <c r="BO6" i="22" s="1"/>
  <c r="D18" i="21"/>
  <c r="D27" i="21" s="1"/>
  <c r="D36" i="21" s="1"/>
  <c r="D33" i="22" s="1"/>
  <c r="C18" i="21"/>
  <c r="C27" i="21" s="1"/>
  <c r="C36" i="21" s="1"/>
  <c r="C33" i="22" s="1"/>
  <c r="B18" i="21"/>
  <c r="B27" i="21" s="1"/>
  <c r="B36" i="21" s="1"/>
  <c r="B33" i="22" s="1"/>
  <c r="A18" i="21"/>
  <c r="A27" i="21" s="1"/>
  <c r="A36" i="21" s="1"/>
  <c r="A33" i="22" s="1"/>
  <c r="A33" i="23" s="1"/>
  <c r="B88" i="20" s="1"/>
  <c r="B66" i="28" s="1"/>
  <c r="D17" i="21"/>
  <c r="D26" i="21" s="1"/>
  <c r="D35" i="21" s="1"/>
  <c r="D32" i="22" s="1"/>
  <c r="C17" i="21"/>
  <c r="C26" i="21" s="1"/>
  <c r="C35" i="21" s="1"/>
  <c r="C32" i="22" s="1"/>
  <c r="B17" i="21"/>
  <c r="B26" i="21" s="1"/>
  <c r="B35" i="21" s="1"/>
  <c r="B32" i="22" s="1"/>
  <c r="A17" i="21"/>
  <c r="A26" i="21" s="1"/>
  <c r="A35" i="21" s="1"/>
  <c r="A32" i="22" s="1"/>
  <c r="A32" i="23" s="1"/>
  <c r="B87" i="20" s="1"/>
  <c r="B65" i="28" s="1"/>
  <c r="D16" i="21"/>
  <c r="D25" i="21" s="1"/>
  <c r="D34" i="21" s="1"/>
  <c r="C16" i="21"/>
  <c r="C25" i="21" s="1"/>
  <c r="C34" i="21" s="1"/>
  <c r="B16" i="21"/>
  <c r="B25" i="21" s="1"/>
  <c r="B34" i="21" s="1"/>
  <c r="A16" i="21"/>
  <c r="A25" i="21" s="1"/>
  <c r="A34" i="21" s="1"/>
  <c r="A31" i="22" s="1"/>
  <c r="D15" i="21"/>
  <c r="D24" i="21" s="1"/>
  <c r="D33" i="21" s="1"/>
  <c r="C15" i="21"/>
  <c r="C24" i="21" s="1"/>
  <c r="C33" i="21" s="1"/>
  <c r="B15" i="21"/>
  <c r="B24" i="21" s="1"/>
  <c r="B33" i="21" s="1"/>
  <c r="A15" i="21"/>
  <c r="A24" i="21" s="1"/>
  <c r="A33" i="21" s="1"/>
  <c r="A30" i="22" s="1"/>
  <c r="D14" i="21"/>
  <c r="D23" i="21" s="1"/>
  <c r="D21" i="22" s="1"/>
  <c r="C14" i="21"/>
  <c r="C23" i="21" s="1"/>
  <c r="C21" i="22" s="1"/>
  <c r="B14" i="21"/>
  <c r="B23" i="21" s="1"/>
  <c r="B21" i="22" s="1"/>
  <c r="A14" i="21"/>
  <c r="A23" i="21" s="1"/>
  <c r="A32" i="21" s="1"/>
  <c r="A29" i="22" s="1"/>
  <c r="D13" i="21"/>
  <c r="D22" i="21" s="1"/>
  <c r="D20" i="22" s="1"/>
  <c r="C13" i="21"/>
  <c r="C22" i="21" s="1"/>
  <c r="C20" i="22" s="1"/>
  <c r="AB21" i="22" s="1"/>
  <c r="B13" i="21"/>
  <c r="B22" i="21" s="1"/>
  <c r="B20" i="22" s="1"/>
  <c r="A13" i="21"/>
  <c r="A22" i="21" s="1"/>
  <c r="A31" i="21" s="1"/>
  <c r="A28" i="22" s="1"/>
  <c r="A6" i="4"/>
  <c r="A5" i="4"/>
  <c r="A4" i="4"/>
  <c r="A18" i="14"/>
  <c r="C77" i="20" s="1"/>
  <c r="A13" i="14"/>
  <c r="C52" i="20" s="1"/>
  <c r="AU30" i="4"/>
  <c r="AR30" i="4"/>
  <c r="F21" i="14"/>
  <c r="E21" i="14"/>
  <c r="B30" i="4"/>
  <c r="AQ28" i="4" s="1"/>
  <c r="I20" i="14"/>
  <c r="AN29" i="4"/>
  <c r="AK30" i="4"/>
  <c r="AK29" i="4"/>
  <c r="E20" i="14"/>
  <c r="I28" i="4"/>
  <c r="AG30" i="4" s="1"/>
  <c r="H28" i="4"/>
  <c r="AG29" i="4" s="1"/>
  <c r="AD30" i="4"/>
  <c r="F19" i="14"/>
  <c r="E19" i="14"/>
  <c r="AU22" i="4"/>
  <c r="AU21" i="4"/>
  <c r="G16" i="14"/>
  <c r="F16" i="14"/>
  <c r="E16" i="14"/>
  <c r="B22" i="4"/>
  <c r="AQ20" i="4" s="1"/>
  <c r="AN22" i="4"/>
  <c r="AN21" i="4"/>
  <c r="G15" i="14"/>
  <c r="F15" i="14"/>
  <c r="E15" i="14"/>
  <c r="AG22" i="4"/>
  <c r="AG21" i="4"/>
  <c r="G14" i="14"/>
  <c r="F14" i="14"/>
  <c r="E14" i="14"/>
  <c r="AR22" i="4"/>
  <c r="AK22" i="4"/>
  <c r="AK21" i="4"/>
  <c r="AK20" i="4"/>
  <c r="D13" i="5"/>
  <c r="C13" i="5"/>
  <c r="C20" i="5" s="1"/>
  <c r="D12" i="5"/>
  <c r="D13" i="4" s="1"/>
  <c r="C12" i="5"/>
  <c r="C13" i="4" s="1"/>
  <c r="D11" i="5"/>
  <c r="D18" i="5" s="1"/>
  <c r="D25" i="5" s="1"/>
  <c r="D28" i="4" s="1"/>
  <c r="C11" i="5"/>
  <c r="C18" i="5" s="1"/>
  <c r="C25" i="5" s="1"/>
  <c r="C28" i="4" s="1"/>
  <c r="B13" i="5"/>
  <c r="B20" i="5" s="1"/>
  <c r="B27" i="5" s="1"/>
  <c r="B12" i="5"/>
  <c r="B19" i="5" s="1"/>
  <c r="B26" i="5" s="1"/>
  <c r="B29" i="4" s="1"/>
  <c r="B11" i="5"/>
  <c r="B12" i="4" s="1"/>
  <c r="B25" i="5"/>
  <c r="B28" i="4" s="1"/>
  <c r="D20" i="5"/>
  <c r="D27" i="5" s="1"/>
  <c r="D30" i="4" s="1"/>
  <c r="B18" i="5"/>
  <c r="B20" i="4" s="1"/>
  <c r="AC20" i="4" s="1"/>
  <c r="A13" i="5"/>
  <c r="A22" i="4" s="1"/>
  <c r="A16" i="14" s="1"/>
  <c r="B56" i="20" s="1"/>
  <c r="B41" i="28" s="1"/>
  <c r="A12" i="5"/>
  <c r="A21" i="4" s="1"/>
  <c r="AJ19" i="4" s="1"/>
  <c r="A11" i="5"/>
  <c r="A18" i="5" s="1"/>
  <c r="A25" i="5" s="1"/>
  <c r="A28" i="4" s="1"/>
  <c r="A19" i="14" s="1"/>
  <c r="B79" i="20" s="1"/>
  <c r="B57" i="28" s="1"/>
  <c r="A33" i="20"/>
  <c r="A15" i="22"/>
  <c r="AW11" i="22" s="1"/>
  <c r="A14" i="22"/>
  <c r="A14" i="23" s="1"/>
  <c r="B35" i="20" s="1"/>
  <c r="B27" i="28" s="1"/>
  <c r="A13" i="22"/>
  <c r="A13" i="23" s="1"/>
  <c r="B34" i="20" s="1"/>
  <c r="B26" i="28" s="1"/>
  <c r="A12" i="22"/>
  <c r="AB11" i="22" s="1"/>
  <c r="A5" i="22"/>
  <c r="AI2" i="22" s="1"/>
  <c r="A6" i="22"/>
  <c r="AP2" i="22" s="1"/>
  <c r="A7" i="22"/>
  <c r="A7" i="23" s="1"/>
  <c r="B11" i="20" s="1"/>
  <c r="B10" i="28" s="1"/>
  <c r="A4" i="22"/>
  <c r="A4" i="23" s="1"/>
  <c r="B8" i="20" s="1"/>
  <c r="B7" i="28" s="1"/>
  <c r="I4" i="22"/>
  <c r="I4" i="23" s="1"/>
  <c r="I5" i="22"/>
  <c r="AM6" i="22" s="1"/>
  <c r="I6" i="22"/>
  <c r="AT6" i="22" s="1"/>
  <c r="I7" i="22"/>
  <c r="BA6" i="22" s="1"/>
  <c r="H5" i="22"/>
  <c r="AM5" i="22" s="1"/>
  <c r="H6" i="22"/>
  <c r="AT5" i="22" s="1"/>
  <c r="H7" i="22"/>
  <c r="BA5" i="22" s="1"/>
  <c r="H4" i="22"/>
  <c r="AF5" i="22" s="1"/>
  <c r="G7" i="22"/>
  <c r="AX6" i="22" s="1"/>
  <c r="G6" i="22"/>
  <c r="G6" i="23" s="1"/>
  <c r="G5" i="22"/>
  <c r="AJ6" i="22" s="1"/>
  <c r="G4" i="22"/>
  <c r="AC6" i="22" s="1"/>
  <c r="F7" i="22"/>
  <c r="F7" i="23" s="1"/>
  <c r="F6" i="22"/>
  <c r="F6" i="23" s="1"/>
  <c r="F5" i="22"/>
  <c r="AJ5" i="22" s="1"/>
  <c r="F4" i="22"/>
  <c r="AC5" i="22" s="1"/>
  <c r="E5" i="22"/>
  <c r="E6" i="22"/>
  <c r="E7" i="22"/>
  <c r="E4" i="22"/>
  <c r="C7" i="22"/>
  <c r="C7" i="23" s="1"/>
  <c r="C15" i="23" s="1"/>
  <c r="C23" i="23" s="1"/>
  <c r="C31" i="23" s="1"/>
  <c r="D7" i="22"/>
  <c r="AW6" i="22" s="1"/>
  <c r="C4" i="22"/>
  <c r="AB5" i="22" s="1"/>
  <c r="D4" i="22"/>
  <c r="C5" i="22"/>
  <c r="C5" i="23" s="1"/>
  <c r="C13" i="23" s="1"/>
  <c r="C21" i="23" s="1"/>
  <c r="C29" i="23" s="1"/>
  <c r="D5" i="22"/>
  <c r="D5" i="23" s="1"/>
  <c r="D13" i="23" s="1"/>
  <c r="D21" i="23" s="1"/>
  <c r="D29" i="23" s="1"/>
  <c r="C6" i="22"/>
  <c r="C6" i="23" s="1"/>
  <c r="C14" i="23" s="1"/>
  <c r="C22" i="23" s="1"/>
  <c r="C30" i="23" s="1"/>
  <c r="D6" i="22"/>
  <c r="D6" i="23" s="1"/>
  <c r="D14" i="23" s="1"/>
  <c r="D22" i="23" s="1"/>
  <c r="D30" i="23" s="1"/>
  <c r="B5" i="22"/>
  <c r="AI4" i="22" s="1"/>
  <c r="B6" i="22"/>
  <c r="B6" i="23" s="1"/>
  <c r="B14" i="23" s="1"/>
  <c r="B22" i="23" s="1"/>
  <c r="B30" i="23" s="1"/>
  <c r="B7" i="22"/>
  <c r="B7" i="23" s="1"/>
  <c r="B15" i="23" s="1"/>
  <c r="B23" i="23" s="1"/>
  <c r="B31" i="23" s="1"/>
  <c r="B4" i="22"/>
  <c r="BA14" i="22"/>
  <c r="AF14" i="22"/>
  <c r="H12" i="23"/>
  <c r="AP11" i="22"/>
  <c r="AX5" i="22"/>
  <c r="AW5" i="22"/>
  <c r="H13" i="4"/>
  <c r="I13" i="4"/>
  <c r="H14" i="4"/>
  <c r="I14" i="4"/>
  <c r="I12" i="4"/>
  <c r="H12" i="4"/>
  <c r="F13" i="4"/>
  <c r="G13" i="4"/>
  <c r="F14" i="4"/>
  <c r="G14" i="4"/>
  <c r="G12" i="4"/>
  <c r="F12" i="4"/>
  <c r="E13" i="4"/>
  <c r="E14" i="4"/>
  <c r="E12" i="4"/>
  <c r="A13" i="4"/>
  <c r="A14" i="4"/>
  <c r="A12" i="4"/>
  <c r="I6" i="4"/>
  <c r="I5" i="4"/>
  <c r="I4" i="4"/>
  <c r="H6" i="4"/>
  <c r="H5" i="4"/>
  <c r="H4" i="4"/>
  <c r="D6" i="4"/>
  <c r="C6" i="4"/>
  <c r="B6" i="4"/>
  <c r="D5" i="4"/>
  <c r="C5" i="4"/>
  <c r="B5" i="4"/>
  <c r="D4" i="4"/>
  <c r="C4" i="4"/>
  <c r="B4" i="4"/>
  <c r="G6" i="4"/>
  <c r="F6" i="4"/>
  <c r="G5" i="4"/>
  <c r="F5" i="4"/>
  <c r="G4" i="4"/>
  <c r="F4" i="4"/>
  <c r="E6" i="4"/>
  <c r="E5" i="4"/>
  <c r="E4" i="4"/>
  <c r="D14" i="4"/>
  <c r="I21" i="26" l="1"/>
  <c r="AM22" i="26" s="1"/>
  <c r="C4" i="27"/>
  <c r="A8" i="27"/>
  <c r="F20" i="27"/>
  <c r="E20" i="27"/>
  <c r="C67" i="20" s="1"/>
  <c r="C52" i="28" s="1"/>
  <c r="E8" i="27"/>
  <c r="E19" i="27"/>
  <c r="C66" i="20" s="1"/>
  <c r="C51" i="28" s="1"/>
  <c r="A5" i="27"/>
  <c r="A25" i="27"/>
  <c r="E22" i="27"/>
  <c r="C69" i="20" s="1"/>
  <c r="C54" i="28" s="1"/>
  <c r="AC20" i="26"/>
  <c r="A11" i="27"/>
  <c r="A26" i="27"/>
  <c r="A12" i="27"/>
  <c r="E21" i="27"/>
  <c r="C68" i="20" s="1"/>
  <c r="C53" i="28" s="1"/>
  <c r="A27" i="27"/>
  <c r="I23" i="22"/>
  <c r="I23" i="23" s="1"/>
  <c r="H22" i="22"/>
  <c r="AT21" i="22" s="1"/>
  <c r="BE4" i="22"/>
  <c r="D4" i="23"/>
  <c r="D12" i="23" s="1"/>
  <c r="D20" i="23" s="1"/>
  <c r="D28" i="23" s="1"/>
  <c r="AB6" i="22"/>
  <c r="E6" i="23"/>
  <c r="C10" i="20" s="1"/>
  <c r="C9" i="28" s="1"/>
  <c r="BK29" i="22"/>
  <c r="C31" i="22"/>
  <c r="BK27" i="22"/>
  <c r="BK19" i="22"/>
  <c r="AC12" i="22"/>
  <c r="B38" i="20"/>
  <c r="B30" i="28" s="1"/>
  <c r="BD28" i="22"/>
  <c r="B30" i="22"/>
  <c r="BD29" i="22"/>
  <c r="C30" i="22"/>
  <c r="E9" i="23"/>
  <c r="C13" i="20" s="1"/>
  <c r="C12" i="28" s="1"/>
  <c r="AJ12" i="22"/>
  <c r="E20" i="23"/>
  <c r="C58" i="20" s="1"/>
  <c r="C43" i="28" s="1"/>
  <c r="BK30" i="22"/>
  <c r="D31" i="22"/>
  <c r="BD30" i="22"/>
  <c r="D30" i="22"/>
  <c r="BD19" i="22"/>
  <c r="BD27" i="22"/>
  <c r="AF21" i="22"/>
  <c r="H25" i="22"/>
  <c r="BO21" i="22" s="1"/>
  <c r="B60" i="20"/>
  <c r="B45" i="28" s="1"/>
  <c r="BK28" i="22"/>
  <c r="B31" i="22"/>
  <c r="AJ4" i="22"/>
  <c r="B4" i="23"/>
  <c r="B12" i="23" s="1"/>
  <c r="B20" i="23" s="1"/>
  <c r="B28" i="23" s="1"/>
  <c r="AB4" i="22"/>
  <c r="E4" i="23"/>
  <c r="C8" i="20" s="1"/>
  <c r="C7" i="28" s="1"/>
  <c r="E21" i="23"/>
  <c r="C59" i="20" s="1"/>
  <c r="C44" i="28" s="1"/>
  <c r="C14" i="4"/>
  <c r="A19" i="5"/>
  <c r="A26" i="5" s="1"/>
  <c r="A29" i="4" s="1"/>
  <c r="AJ27" i="4" s="1"/>
  <c r="D20" i="4"/>
  <c r="AC22" i="4" s="1"/>
  <c r="A20" i="4"/>
  <c r="A20" i="5"/>
  <c r="A27" i="5" s="1"/>
  <c r="A30" i="4" s="1"/>
  <c r="AQ27" i="4" s="1"/>
  <c r="B37" i="20"/>
  <c r="B29" i="28" s="1"/>
  <c r="B59" i="20"/>
  <c r="B44" i="28" s="1"/>
  <c r="C55" i="20"/>
  <c r="C40" i="28" s="1"/>
  <c r="C84" i="20"/>
  <c r="C62" i="28" s="1"/>
  <c r="C90" i="20"/>
  <c r="C68" i="28" s="1"/>
  <c r="C80" i="20"/>
  <c r="C58" i="28" s="1"/>
  <c r="C81" i="20"/>
  <c r="C59" i="28" s="1"/>
  <c r="C37" i="20"/>
  <c r="C29" i="28" s="1"/>
  <c r="C54" i="20"/>
  <c r="C39" i="28" s="1"/>
  <c r="C79" i="20"/>
  <c r="C57" i="28" s="1"/>
  <c r="C83" i="20"/>
  <c r="C61" i="28" s="1"/>
  <c r="C43" i="20"/>
  <c r="C35" i="28" s="1"/>
  <c r="C91" i="20"/>
  <c r="C69" i="28" s="1"/>
  <c r="C56" i="20"/>
  <c r="C41" i="28" s="1"/>
  <c r="C93" i="20"/>
  <c r="C71" i="28" s="1"/>
  <c r="BE29" i="26"/>
  <c r="AQ30" i="26"/>
  <c r="AJ29" i="26"/>
  <c r="F25" i="27"/>
  <c r="E29" i="27"/>
  <c r="AJ28" i="26"/>
  <c r="G21" i="27"/>
  <c r="AX21" i="26"/>
  <c r="F19" i="27"/>
  <c r="E18" i="27"/>
  <c r="AC22" i="26"/>
  <c r="AX22" i="22"/>
  <c r="AQ19" i="4"/>
  <c r="BH29" i="26"/>
  <c r="H13" i="27"/>
  <c r="H16" i="14"/>
  <c r="A20" i="14"/>
  <c r="B80" i="20" s="1"/>
  <c r="B58" i="28" s="1"/>
  <c r="H17" i="23"/>
  <c r="BH30" i="26"/>
  <c r="H15" i="27"/>
  <c r="I15" i="27"/>
  <c r="AC27" i="4"/>
  <c r="A15" i="14"/>
  <c r="B55" i="20" s="1"/>
  <c r="B40" i="28" s="1"/>
  <c r="H14" i="27"/>
  <c r="AR20" i="4"/>
  <c r="I14" i="27"/>
  <c r="I26" i="27"/>
  <c r="H28" i="27"/>
  <c r="AR29" i="4"/>
  <c r="AJ14" i="26"/>
  <c r="F11" i="27"/>
  <c r="G28" i="27"/>
  <c r="BE30" i="26"/>
  <c r="G25" i="27"/>
  <c r="E27" i="27"/>
  <c r="AX29" i="26"/>
  <c r="F27" i="27"/>
  <c r="AJ30" i="26"/>
  <c r="G22" i="27"/>
  <c r="BE21" i="26"/>
  <c r="BE20" i="26"/>
  <c r="F18" i="27"/>
  <c r="G19" i="27"/>
  <c r="G20" i="27"/>
  <c r="G11" i="27"/>
  <c r="F13" i="27"/>
  <c r="E13" i="27"/>
  <c r="G13" i="27"/>
  <c r="E12" i="27"/>
  <c r="F14" i="27"/>
  <c r="F12" i="27"/>
  <c r="E15" i="27"/>
  <c r="F15" i="27"/>
  <c r="E11" i="27"/>
  <c r="G15" i="27"/>
  <c r="AM22" i="22"/>
  <c r="AT22" i="22"/>
  <c r="AN30" i="4"/>
  <c r="F20" i="14"/>
  <c r="AR21" i="4"/>
  <c r="G7" i="27"/>
  <c r="F5" i="27"/>
  <c r="AI4" i="26"/>
  <c r="D8" i="27"/>
  <c r="D7" i="27"/>
  <c r="G8" i="27"/>
  <c r="BE5" i="26"/>
  <c r="BD29" i="26"/>
  <c r="C8" i="27"/>
  <c r="B8" i="27"/>
  <c r="F7" i="27"/>
  <c r="C7" i="27"/>
  <c r="AW28" i="26"/>
  <c r="B7" i="27"/>
  <c r="G6" i="27"/>
  <c r="F6" i="27"/>
  <c r="D6" i="27"/>
  <c r="C30" i="26"/>
  <c r="C27" i="27" s="1"/>
  <c r="C6" i="27"/>
  <c r="B6" i="27"/>
  <c r="AP28" i="26"/>
  <c r="G5" i="27"/>
  <c r="D19" i="27"/>
  <c r="C5" i="27"/>
  <c r="C19" i="27"/>
  <c r="B29" i="26"/>
  <c r="F4" i="27"/>
  <c r="D4" i="27"/>
  <c r="D18" i="27"/>
  <c r="C18" i="27"/>
  <c r="B20" i="26"/>
  <c r="B4" i="27"/>
  <c r="B28" i="26"/>
  <c r="AM5" i="26"/>
  <c r="H8" i="27"/>
  <c r="H22" i="27"/>
  <c r="H6" i="27"/>
  <c r="H4" i="27"/>
  <c r="I6" i="27"/>
  <c r="I7" i="27"/>
  <c r="I8" i="27"/>
  <c r="I4" i="27"/>
  <c r="I20" i="27"/>
  <c r="I18" i="27"/>
  <c r="BH22" i="22"/>
  <c r="BA22" i="22"/>
  <c r="BH21" i="22"/>
  <c r="B8" i="23"/>
  <c r="B16" i="23" s="1"/>
  <c r="B24" i="23" s="1"/>
  <c r="B32" i="23" s="1"/>
  <c r="C15" i="22"/>
  <c r="AW13" i="22" s="1"/>
  <c r="C13" i="22"/>
  <c r="AI13" i="22" s="1"/>
  <c r="D14" i="22"/>
  <c r="B14" i="22"/>
  <c r="AP12" i="22" s="1"/>
  <c r="B15" i="22"/>
  <c r="AW12" i="22" s="1"/>
  <c r="B23" i="22"/>
  <c r="AW20" i="22" s="1"/>
  <c r="AQ30" i="22"/>
  <c r="BE21" i="22"/>
  <c r="D17" i="22"/>
  <c r="BK14" i="22" s="1"/>
  <c r="C17" i="22"/>
  <c r="BK13" i="22" s="1"/>
  <c r="D9" i="23"/>
  <c r="D17" i="23" s="1"/>
  <c r="D25" i="23" s="1"/>
  <c r="D33" i="23" s="1"/>
  <c r="D12" i="22"/>
  <c r="AB14" i="22" s="1"/>
  <c r="C17" i="20"/>
  <c r="C16" i="28" s="1"/>
  <c r="AQ30" i="4"/>
  <c r="D21" i="14"/>
  <c r="D22" i="4"/>
  <c r="C27" i="5"/>
  <c r="C30" i="4" s="1"/>
  <c r="C22" i="4"/>
  <c r="B16" i="14"/>
  <c r="B21" i="14"/>
  <c r="D19" i="5"/>
  <c r="C19" i="5"/>
  <c r="AJ28" i="4"/>
  <c r="B20" i="14"/>
  <c r="B21" i="4"/>
  <c r="G31" i="23"/>
  <c r="BL30" i="22"/>
  <c r="E30" i="23"/>
  <c r="BE20" i="22"/>
  <c r="AX21" i="22"/>
  <c r="F12" i="23"/>
  <c r="AJ20" i="22"/>
  <c r="AX14" i="22"/>
  <c r="AJ22" i="22"/>
  <c r="AC21" i="22"/>
  <c r="AD29" i="4"/>
  <c r="G21" i="14"/>
  <c r="G19" i="14"/>
  <c r="G20" i="14"/>
  <c r="AD21" i="4"/>
  <c r="AD22" i="4"/>
  <c r="D19" i="14"/>
  <c r="AC30" i="4"/>
  <c r="D14" i="14"/>
  <c r="AC29" i="4"/>
  <c r="C19" i="14"/>
  <c r="C20" i="4"/>
  <c r="B19" i="14"/>
  <c r="AC28" i="4"/>
  <c r="B14" i="14"/>
  <c r="I25" i="27"/>
  <c r="I14" i="14"/>
  <c r="H20" i="27"/>
  <c r="I21" i="27"/>
  <c r="H19" i="27"/>
  <c r="I19" i="27"/>
  <c r="H18" i="27"/>
  <c r="I22" i="27"/>
  <c r="H21" i="27"/>
  <c r="H23" i="23"/>
  <c r="H19" i="14"/>
  <c r="I21" i="14"/>
  <c r="I19" i="14"/>
  <c r="H21" i="14"/>
  <c r="H28" i="23"/>
  <c r="H20" i="14"/>
  <c r="H25" i="27"/>
  <c r="I15" i="14"/>
  <c r="H15" i="14"/>
  <c r="H14" i="14"/>
  <c r="I16" i="14"/>
  <c r="I13" i="27"/>
  <c r="I12" i="27"/>
  <c r="I11" i="27"/>
  <c r="H11" i="27"/>
  <c r="H12" i="27"/>
  <c r="BD30" i="26"/>
  <c r="BD28" i="26"/>
  <c r="AB20" i="22"/>
  <c r="AB22" i="22"/>
  <c r="AI27" i="22"/>
  <c r="A29" i="23"/>
  <c r="B84" i="20" s="1"/>
  <c r="B62" i="28" s="1"/>
  <c r="A31" i="23"/>
  <c r="B86" i="20" s="1"/>
  <c r="B64" i="28" s="1"/>
  <c r="AW27" i="22"/>
  <c r="AI20" i="22"/>
  <c r="AI22" i="22"/>
  <c r="AB27" i="22"/>
  <c r="A28" i="23"/>
  <c r="B83" i="20" s="1"/>
  <c r="B61" i="28" s="1"/>
  <c r="A30" i="23"/>
  <c r="B85" i="20" s="1"/>
  <c r="B63" i="28" s="1"/>
  <c r="AP27" i="22"/>
  <c r="B13" i="22"/>
  <c r="AI12" i="22" s="1"/>
  <c r="D24" i="22"/>
  <c r="A23" i="22"/>
  <c r="C9" i="23"/>
  <c r="C17" i="23" s="1"/>
  <c r="C25" i="23" s="1"/>
  <c r="C33" i="23" s="1"/>
  <c r="I8" i="23"/>
  <c r="A8" i="23"/>
  <c r="B12" i="20" s="1"/>
  <c r="B11" i="28" s="1"/>
  <c r="G17" i="23"/>
  <c r="G22" i="23"/>
  <c r="E25" i="23"/>
  <c r="I28" i="23"/>
  <c r="H29" i="23"/>
  <c r="F30" i="23"/>
  <c r="B17" i="22"/>
  <c r="BK12" i="22" s="1"/>
  <c r="D16" i="22"/>
  <c r="BD14" i="22" s="1"/>
  <c r="BD5" i="22"/>
  <c r="AI21" i="22"/>
  <c r="BO22" i="22"/>
  <c r="C24" i="22"/>
  <c r="D22" i="22"/>
  <c r="A21" i="22"/>
  <c r="B9" i="23"/>
  <c r="B17" i="23" s="1"/>
  <c r="B25" i="23" s="1"/>
  <c r="B33" i="23" s="1"/>
  <c r="H8" i="23"/>
  <c r="F17" i="23"/>
  <c r="F21" i="23"/>
  <c r="F25" i="23"/>
  <c r="I31" i="23"/>
  <c r="E33" i="23"/>
  <c r="F22" i="23"/>
  <c r="B12" i="22"/>
  <c r="AB12" i="22" s="1"/>
  <c r="C16" i="22"/>
  <c r="BD13" i="22" s="1"/>
  <c r="D25" i="22"/>
  <c r="B24" i="22"/>
  <c r="C22" i="22"/>
  <c r="I9" i="23"/>
  <c r="A9" i="23"/>
  <c r="B13" i="20" s="1"/>
  <c r="B12" i="28" s="1"/>
  <c r="G8" i="23"/>
  <c r="E17" i="23"/>
  <c r="E24" i="23"/>
  <c r="G25" i="23"/>
  <c r="H30" i="23"/>
  <c r="F33" i="23"/>
  <c r="F16" i="23"/>
  <c r="C12" i="22"/>
  <c r="AB13" i="22" s="1"/>
  <c r="B16" i="22"/>
  <c r="BD12" i="22" s="1"/>
  <c r="D15" i="22"/>
  <c r="AW14" i="22" s="1"/>
  <c r="C25" i="22"/>
  <c r="A24" i="22"/>
  <c r="A24" i="23" s="1"/>
  <c r="B22" i="22"/>
  <c r="H9" i="23"/>
  <c r="F8" i="23"/>
  <c r="H21" i="23"/>
  <c r="H25" i="23"/>
  <c r="E32" i="23"/>
  <c r="B25" i="22"/>
  <c r="A22" i="22"/>
  <c r="G9" i="23"/>
  <c r="E8" i="23"/>
  <c r="I16" i="23"/>
  <c r="G20" i="23"/>
  <c r="E23" i="23"/>
  <c r="G24" i="23"/>
  <c r="F32" i="23"/>
  <c r="H33" i="23"/>
  <c r="A20" i="22"/>
  <c r="A25" i="22"/>
  <c r="A25" i="23" s="1"/>
  <c r="D23" i="22"/>
  <c r="F9" i="23"/>
  <c r="D8" i="23"/>
  <c r="D16" i="23" s="1"/>
  <c r="D24" i="23" s="1"/>
  <c r="D32" i="23" s="1"/>
  <c r="H16" i="23"/>
  <c r="E31" i="23"/>
  <c r="G32" i="23"/>
  <c r="AI5" i="22"/>
  <c r="C14" i="22"/>
  <c r="AP13" i="22" s="1"/>
  <c r="D13" i="22"/>
  <c r="AI14" i="22" s="1"/>
  <c r="C23" i="22"/>
  <c r="I17" i="23"/>
  <c r="G16" i="23"/>
  <c r="I20" i="23"/>
  <c r="E22" i="23"/>
  <c r="F29" i="23"/>
  <c r="F31" i="23"/>
  <c r="H32" i="23"/>
  <c r="F28" i="23"/>
  <c r="G28" i="23"/>
  <c r="AX20" i="26"/>
  <c r="AC6" i="26"/>
  <c r="AI6" i="26"/>
  <c r="B21" i="26"/>
  <c r="B24" i="26"/>
  <c r="C13" i="26"/>
  <c r="B12" i="26"/>
  <c r="B23" i="26"/>
  <c r="D12" i="26"/>
  <c r="B22" i="26"/>
  <c r="D14" i="26"/>
  <c r="AX14" i="26"/>
  <c r="C12" i="26"/>
  <c r="D13" i="26"/>
  <c r="A20" i="26"/>
  <c r="C22" i="26"/>
  <c r="C23" i="26"/>
  <c r="C24" i="26"/>
  <c r="B16" i="26"/>
  <c r="D22" i="26"/>
  <c r="D23" i="26"/>
  <c r="D24" i="26"/>
  <c r="B15" i="26"/>
  <c r="C16" i="26"/>
  <c r="B14" i="26"/>
  <c r="C15" i="26"/>
  <c r="D16" i="26"/>
  <c r="B13" i="26"/>
  <c r="C14" i="26"/>
  <c r="D15" i="26"/>
  <c r="A21" i="26"/>
  <c r="A22" i="26"/>
  <c r="A23" i="26"/>
  <c r="A24" i="26"/>
  <c r="A22" i="27" s="1"/>
  <c r="AP2" i="26"/>
  <c r="AX12" i="26"/>
  <c r="AC4" i="26"/>
  <c r="AB2" i="26"/>
  <c r="AX4" i="26"/>
  <c r="AW7" i="26" s="1" a="1"/>
  <c r="AB7" i="26" a="1"/>
  <c r="AJ20" i="26"/>
  <c r="AQ20" i="26"/>
  <c r="AJ4" i="26"/>
  <c r="BE12" i="26"/>
  <c r="AQ4" i="26"/>
  <c r="AC28" i="26"/>
  <c r="AX28" i="26"/>
  <c r="AQ12" i="26"/>
  <c r="D29" i="25"/>
  <c r="C28" i="25"/>
  <c r="C29" i="25"/>
  <c r="D28" i="25"/>
  <c r="BL28" i="22"/>
  <c r="BK31" i="22" s="1" a="1"/>
  <c r="AQ20" i="22"/>
  <c r="AC28" i="22"/>
  <c r="BL20" i="22"/>
  <c r="AX28" i="22"/>
  <c r="AC20" i="22"/>
  <c r="AX20" i="22"/>
  <c r="AJ28" i="22"/>
  <c r="BE28" i="22"/>
  <c r="AQ28" i="22"/>
  <c r="BL4" i="22"/>
  <c r="BL8" i="22" s="1" a="1"/>
  <c r="BL8" i="22" s="1"/>
  <c r="BE12" i="22"/>
  <c r="AC4" i="22"/>
  <c r="AW2" i="22"/>
  <c r="E14" i="23"/>
  <c r="B31" i="21"/>
  <c r="C31" i="21"/>
  <c r="D31" i="21"/>
  <c r="AP14" i="22"/>
  <c r="B32" i="21"/>
  <c r="C32" i="21"/>
  <c r="D32" i="21"/>
  <c r="AX13" i="22"/>
  <c r="AF6" i="22"/>
  <c r="AW4" i="22"/>
  <c r="AI11" i="22"/>
  <c r="AB2" i="22"/>
  <c r="A6" i="23"/>
  <c r="B10" i="20" s="1"/>
  <c r="B9" i="28" s="1"/>
  <c r="AQ5" i="22"/>
  <c r="D7" i="23"/>
  <c r="D15" i="23" s="1"/>
  <c r="D23" i="23" s="1"/>
  <c r="D31" i="23" s="1"/>
  <c r="G14" i="23"/>
  <c r="AP4" i="22"/>
  <c r="H4" i="23"/>
  <c r="AI6" i="22"/>
  <c r="H6" i="23"/>
  <c r="A12" i="23"/>
  <c r="AQ6" i="22"/>
  <c r="I5" i="23"/>
  <c r="A15" i="23"/>
  <c r="G7" i="23"/>
  <c r="AP5" i="22"/>
  <c r="AC14" i="22"/>
  <c r="E12" i="23"/>
  <c r="A5" i="23"/>
  <c r="B9" i="20" s="1"/>
  <c r="B8" i="28" s="1"/>
  <c r="AJ13" i="22"/>
  <c r="AD28" i="4"/>
  <c r="AK28" i="4"/>
  <c r="AR28" i="4"/>
  <c r="AD20" i="4"/>
  <c r="C12" i="4"/>
  <c r="B14" i="4"/>
  <c r="D12" i="4"/>
  <c r="B13" i="4"/>
  <c r="H15" i="23"/>
  <c r="I14" i="23"/>
  <c r="AQ13" i="22"/>
  <c r="B5" i="23"/>
  <c r="B13" i="23" s="1"/>
  <c r="B21" i="23" s="1"/>
  <c r="B29" i="23" s="1"/>
  <c r="E5" i="23"/>
  <c r="G5" i="23"/>
  <c r="E13" i="23"/>
  <c r="H7" i="23"/>
  <c r="I12" i="23"/>
  <c r="H13" i="23"/>
  <c r="AP6" i="22"/>
  <c r="AJ14" i="22"/>
  <c r="C4" i="23"/>
  <c r="C12" i="23" s="1"/>
  <c r="C20" i="23" s="1"/>
  <c r="C28" i="23" s="1"/>
  <c r="F4" i="23"/>
  <c r="I6" i="23"/>
  <c r="I15" i="23"/>
  <c r="AF13" i="22"/>
  <c r="E7" i="23"/>
  <c r="F5" i="23"/>
  <c r="E15" i="23"/>
  <c r="H5" i="23"/>
  <c r="H14" i="23"/>
  <c r="G4" i="23"/>
  <c r="I7" i="23"/>
  <c r="I13" i="23"/>
  <c r="AX4" i="22"/>
  <c r="AX12" i="22"/>
  <c r="AQ4" i="22"/>
  <c r="AQ12" i="22"/>
  <c r="AW19" i="26" l="1"/>
  <c r="A21" i="27"/>
  <c r="AB19" i="26"/>
  <c r="A18" i="27"/>
  <c r="AP19" i="26"/>
  <c r="A20" i="27"/>
  <c r="AI19" i="26"/>
  <c r="A19" i="27"/>
  <c r="H22" i="23"/>
  <c r="C15" i="20"/>
  <c r="C14" i="28" s="1"/>
  <c r="AP30" i="22"/>
  <c r="D28" i="22"/>
  <c r="AB30" i="22" s="1"/>
  <c r="AW30" i="22"/>
  <c r="D29" i="22"/>
  <c r="AI30" i="22" s="1"/>
  <c r="AP28" i="22"/>
  <c r="B28" i="22"/>
  <c r="AB28" i="22" s="1"/>
  <c r="AC32" i="22" s="1" a="1"/>
  <c r="AC32" i="22" s="1"/>
  <c r="AP29" i="22"/>
  <c r="C28" i="22"/>
  <c r="AB29" i="22" s="1"/>
  <c r="AW29" i="22"/>
  <c r="C29" i="22"/>
  <c r="AI29" i="22" s="1"/>
  <c r="AW28" i="22"/>
  <c r="B29" i="22"/>
  <c r="AI28" i="22" s="1"/>
  <c r="A21" i="14"/>
  <c r="B81" i="20" s="1"/>
  <c r="B59" i="28" s="1"/>
  <c r="AC19" i="4"/>
  <c r="A14" i="14"/>
  <c r="B54" i="20" s="1"/>
  <c r="B39" i="28" s="1"/>
  <c r="B36" i="20"/>
  <c r="B28" i="28" s="1"/>
  <c r="B61" i="20"/>
  <c r="B46" i="28" s="1"/>
  <c r="B33" i="20"/>
  <c r="B25" i="28" s="1"/>
  <c r="B58" i="20"/>
  <c r="B43" i="28" s="1"/>
  <c r="C61" i="20"/>
  <c r="C46" i="28" s="1"/>
  <c r="C42" i="20"/>
  <c r="C34" i="28" s="1"/>
  <c r="C92" i="20"/>
  <c r="C70" i="28" s="1"/>
  <c r="C87" i="20"/>
  <c r="C65" i="28" s="1"/>
  <c r="C44" i="20"/>
  <c r="C36" i="28" s="1"/>
  <c r="C94" i="20"/>
  <c r="C72" i="28" s="1"/>
  <c r="C86" i="20"/>
  <c r="C64" i="28" s="1"/>
  <c r="C65" i="20"/>
  <c r="C50" i="28" s="1"/>
  <c r="C88" i="20"/>
  <c r="C66" i="28" s="1"/>
  <c r="C60" i="20"/>
  <c r="C45" i="28" s="1"/>
  <c r="C62" i="20"/>
  <c r="C47" i="28" s="1"/>
  <c r="C63" i="20"/>
  <c r="C48" i="28" s="1"/>
  <c r="C85" i="20"/>
  <c r="C63" i="28" s="1"/>
  <c r="C41" i="20"/>
  <c r="C33" i="28" s="1"/>
  <c r="C40" i="20"/>
  <c r="C32" i="28" s="1"/>
  <c r="BD14" i="26"/>
  <c r="D15" i="27"/>
  <c r="BD22" i="26"/>
  <c r="D22" i="27"/>
  <c r="BD21" i="26"/>
  <c r="C22" i="27"/>
  <c r="BD13" i="26"/>
  <c r="C15" i="27"/>
  <c r="BD12" i="26"/>
  <c r="B15" i="27"/>
  <c r="BD20" i="26"/>
  <c r="B22" i="27"/>
  <c r="AW22" i="26"/>
  <c r="D21" i="27"/>
  <c r="AW14" i="26"/>
  <c r="D14" i="27"/>
  <c r="AW21" i="26"/>
  <c r="C21" i="27"/>
  <c r="AW13" i="26"/>
  <c r="C14" i="27"/>
  <c r="AW12" i="26"/>
  <c r="B14" i="27"/>
  <c r="AW20" i="26"/>
  <c r="B21" i="27"/>
  <c r="AP22" i="26"/>
  <c r="D20" i="27"/>
  <c r="AP14" i="26"/>
  <c r="D13" i="27"/>
  <c r="AP21" i="26"/>
  <c r="C20" i="27"/>
  <c r="AP13" i="26"/>
  <c r="C13" i="27"/>
  <c r="AP20" i="26"/>
  <c r="B20" i="27"/>
  <c r="AP12" i="26"/>
  <c r="B13" i="27"/>
  <c r="AI14" i="26"/>
  <c r="D12" i="27"/>
  <c r="AW30" i="26"/>
  <c r="D29" i="26"/>
  <c r="AW29" i="26"/>
  <c r="C29" i="26"/>
  <c r="AI13" i="26"/>
  <c r="C12" i="27"/>
  <c r="AI28" i="26"/>
  <c r="B26" i="27"/>
  <c r="AI20" i="26"/>
  <c r="B19" i="27"/>
  <c r="AI12" i="26"/>
  <c r="B12" i="27"/>
  <c r="AP30" i="26"/>
  <c r="D28" i="26"/>
  <c r="AB14" i="26"/>
  <c r="D11" i="27"/>
  <c r="AB13" i="26"/>
  <c r="C11" i="27"/>
  <c r="AP29" i="26"/>
  <c r="C28" i="26"/>
  <c r="B25" i="27"/>
  <c r="AB28" i="26"/>
  <c r="AB20" i="26"/>
  <c r="B18" i="27"/>
  <c r="AB12" i="26"/>
  <c r="B11" i="27"/>
  <c r="C9" i="20"/>
  <c r="C8" i="28" s="1"/>
  <c r="C16" i="20"/>
  <c r="C15" i="28" s="1"/>
  <c r="C12" i="20"/>
  <c r="C11" i="28" s="1"/>
  <c r="C19" i="20"/>
  <c r="C18" i="28" s="1"/>
  <c r="C11" i="20"/>
  <c r="C10" i="28" s="1"/>
  <c r="C18" i="20"/>
  <c r="C17" i="28" s="1"/>
  <c r="AQ22" i="4"/>
  <c r="D16" i="14"/>
  <c r="AQ21" i="4"/>
  <c r="C16" i="14"/>
  <c r="AQ29" i="4"/>
  <c r="C21" i="14"/>
  <c r="D26" i="5"/>
  <c r="D29" i="4" s="1"/>
  <c r="D21" i="4"/>
  <c r="C26" i="5"/>
  <c r="C29" i="4" s="1"/>
  <c r="C21" i="4"/>
  <c r="AJ20" i="4"/>
  <c r="B15" i="14"/>
  <c r="AB23" i="22" a="1"/>
  <c r="AB23" i="22" s="1"/>
  <c r="AF20" i="22" s="1"/>
  <c r="AF23" i="22" s="1"/>
  <c r="AF24" i="22" s="1"/>
  <c r="AB25" i="22" s="1"/>
  <c r="C36" i="20"/>
  <c r="C28" i="28" s="1"/>
  <c r="C38" i="20"/>
  <c r="C30" i="28" s="1"/>
  <c r="C34" i="20"/>
  <c r="C26" i="28" s="1"/>
  <c r="C33" i="20"/>
  <c r="C25" i="28" s="1"/>
  <c r="C35" i="20"/>
  <c r="C27" i="28" s="1"/>
  <c r="AC21" i="4"/>
  <c r="C14" i="14"/>
  <c r="AW21" i="22"/>
  <c r="AP22" i="22"/>
  <c r="BK21" i="22"/>
  <c r="BK22" i="22"/>
  <c r="BD21" i="22"/>
  <c r="AW22" i="22"/>
  <c r="BE32" i="22" a="1"/>
  <c r="BE32" i="22" s="1"/>
  <c r="A20" i="23"/>
  <c r="AB19" i="22"/>
  <c r="A23" i="23"/>
  <c r="AW19" i="22"/>
  <c r="BD22" i="22"/>
  <c r="AW31" i="22" a="1"/>
  <c r="AW31" i="22" s="1"/>
  <c r="BA28" i="22" s="1"/>
  <c r="BA31" i="22" s="1"/>
  <c r="AP20" i="22"/>
  <c r="AP21" i="22"/>
  <c r="A22" i="23"/>
  <c r="AP19" i="22"/>
  <c r="BK20" i="22"/>
  <c r="BL24" i="22" s="1" a="1"/>
  <c r="BL24" i="22" s="1"/>
  <c r="BD20" i="22"/>
  <c r="AI19" i="22"/>
  <c r="A21" i="23"/>
  <c r="AQ24" i="26" a="1"/>
  <c r="AQ24" i="26" s="1"/>
  <c r="AX8" i="26" a="1"/>
  <c r="AX8" i="26" s="1"/>
  <c r="AI23" i="26" a="1"/>
  <c r="AI23" i="26" s="1"/>
  <c r="AM20" i="26" s="1"/>
  <c r="AM23" i="26" s="1"/>
  <c r="AW7" i="26"/>
  <c r="BA4" i="26" s="1"/>
  <c r="BA7" i="26" s="1"/>
  <c r="AB7" i="26"/>
  <c r="AF4" i="26" s="1"/>
  <c r="AF7" i="26" s="1"/>
  <c r="AB31" i="22" a="1"/>
  <c r="BK31" i="22"/>
  <c r="BO28" i="22" s="1"/>
  <c r="BO31" i="22" s="1"/>
  <c r="AQ8" i="22" a="1"/>
  <c r="AQ8" i="22" s="1"/>
  <c r="AC31" i="4" a="1"/>
  <c r="AC31" i="4" s="1"/>
  <c r="AG28" i="4" s="1"/>
  <c r="AG31" i="4" s="1"/>
  <c r="AP7" i="22" a="1"/>
  <c r="C2" i="14"/>
  <c r="D2" i="14"/>
  <c r="E2" i="14"/>
  <c r="F2" i="14"/>
  <c r="G2" i="14"/>
  <c r="H2" i="14"/>
  <c r="I2" i="14"/>
  <c r="J2" i="14"/>
  <c r="K2" i="14"/>
  <c r="L2" i="14"/>
  <c r="M2" i="14"/>
  <c r="N2" i="14"/>
  <c r="B2" i="14"/>
  <c r="L1" i="14"/>
  <c r="J1" i="14"/>
  <c r="H1" i="14"/>
  <c r="E1" i="14"/>
  <c r="B1" i="14"/>
  <c r="H10" i="14"/>
  <c r="I10" i="14"/>
  <c r="H11" i="14"/>
  <c r="I11" i="14"/>
  <c r="I9" i="14"/>
  <c r="H9" i="14"/>
  <c r="F9" i="14"/>
  <c r="G9" i="14"/>
  <c r="F10" i="14"/>
  <c r="G10" i="14"/>
  <c r="F11" i="14"/>
  <c r="G11" i="14"/>
  <c r="A10" i="14"/>
  <c r="B30" i="20" s="1"/>
  <c r="B22" i="28" s="1"/>
  <c r="A11" i="14"/>
  <c r="B31" i="20" s="1"/>
  <c r="B23" i="28" s="1"/>
  <c r="A9" i="14"/>
  <c r="B29" i="20" s="1"/>
  <c r="B21" i="28" s="1"/>
  <c r="A8" i="14"/>
  <c r="C27" i="20" s="1"/>
  <c r="G6" i="14"/>
  <c r="F6" i="14"/>
  <c r="G5" i="14"/>
  <c r="F5" i="14"/>
  <c r="C4" i="14"/>
  <c r="D4" i="14"/>
  <c r="C5" i="14"/>
  <c r="D5" i="14"/>
  <c r="C6" i="14"/>
  <c r="D6" i="14"/>
  <c r="I6" i="14"/>
  <c r="I5" i="14"/>
  <c r="I4" i="14"/>
  <c r="H5" i="14"/>
  <c r="H6" i="14"/>
  <c r="H4" i="14"/>
  <c r="G4" i="14"/>
  <c r="F4" i="14"/>
  <c r="AK4" i="4"/>
  <c r="A6" i="14"/>
  <c r="B6" i="20" s="1"/>
  <c r="B5" i="28" s="1"/>
  <c r="A5" i="14"/>
  <c r="B5" i="20" s="1"/>
  <c r="B4" i="28" s="1"/>
  <c r="A4" i="14"/>
  <c r="B4" i="20" s="1"/>
  <c r="B3" i="28" s="1"/>
  <c r="A3" i="14"/>
  <c r="C2" i="20" s="1"/>
  <c r="AJ14" i="4"/>
  <c r="AJ13" i="4"/>
  <c r="AU14" i="4"/>
  <c r="AU13" i="4"/>
  <c r="AQ11" i="4"/>
  <c r="AJ11" i="4"/>
  <c r="AC11" i="4"/>
  <c r="AR14" i="4"/>
  <c r="AR13" i="4"/>
  <c r="AQ14" i="4"/>
  <c r="AQ13" i="4"/>
  <c r="AN14" i="4"/>
  <c r="AN13" i="4"/>
  <c r="AK14" i="4"/>
  <c r="AK13" i="4"/>
  <c r="AJ12" i="4"/>
  <c r="AC14" i="4"/>
  <c r="AC13" i="4"/>
  <c r="AC12" i="4"/>
  <c r="AD14" i="4"/>
  <c r="AD13" i="4"/>
  <c r="AG14" i="4"/>
  <c r="AG13" i="4"/>
  <c r="AG6" i="4"/>
  <c r="AU6" i="4"/>
  <c r="AN6" i="4"/>
  <c r="AU5" i="4"/>
  <c r="AN5" i="4"/>
  <c r="AG5" i="4"/>
  <c r="AQ2" i="4"/>
  <c r="AJ2" i="4"/>
  <c r="AC2" i="4"/>
  <c r="AK6" i="4"/>
  <c r="AR6" i="4"/>
  <c r="AR5" i="4"/>
  <c r="AK5" i="4"/>
  <c r="AD6" i="4"/>
  <c r="AD5" i="4"/>
  <c r="AQ6" i="4"/>
  <c r="AQ5" i="4"/>
  <c r="AJ6" i="4"/>
  <c r="AJ5" i="4"/>
  <c r="AC6" i="4"/>
  <c r="AC5" i="4"/>
  <c r="AD4" i="4"/>
  <c r="AQ12" i="4"/>
  <c r="AQ4" i="4"/>
  <c r="AJ4" i="4"/>
  <c r="AC4" i="4"/>
  <c r="AI30" i="26" l="1"/>
  <c r="D26" i="27"/>
  <c r="AI29" i="26"/>
  <c r="C26" i="27"/>
  <c r="AB30" i="26"/>
  <c r="D25" i="27"/>
  <c r="AB29" i="26"/>
  <c r="C25" i="27"/>
  <c r="AJ22" i="4"/>
  <c r="D15" i="14"/>
  <c r="AJ30" i="4"/>
  <c r="D20" i="14"/>
  <c r="AJ21" i="4"/>
  <c r="C15" i="14"/>
  <c r="AJ29" i="4"/>
  <c r="C20" i="14"/>
  <c r="AM24" i="26"/>
  <c r="BA8" i="26"/>
  <c r="AW9" i="26" s="1"/>
  <c r="AF8" i="26"/>
  <c r="AB9" i="26" s="1"/>
  <c r="BA32" i="22"/>
  <c r="AW33" i="22" s="1"/>
  <c r="BO32" i="22"/>
  <c r="AB31" i="22"/>
  <c r="AF28" i="22" s="1"/>
  <c r="AF31" i="22" s="1"/>
  <c r="AG32" i="4"/>
  <c r="AC33" i="4" s="1"/>
  <c r="AP7" i="22"/>
  <c r="AT4" i="22" s="1"/>
  <c r="AT7" i="22" s="1"/>
  <c r="D9" i="14"/>
  <c r="C11" i="14"/>
  <c r="B10" i="14"/>
  <c r="B4" i="14"/>
  <c r="B9" i="14"/>
  <c r="D11" i="14"/>
  <c r="C9" i="14"/>
  <c r="B11" i="14"/>
  <c r="B6" i="14"/>
  <c r="D10" i="14"/>
  <c r="B5" i="14"/>
  <c r="C10" i="14"/>
  <c r="E9" i="14"/>
  <c r="AD12" i="4"/>
  <c r="AC15" i="4" s="1" a="1"/>
  <c r="AC15" i="4" s="1"/>
  <c r="AG12" i="4" s="1"/>
  <c r="AG15" i="4" s="1"/>
  <c r="E6" i="14"/>
  <c r="E5" i="14"/>
  <c r="AR4" i="4"/>
  <c r="AK12" i="4"/>
  <c r="E4" i="14"/>
  <c r="E11" i="14"/>
  <c r="AR12" i="4"/>
  <c r="AQ15" i="4" s="1" a="1"/>
  <c r="E10" i="14"/>
  <c r="AJ7" i="4" a="1"/>
  <c r="C5" i="20" l="1"/>
  <c r="C4" i="28" s="1"/>
  <c r="C6" i="20"/>
  <c r="C5" i="28" s="1"/>
  <c r="C4" i="20"/>
  <c r="C3" i="28" s="1"/>
  <c r="C30" i="20"/>
  <c r="C22" i="28" s="1"/>
  <c r="C31" i="20"/>
  <c r="C23" i="28" s="1"/>
  <c r="C29" i="20"/>
  <c r="C21" i="28" s="1"/>
  <c r="AY9" i="26"/>
  <c r="AI25" i="26"/>
  <c r="AX9" i="26"/>
  <c r="BK33" i="22"/>
  <c r="AF32" i="22"/>
  <c r="AC33" i="22" s="1"/>
  <c r="AT8" i="22"/>
  <c r="AQ9" i="22" s="1"/>
  <c r="AD16" i="4" a="1"/>
  <c r="AD16" i="4" s="1"/>
  <c r="AR16" i="4" a="1"/>
  <c r="AR16" i="4" s="1"/>
  <c r="AQ15" i="4"/>
  <c r="AU12" i="4" s="1"/>
  <c r="AU15" i="4" s="1"/>
  <c r="AG16" i="4"/>
  <c r="AC17" i="4" s="1"/>
  <c r="AJ7" i="4"/>
  <c r="AD33" i="22" l="1"/>
  <c r="AB33" i="22"/>
  <c r="AG30" i="22" s="1"/>
  <c r="K28" i="22" s="1"/>
  <c r="BB6" i="26"/>
  <c r="BB5" i="26"/>
  <c r="J7" i="26" s="1"/>
  <c r="AR9" i="22"/>
  <c r="AP9" i="22"/>
  <c r="AU16" i="4"/>
  <c r="AS17" i="4" s="1"/>
  <c r="AE17" i="4"/>
  <c r="AD17" i="4"/>
  <c r="AN4" i="4"/>
  <c r="AN7" i="4" s="1"/>
  <c r="J7" i="27" l="1"/>
  <c r="AG29" i="22"/>
  <c r="K7" i="26"/>
  <c r="K7" i="27" s="1"/>
  <c r="AU6" i="22"/>
  <c r="K6" i="22" s="1"/>
  <c r="K6" i="23" s="1"/>
  <c r="AU5" i="22"/>
  <c r="J6" i="22" s="1"/>
  <c r="P6" i="22" s="1"/>
  <c r="AQ17" i="4"/>
  <c r="AR17" i="4"/>
  <c r="AH13" i="4"/>
  <c r="J12" i="4" s="1"/>
  <c r="AH14" i="4"/>
  <c r="K12" i="4" s="1"/>
  <c r="AN8" i="4"/>
  <c r="AJ9" i="4" s="1"/>
  <c r="J28" i="22" l="1"/>
  <c r="E10" i="20"/>
  <c r="E9" i="28" s="1"/>
  <c r="E18" i="20"/>
  <c r="E17" i="28" s="1"/>
  <c r="D18" i="20"/>
  <c r="D17" i="28" s="1"/>
  <c r="Q7" i="26"/>
  <c r="P7" i="26"/>
  <c r="R7" i="26"/>
  <c r="Q28" i="22"/>
  <c r="V7" i="26"/>
  <c r="W7" i="26"/>
  <c r="U7" i="26"/>
  <c r="T7" i="26"/>
  <c r="X7" i="26" s="1"/>
  <c r="M7" i="26" s="1"/>
  <c r="M7" i="27" s="1"/>
  <c r="K28" i="23"/>
  <c r="J6" i="23"/>
  <c r="U6" i="22"/>
  <c r="T6" i="22"/>
  <c r="V6" i="22"/>
  <c r="W6" i="22"/>
  <c r="R6" i="22"/>
  <c r="Q6" i="22"/>
  <c r="K9" i="14"/>
  <c r="J9" i="14"/>
  <c r="AV14" i="4"/>
  <c r="K14" i="4" s="1"/>
  <c r="AV13" i="4"/>
  <c r="J14" i="4" s="1"/>
  <c r="U12" i="4"/>
  <c r="W12" i="4"/>
  <c r="P12" i="4"/>
  <c r="R12" i="4"/>
  <c r="Q12" i="4"/>
  <c r="T12" i="4"/>
  <c r="V12" i="4"/>
  <c r="W28" i="22" l="1"/>
  <c r="V28" i="22"/>
  <c r="Y28" i="22" s="1"/>
  <c r="U28" i="22"/>
  <c r="T28" i="22"/>
  <c r="X28" i="22" s="1"/>
  <c r="M28" i="22" s="1"/>
  <c r="M28" i="23" s="1"/>
  <c r="P28" i="22"/>
  <c r="R28" i="22"/>
  <c r="J28" i="23"/>
  <c r="D83" i="20" s="1"/>
  <c r="D61" i="28" s="1"/>
  <c r="E83" i="20"/>
  <c r="E61" i="28" s="1"/>
  <c r="D29" i="20"/>
  <c r="D21" i="28" s="1"/>
  <c r="E29" i="20"/>
  <c r="E21" i="28" s="1"/>
  <c r="D10" i="20"/>
  <c r="D9" i="28" s="1"/>
  <c r="S7" i="26"/>
  <c r="Y7" i="26"/>
  <c r="N7" i="26" s="1"/>
  <c r="N7" i="27" s="1"/>
  <c r="N28" i="22"/>
  <c r="N28" i="23" s="1"/>
  <c r="S6" i="22"/>
  <c r="L6" i="22" s="1"/>
  <c r="L6" i="23" s="1"/>
  <c r="Y6" i="22"/>
  <c r="N6" i="22" s="1"/>
  <c r="N6" i="23" s="1"/>
  <c r="X6" i="22"/>
  <c r="M6" i="22" s="1"/>
  <c r="M6" i="23" s="1"/>
  <c r="K11" i="14"/>
  <c r="T14" i="4"/>
  <c r="J11" i="14"/>
  <c r="R14" i="4"/>
  <c r="Q14" i="4"/>
  <c r="W14" i="4"/>
  <c r="P14" i="4"/>
  <c r="V14" i="4"/>
  <c r="U14" i="4"/>
  <c r="X12" i="4"/>
  <c r="M12" i="4" s="1"/>
  <c r="S12" i="4"/>
  <c r="L12" i="4" s="1"/>
  <c r="Y12" i="4"/>
  <c r="N12" i="4" s="1"/>
  <c r="S28" i="22" l="1"/>
  <c r="L28" i="22" s="1"/>
  <c r="L28" i="23" s="1"/>
  <c r="E31" i="20"/>
  <c r="E23" i="28" s="1"/>
  <c r="D31" i="20"/>
  <c r="D23" i="28" s="1"/>
  <c r="L7" i="26"/>
  <c r="L7" i="27" s="1"/>
  <c r="X14" i="4"/>
  <c r="M14" i="4" s="1"/>
  <c r="S14" i="4"/>
  <c r="L14" i="4" s="1"/>
  <c r="L9" i="14"/>
  <c r="M9" i="14"/>
  <c r="N9" i="14"/>
  <c r="Y14" i="4"/>
  <c r="N14" i="4" s="1"/>
  <c r="M11" i="14" l="1"/>
  <c r="N11" i="14"/>
  <c r="L11" i="14"/>
  <c r="AC7" i="4" l="1" a="1"/>
  <c r="AQ7" i="4" a="1"/>
  <c r="AQ7" i="4" l="1"/>
  <c r="AC7" i="4"/>
  <c r="AG4" i="4" s="1"/>
  <c r="AG7" i="4" s="1"/>
  <c r="AG8" i="4" l="1"/>
  <c r="AC9" i="4" s="1"/>
  <c r="AU4" i="4"/>
  <c r="AU7" i="4" s="1"/>
  <c r="AU8" i="4" l="1"/>
  <c r="AQ9" i="4" s="1"/>
  <c r="AR8" i="4" a="1"/>
  <c r="AR8" i="4" s="1"/>
  <c r="AD8" i="4" a="1"/>
  <c r="AK8" i="4" a="1"/>
  <c r="AR9" i="4" l="1"/>
  <c r="AS9" i="4"/>
  <c r="AD8" i="4"/>
  <c r="AD9" i="4" s="1"/>
  <c r="AE9" i="4"/>
  <c r="AK8" i="4"/>
  <c r="AK9" i="4" s="1"/>
  <c r="AL9" i="4"/>
  <c r="AV6" i="4" l="1"/>
  <c r="K6" i="4" s="1"/>
  <c r="AH5" i="4"/>
  <c r="J4" i="4" s="1"/>
  <c r="AH6" i="4"/>
  <c r="K4" i="4" s="1"/>
  <c r="AV5" i="4"/>
  <c r="J6" i="4" s="1"/>
  <c r="AO6" i="4"/>
  <c r="K5" i="4" s="1"/>
  <c r="AO5" i="4"/>
  <c r="J5" i="4" s="1"/>
  <c r="T4" i="4" l="1"/>
  <c r="J4" i="14"/>
  <c r="J6" i="14"/>
  <c r="K4" i="14"/>
  <c r="J5" i="14"/>
  <c r="K5" i="14"/>
  <c r="K6" i="14"/>
  <c r="U5" i="4"/>
  <c r="Q5" i="4"/>
  <c r="R5" i="4"/>
  <c r="P5" i="4"/>
  <c r="V5" i="4"/>
  <c r="W5" i="4"/>
  <c r="T5" i="4"/>
  <c r="P6" i="4"/>
  <c r="R6" i="4"/>
  <c r="T6" i="4"/>
  <c r="U6" i="4"/>
  <c r="W6" i="4"/>
  <c r="V6" i="4"/>
  <c r="Q6" i="4"/>
  <c r="V4" i="4"/>
  <c r="P4" i="4"/>
  <c r="R4" i="4"/>
  <c r="Q4" i="4"/>
  <c r="U4" i="4"/>
  <c r="W4" i="4"/>
  <c r="E5" i="20" l="1"/>
  <c r="E4" i="28" s="1"/>
  <c r="D5" i="20"/>
  <c r="D4" i="28" s="1"/>
  <c r="E4" i="20"/>
  <c r="E3" i="28" s="1"/>
  <c r="D6" i="20"/>
  <c r="D5" i="28" s="1"/>
  <c r="D4" i="20"/>
  <c r="D3" i="28" s="1"/>
  <c r="E6" i="20"/>
  <c r="E5" i="28" s="1"/>
  <c r="X5" i="4"/>
  <c r="M5" i="4" s="1"/>
  <c r="Y6" i="4"/>
  <c r="N6" i="4" s="1"/>
  <c r="S6" i="4"/>
  <c r="L6" i="4" s="1"/>
  <c r="Y5" i="4"/>
  <c r="N5" i="4" s="1"/>
  <c r="S4" i="4"/>
  <c r="L4" i="4" s="1"/>
  <c r="X4" i="4"/>
  <c r="M4" i="4" s="1"/>
  <c r="S5" i="4"/>
  <c r="L5" i="4" s="1"/>
  <c r="Y4" i="4"/>
  <c r="N4" i="4" s="1"/>
  <c r="X6" i="4"/>
  <c r="M6" i="4" s="1"/>
  <c r="M4" i="14" l="1"/>
  <c r="M5" i="14"/>
  <c r="M6" i="14"/>
  <c r="N4" i="14"/>
  <c r="L4" i="14"/>
  <c r="N5" i="14"/>
  <c r="L5" i="14"/>
  <c r="L6" i="14"/>
  <c r="N6" i="14"/>
  <c r="AJ15" i="4" l="1" a="1"/>
  <c r="AK16" i="4" a="1"/>
  <c r="AK16" i="4" s="1"/>
  <c r="AJ15" i="4" l="1"/>
  <c r="AN12" i="4" s="1"/>
  <c r="AN15" i="4" s="1"/>
  <c r="AN16" i="4" l="1"/>
  <c r="AL17" i="4" s="1"/>
  <c r="AJ17" i="4" l="1"/>
  <c r="AK17" i="4"/>
  <c r="AO13" i="4" l="1"/>
  <c r="J13" i="4" s="1"/>
  <c r="AO14" i="4"/>
  <c r="K13" i="4" s="1"/>
  <c r="T13" i="4" l="1"/>
  <c r="J10" i="14"/>
  <c r="K10" i="14"/>
  <c r="R13" i="4"/>
  <c r="W13" i="4"/>
  <c r="V13" i="4"/>
  <c r="Q13" i="4"/>
  <c r="U13" i="4"/>
  <c r="P13" i="4"/>
  <c r="E30" i="20" l="1"/>
  <c r="E22" i="28" s="1"/>
  <c r="D30" i="20"/>
  <c r="D22" i="28" s="1"/>
  <c r="X13" i="4"/>
  <c r="M13" i="4" s="1"/>
  <c r="Y13" i="4"/>
  <c r="N13" i="4" s="1"/>
  <c r="S13" i="4"/>
  <c r="L13" i="4" s="1"/>
  <c r="N10" i="14" l="1"/>
  <c r="M10" i="14"/>
  <c r="L10" i="14"/>
  <c r="AX16" i="22" l="1" a="1"/>
  <c r="AX16" i="22" s="1"/>
  <c r="AP15" i="22" a="1"/>
  <c r="AP15" i="22" s="1"/>
  <c r="AQ16" i="22" a="1"/>
  <c r="AQ16" i="22" s="1"/>
  <c r="AX8" i="22" a="1"/>
  <c r="AX8" i="22" s="1"/>
  <c r="AW7" i="22" a="1"/>
  <c r="AW7" i="22" l="1"/>
  <c r="BA4" i="22" s="1"/>
  <c r="AT12" i="22"/>
  <c r="AT15" i="22" s="1"/>
  <c r="BA7" i="22" l="1"/>
  <c r="AT16" i="22"/>
  <c r="AQ17" i="22" s="1"/>
  <c r="BA8" i="22" l="1"/>
  <c r="AP17" i="22"/>
  <c r="AR17" i="22"/>
  <c r="AX9" i="22" l="1"/>
  <c r="AY9" i="22"/>
  <c r="AW9" i="22"/>
  <c r="AU13" i="22"/>
  <c r="J14" i="22" s="1"/>
  <c r="AU14" i="22"/>
  <c r="K14" i="22" l="1"/>
  <c r="K14" i="23" s="1"/>
  <c r="E35" i="20" s="1"/>
  <c r="E27" i="28" s="1"/>
  <c r="W14" i="22"/>
  <c r="R14" i="22"/>
  <c r="P14" i="22"/>
  <c r="V14" i="22"/>
  <c r="Y14" i="22" s="1"/>
  <c r="N14" i="22" s="1"/>
  <c r="Q14" i="22"/>
  <c r="U14" i="22"/>
  <c r="T14" i="22"/>
  <c r="X14" i="22" s="1"/>
  <c r="M14" i="22" s="1"/>
  <c r="BB5" i="22"/>
  <c r="J7" i="22" s="1"/>
  <c r="BB6" i="22"/>
  <c r="J14" i="23"/>
  <c r="S14" i="22" l="1"/>
  <c r="L14" i="22" s="1"/>
  <c r="D35" i="20"/>
  <c r="D27" i="28" s="1"/>
  <c r="K7" i="22"/>
  <c r="T7" i="22" s="1"/>
  <c r="J7" i="23"/>
  <c r="M14" i="23"/>
  <c r="L14" i="23"/>
  <c r="N14" i="23"/>
  <c r="AW15" i="22" a="1"/>
  <c r="AW15" i="22" s="1"/>
  <c r="BA12" i="22" s="1"/>
  <c r="BA15" i="22" s="1"/>
  <c r="R7" i="22" l="1"/>
  <c r="V7" i="22"/>
  <c r="P7" i="22"/>
  <c r="D11" i="20"/>
  <c r="D10" i="28" s="1"/>
  <c r="U7" i="22"/>
  <c r="X7" i="22" s="1"/>
  <c r="M7" i="22" s="1"/>
  <c r="M7" i="23" s="1"/>
  <c r="W7" i="22"/>
  <c r="Q7" i="22"/>
  <c r="K7" i="23"/>
  <c r="BA16" i="22"/>
  <c r="AW17" i="22" s="1"/>
  <c r="Y7" i="22" l="1"/>
  <c r="N7" i="22" s="1"/>
  <c r="N7" i="23" s="1"/>
  <c r="E11" i="20"/>
  <c r="E10" i="28" s="1"/>
  <c r="S7" i="22"/>
  <c r="L7" i="22" s="1"/>
  <c r="L7" i="23" s="1"/>
  <c r="AX17" i="22"/>
  <c r="AY17" i="22"/>
  <c r="BB13" i="22" l="1"/>
  <c r="J15" i="22" s="1"/>
  <c r="BB14" i="22"/>
  <c r="J15" i="23"/>
  <c r="K15" i="22" l="1"/>
  <c r="K15" i="23" s="1"/>
  <c r="E36" i="20" s="1"/>
  <c r="E28" i="28" s="1"/>
  <c r="V15" i="22"/>
  <c r="T15" i="22"/>
  <c r="X15" i="22" s="1"/>
  <c r="M15" i="22" s="1"/>
  <c r="M15" i="23" s="1"/>
  <c r="Q15" i="22"/>
  <c r="S15" i="22" s="1"/>
  <c r="L15" i="22" s="1"/>
  <c r="L15" i="23" s="1"/>
  <c r="W15" i="22"/>
  <c r="U15" i="22"/>
  <c r="P15" i="22"/>
  <c r="R15" i="22"/>
  <c r="D36" i="20"/>
  <c r="D28" i="28" s="1"/>
  <c r="Y15" i="22" l="1"/>
  <c r="N15" i="22" s="1"/>
  <c r="N15" i="23" s="1"/>
  <c r="AQ23" i="4" a="1"/>
  <c r="AJ23" i="4" a="1"/>
  <c r="AJ23" i="4" s="1"/>
  <c r="AQ23" i="4" l="1"/>
  <c r="AU20" i="4" s="1"/>
  <c r="AU23" i="4" s="1"/>
  <c r="AN20" i="4"/>
  <c r="AN23" i="4" s="1"/>
  <c r="AU24" i="4" l="1"/>
  <c r="AQ25" i="4" s="1"/>
  <c r="AN24" i="4"/>
  <c r="AJ25" i="4" l="1"/>
  <c r="AR24" i="4" l="1" a="1"/>
  <c r="AR24" i="4" s="1"/>
  <c r="AR25" i="4" s="1"/>
  <c r="AS25" i="4" l="1"/>
  <c r="AV21" i="4" s="1"/>
  <c r="J22" i="4" l="1"/>
  <c r="J16" i="14" s="1"/>
  <c r="D56" i="20" s="1"/>
  <c r="D41" i="28" s="1"/>
  <c r="AV22" i="4"/>
  <c r="K22" i="4" s="1"/>
  <c r="U22" i="4" l="1"/>
  <c r="R22" i="4"/>
  <c r="P22" i="4"/>
  <c r="Q22" i="4"/>
  <c r="S22" i="4" s="1"/>
  <c r="L22" i="4" s="1"/>
  <c r="L16" i="14" l="1"/>
  <c r="K16" i="14"/>
  <c r="V22" i="4"/>
  <c r="W22" i="4"/>
  <c r="T22" i="4"/>
  <c r="X22" i="4" s="1"/>
  <c r="M22" i="4" s="1"/>
  <c r="AJ8" i="22" a="1"/>
  <c r="AI15" i="22" a="1"/>
  <c r="AI15" i="22" s="1"/>
  <c r="AJ16" i="22" a="1"/>
  <c r="AJ16" i="22" s="1"/>
  <c r="E56" i="20" l="1"/>
  <c r="E41" i="28" s="1"/>
  <c r="Y22" i="4"/>
  <c r="N22" i="4" s="1"/>
  <c r="N16" i="14" s="1"/>
  <c r="M16" i="14"/>
  <c r="AJ8" i="22"/>
  <c r="AM12" i="22"/>
  <c r="AM15" i="22" s="1"/>
  <c r="AM16" i="22" l="1"/>
  <c r="AI17" i="22" s="1"/>
  <c r="AK17" i="22"/>
  <c r="AJ17" i="22" l="1"/>
  <c r="AN13" i="22" s="1"/>
  <c r="J13" i="22" s="1"/>
  <c r="AN14" i="22" l="1"/>
  <c r="AB15" i="22" a="1"/>
  <c r="AC16" i="22" a="1"/>
  <c r="AC16" i="22" s="1"/>
  <c r="K13" i="22" l="1"/>
  <c r="P13" i="22" s="1"/>
  <c r="AB15" i="22"/>
  <c r="AF12" i="22" s="1"/>
  <c r="AF15" i="22" s="1"/>
  <c r="K13" i="23" l="1"/>
  <c r="E34" i="20" s="1"/>
  <c r="E26" i="28" s="1"/>
  <c r="AF16" i="22"/>
  <c r="AB17" i="22" s="1"/>
  <c r="AC17" i="22" l="1"/>
  <c r="AD17" i="22"/>
  <c r="AG13" i="22" l="1"/>
  <c r="J12" i="22" s="1"/>
  <c r="AG14" i="22"/>
  <c r="K12" i="22" s="1"/>
  <c r="J12" i="23" l="1"/>
  <c r="P12" i="22"/>
  <c r="K12" i="23"/>
  <c r="V12" i="22"/>
  <c r="U12" i="22"/>
  <c r="T12" i="22"/>
  <c r="R12" i="22"/>
  <c r="R13" i="22"/>
  <c r="Q12" i="22"/>
  <c r="W12" i="22"/>
  <c r="D33" i="20"/>
  <c r="D25" i="28" s="1"/>
  <c r="AC8" i="22" a="1"/>
  <c r="AC8" i="22" s="1"/>
  <c r="Y12" i="22" l="1"/>
  <c r="N12" i="22" s="1"/>
  <c r="N12" i="23" s="1"/>
  <c r="E33" i="20"/>
  <c r="E25" i="28" s="1"/>
  <c r="X12" i="22"/>
  <c r="M12" i="22" s="1"/>
  <c r="M12" i="23" s="1"/>
  <c r="T13" i="22"/>
  <c r="J13" i="23"/>
  <c r="V13" i="22"/>
  <c r="W13" i="22"/>
  <c r="Q13" i="22"/>
  <c r="U13" i="22"/>
  <c r="S12" i="22"/>
  <c r="L12" i="22" s="1"/>
  <c r="L12" i="23" s="1"/>
  <c r="AB7" i="22" a="1"/>
  <c r="AB7" i="22" s="1"/>
  <c r="BE16" i="22" a="1"/>
  <c r="BE16" i="22" s="1"/>
  <c r="BD7" i="22" a="1"/>
  <c r="BE8" i="22" a="1"/>
  <c r="BE8" i="22" s="1"/>
  <c r="BK15" i="22" a="1"/>
  <c r="X13" i="22" l="1"/>
  <c r="M13" i="22" s="1"/>
  <c r="M13" i="23" s="1"/>
  <c r="Y13" i="22"/>
  <c r="N13" i="22" s="1"/>
  <c r="N13" i="23" s="1"/>
  <c r="D34" i="20"/>
  <c r="D26" i="28" s="1"/>
  <c r="S13" i="22"/>
  <c r="L13" i="22" s="1"/>
  <c r="L13" i="23" s="1"/>
  <c r="BK15" i="22"/>
  <c r="BO12" i="22"/>
  <c r="AF4" i="22"/>
  <c r="AF7" i="22" s="1"/>
  <c r="BD7" i="22"/>
  <c r="BH4" i="22" s="1"/>
  <c r="BH7" i="22" l="1"/>
  <c r="AF8" i="22"/>
  <c r="AB9" i="22" s="1"/>
  <c r="BO15" i="22"/>
  <c r="BO16" i="22" s="1"/>
  <c r="AC9" i="22" l="1"/>
  <c r="BK17" i="22"/>
  <c r="AD9" i="22"/>
  <c r="BH8" i="22"/>
  <c r="BE9" i="22" s="1"/>
  <c r="AG5" i="22" l="1"/>
  <c r="J4" i="22" s="1"/>
  <c r="BD9" i="22"/>
  <c r="AG6" i="22"/>
  <c r="K4" i="22" s="1"/>
  <c r="K4" i="23" s="1"/>
  <c r="BF9" i="22"/>
  <c r="J4" i="23" l="1"/>
  <c r="P4" i="22"/>
  <c r="E8" i="20"/>
  <c r="E7" i="28" s="1"/>
  <c r="D8" i="20"/>
  <c r="D7" i="28" s="1"/>
  <c r="V4" i="22"/>
  <c r="U4" i="22"/>
  <c r="W4" i="22"/>
  <c r="T4" i="22"/>
  <c r="BI5" i="22"/>
  <c r="J8" i="22" s="1"/>
  <c r="BI6" i="22"/>
  <c r="K8" i="22" s="1"/>
  <c r="K8" i="23" s="1"/>
  <c r="E12" i="20" s="1"/>
  <c r="E11" i="28" s="1"/>
  <c r="Q4" i="22"/>
  <c r="R4" i="22"/>
  <c r="P8" i="22" l="1"/>
  <c r="J8" i="23"/>
  <c r="D12" i="20" s="1"/>
  <c r="D11" i="28" s="1"/>
  <c r="W8" i="22"/>
  <c r="T8" i="22"/>
  <c r="U8" i="22"/>
  <c r="Q8" i="22"/>
  <c r="S8" i="22" s="1"/>
  <c r="L8" i="22" s="1"/>
  <c r="L8" i="23" s="1"/>
  <c r="R8" i="22"/>
  <c r="V8" i="22"/>
  <c r="X4" i="22"/>
  <c r="M4" i="22" s="1"/>
  <c r="M4" i="23" s="1"/>
  <c r="Y4" i="22"/>
  <c r="N4" i="22" s="1"/>
  <c r="N4" i="23" s="1"/>
  <c r="S4" i="22"/>
  <c r="L4" i="22" s="1"/>
  <c r="L4" i="23" s="1"/>
  <c r="BD15" i="22" a="1"/>
  <c r="BD15" i="22" s="1"/>
  <c r="X8" i="22" l="1"/>
  <c r="M8" i="22" s="1"/>
  <c r="M8" i="23" s="1"/>
  <c r="Y8" i="22"/>
  <c r="N8" i="22" s="1"/>
  <c r="N8" i="23" s="1"/>
  <c r="BH12" i="22"/>
  <c r="BH15" i="22" s="1"/>
  <c r="BH16" i="22" l="1"/>
  <c r="BE17" i="22" s="1"/>
  <c r="BD17" i="22" l="1"/>
  <c r="BF17" i="22"/>
  <c r="BI13" i="22" l="1"/>
  <c r="J16" i="22" s="1"/>
  <c r="BI14" i="22"/>
  <c r="K16" i="22" s="1"/>
  <c r="K16" i="23" s="1"/>
  <c r="E37" i="20" s="1"/>
  <c r="E29" i="28" s="1"/>
  <c r="BK7" i="22" a="1"/>
  <c r="BK7" i="22" s="1"/>
  <c r="BL16" i="22" a="1"/>
  <c r="BM17" i="22" s="1"/>
  <c r="AI7" i="22" a="1"/>
  <c r="AI7" i="22" s="1"/>
  <c r="J16" i="23" l="1"/>
  <c r="D37" i="20" s="1"/>
  <c r="D29" i="28" s="1"/>
  <c r="U16" i="22"/>
  <c r="T16" i="22"/>
  <c r="X16" i="22" s="1"/>
  <c r="M16" i="22" s="1"/>
  <c r="M16" i="23" s="1"/>
  <c r="R16" i="22"/>
  <c r="V16" i="22"/>
  <c r="Y16" i="22" s="1"/>
  <c r="N16" i="22" s="1"/>
  <c r="N16" i="23" s="1"/>
  <c r="P16" i="22"/>
  <c r="W16" i="22"/>
  <c r="Q16" i="22"/>
  <c r="BL16" i="22"/>
  <c r="BL17" i="22" s="1"/>
  <c r="BO4" i="22"/>
  <c r="BO7" i="22" s="1"/>
  <c r="AM4" i="22"/>
  <c r="AM7" i="22" s="1"/>
  <c r="S16" i="22" l="1"/>
  <c r="L16" i="22" s="1"/>
  <c r="L16" i="23" s="1"/>
  <c r="BO8" i="22"/>
  <c r="BK9" i="22" s="1"/>
  <c r="AM8" i="22"/>
  <c r="AK9" i="22" s="1"/>
  <c r="BP14" i="22"/>
  <c r="K17" i="22" s="1"/>
  <c r="K17" i="23" s="1"/>
  <c r="E38" i="20" s="1"/>
  <c r="E30" i="28" s="1"/>
  <c r="BP13" i="22"/>
  <c r="J17" i="22" s="1"/>
  <c r="J17" i="23" l="1"/>
  <c r="D38" i="20" s="1"/>
  <c r="D30" i="28" s="1"/>
  <c r="R17" i="22"/>
  <c r="U17" i="22"/>
  <c r="Q17" i="22"/>
  <c r="S17" i="22" s="1"/>
  <c r="L17" i="22" s="1"/>
  <c r="L17" i="23" s="1"/>
  <c r="V17" i="22"/>
  <c r="Y17" i="22" s="1"/>
  <c r="N17" i="22" s="1"/>
  <c r="N17" i="23" s="1"/>
  <c r="T17" i="22"/>
  <c r="X17" i="22" s="1"/>
  <c r="M17" i="22" s="1"/>
  <c r="M17" i="23" s="1"/>
  <c r="W17" i="22"/>
  <c r="P17" i="22"/>
  <c r="AJ9" i="22"/>
  <c r="AI9" i="22"/>
  <c r="AN5" i="22" s="1"/>
  <c r="J5" i="22" s="1"/>
  <c r="BM9" i="22"/>
  <c r="AN6" i="22"/>
  <c r="K5" i="22" s="1"/>
  <c r="K5" i="23" s="1"/>
  <c r="BL9" i="22"/>
  <c r="P5" i="22" l="1"/>
  <c r="E9" i="20"/>
  <c r="E8" i="28" s="1"/>
  <c r="BP5" i="22"/>
  <c r="J9" i="22" s="1"/>
  <c r="U5" i="22"/>
  <c r="J5" i="23"/>
  <c r="R5" i="22"/>
  <c r="T5" i="22"/>
  <c r="V5" i="22"/>
  <c r="Q5" i="22"/>
  <c r="W5" i="22"/>
  <c r="BP6" i="22"/>
  <c r="K9" i="22" s="1"/>
  <c r="K9" i="23" s="1"/>
  <c r="E13" i="20" s="1"/>
  <c r="E12" i="28" s="1"/>
  <c r="S5" i="22" l="1"/>
  <c r="L5" i="22" s="1"/>
  <c r="L5" i="23" s="1"/>
  <c r="J9" i="23"/>
  <c r="D13" i="20" s="1"/>
  <c r="D12" i="28" s="1"/>
  <c r="U9" i="22"/>
  <c r="T9" i="22"/>
  <c r="X9" i="22" s="1"/>
  <c r="M9" i="22" s="1"/>
  <c r="M9" i="23" s="1"/>
  <c r="R9" i="22"/>
  <c r="P9" i="22"/>
  <c r="Q9" i="22"/>
  <c r="V9" i="22"/>
  <c r="W9" i="22"/>
  <c r="D9" i="20"/>
  <c r="D8" i="28" s="1"/>
  <c r="X5" i="22"/>
  <c r="M5" i="22" s="1"/>
  <c r="M5" i="23" s="1"/>
  <c r="Y5" i="22"/>
  <c r="N5" i="22" s="1"/>
  <c r="N5" i="23" s="1"/>
  <c r="AI23" i="22" a="1"/>
  <c r="AI23" i="22" s="1"/>
  <c r="AC24" i="22" a="1"/>
  <c r="AC24" i="22" s="1"/>
  <c r="AC25" i="22" s="1"/>
  <c r="BK23" i="22" a="1"/>
  <c r="BK23" i="22" s="1"/>
  <c r="BD23" i="22" a="1"/>
  <c r="BD23" i="22" s="1"/>
  <c r="BE24" i="22" a="1"/>
  <c r="BE24" i="22" s="1"/>
  <c r="AP31" i="22" a="1"/>
  <c r="AQ32" i="22" a="1"/>
  <c r="AQ32" i="22" s="1"/>
  <c r="Y9" i="22" l="1"/>
  <c r="N9" i="22" s="1"/>
  <c r="N9" i="23" s="1"/>
  <c r="S9" i="22"/>
  <c r="L9" i="22" s="1"/>
  <c r="L9" i="23" s="1"/>
  <c r="AD25" i="22"/>
  <c r="AG22" i="22" s="1"/>
  <c r="AP31" i="22"/>
  <c r="AT28" i="22" s="1"/>
  <c r="AT31" i="22" s="1"/>
  <c r="BO20" i="22"/>
  <c r="BO23" i="22" s="1"/>
  <c r="AM20" i="22"/>
  <c r="AM23" i="22" s="1"/>
  <c r="BH20" i="22"/>
  <c r="BH23" i="22" s="1"/>
  <c r="K20" i="22" l="1"/>
  <c r="K20" i="23" s="1"/>
  <c r="AG21" i="22"/>
  <c r="J20" i="22" s="1"/>
  <c r="AT32" i="22"/>
  <c r="AP33" i="22" s="1"/>
  <c r="AM24" i="22"/>
  <c r="BH24" i="22"/>
  <c r="BF25" i="22" s="1"/>
  <c r="BO24" i="22"/>
  <c r="BM25" i="22" s="1"/>
  <c r="J20" i="23" l="1"/>
  <c r="D58" i="20" s="1"/>
  <c r="D43" i="28" s="1"/>
  <c r="U20" i="22"/>
  <c r="R20" i="22"/>
  <c r="T20" i="22"/>
  <c r="X20" i="22" s="1"/>
  <c r="M20" i="22" s="1"/>
  <c r="M20" i="23" s="1"/>
  <c r="W20" i="22"/>
  <c r="Q20" i="22"/>
  <c r="S20" i="22" s="1"/>
  <c r="L20" i="22" s="1"/>
  <c r="L20" i="23" s="1"/>
  <c r="V20" i="22"/>
  <c r="P20" i="22"/>
  <c r="E58" i="20"/>
  <c r="E43" i="28" s="1"/>
  <c r="AQ33" i="22"/>
  <c r="BK25" i="22"/>
  <c r="BL25" i="22"/>
  <c r="AR33" i="22"/>
  <c r="BD25" i="22"/>
  <c r="AI25" i="22"/>
  <c r="BE25" i="22"/>
  <c r="BP22" i="22" l="1"/>
  <c r="K25" i="22" s="1"/>
  <c r="K25" i="23" s="1"/>
  <c r="E63" i="20" s="1"/>
  <c r="E48" i="28" s="1"/>
  <c r="Y20" i="22"/>
  <c r="N20" i="22" s="1"/>
  <c r="N20" i="23" s="1"/>
  <c r="AU30" i="22"/>
  <c r="K30" i="22" s="1"/>
  <c r="K30" i="23" s="1"/>
  <c r="E85" i="20" s="1"/>
  <c r="E63" i="28" s="1"/>
  <c r="BP21" i="22"/>
  <c r="J25" i="22" s="1"/>
  <c r="AU29" i="22"/>
  <c r="J30" i="22" s="1"/>
  <c r="BI21" i="22"/>
  <c r="J24" i="22" s="1"/>
  <c r="BI22" i="22"/>
  <c r="K24" i="22" s="1"/>
  <c r="K24" i="23" s="1"/>
  <c r="E62" i="20" s="1"/>
  <c r="E47" i="28" s="1"/>
  <c r="BL32" i="22" a="1"/>
  <c r="BM33" i="22" s="1"/>
  <c r="AC24" i="26" a="1"/>
  <c r="AC24" i="26" s="1"/>
  <c r="AX32" i="26" a="1"/>
  <c r="AX32" i="26" s="1"/>
  <c r="AB23" i="26" a="1"/>
  <c r="AB23" i="26" s="1"/>
  <c r="AP7" i="26" a="1"/>
  <c r="AP7" i="26" s="1"/>
  <c r="AT4" i="26" s="1"/>
  <c r="AT7" i="26" s="1"/>
  <c r="AW23" i="26" a="1"/>
  <c r="AW23" i="26" s="1"/>
  <c r="AX24" i="26" a="1"/>
  <c r="AX24" i="26" s="1"/>
  <c r="AC16" i="26" a="1"/>
  <c r="AC16" i="26" s="1"/>
  <c r="AB15" i="26" a="1"/>
  <c r="AJ8" i="26" a="1"/>
  <c r="AJ8" i="26" s="1"/>
  <c r="AP31" i="26" a="1"/>
  <c r="AP31" i="26" s="1"/>
  <c r="AT28" i="26" s="1"/>
  <c r="AT31" i="26" s="1"/>
  <c r="AW15" i="26" a="1"/>
  <c r="BD23" i="26" a="1"/>
  <c r="AW31" i="26" a="1"/>
  <c r="AW31" i="26" s="1"/>
  <c r="BD7" i="26" a="1"/>
  <c r="BE8" i="26" a="1"/>
  <c r="BE8" i="26" s="1"/>
  <c r="AI7" i="26" a="1"/>
  <c r="BD31" i="26" a="1"/>
  <c r="BD31" i="26" s="1"/>
  <c r="AC8" i="26" a="1"/>
  <c r="AC8" i="26" s="1"/>
  <c r="AC9" i="26" s="1"/>
  <c r="AQ8" i="26" a="1"/>
  <c r="AQ8" i="26" s="1"/>
  <c r="AB15" i="26" l="1"/>
  <c r="AF12" i="26"/>
  <c r="J25" i="23"/>
  <c r="D63" i="20" s="1"/>
  <c r="D48" i="28" s="1"/>
  <c r="W25" i="22"/>
  <c r="Q25" i="22"/>
  <c r="V25" i="22"/>
  <c r="Y25" i="22" s="1"/>
  <c r="N25" i="22" s="1"/>
  <c r="N25" i="23" s="1"/>
  <c r="R25" i="22"/>
  <c r="U25" i="22"/>
  <c r="T25" i="22"/>
  <c r="P25" i="22"/>
  <c r="U30" i="22"/>
  <c r="R30" i="22"/>
  <c r="W30" i="22"/>
  <c r="J30" i="23"/>
  <c r="D85" i="20" s="1"/>
  <c r="D63" i="28" s="1"/>
  <c r="T30" i="22"/>
  <c r="V30" i="22"/>
  <c r="Q30" i="22"/>
  <c r="P30" i="22"/>
  <c r="J24" i="23"/>
  <c r="D62" i="20" s="1"/>
  <c r="D47" i="28" s="1"/>
  <c r="U24" i="22"/>
  <c r="Q24" i="22"/>
  <c r="T24" i="22"/>
  <c r="R24" i="22"/>
  <c r="V24" i="22"/>
  <c r="W24" i="22"/>
  <c r="P24" i="22"/>
  <c r="BL32" i="22"/>
  <c r="BL33" i="22" s="1"/>
  <c r="AF20" i="26"/>
  <c r="AF23" i="26" s="1"/>
  <c r="AF24" i="26" s="1"/>
  <c r="AD25" i="26" s="1"/>
  <c r="AT32" i="26"/>
  <c r="AP33" i="26" s="1"/>
  <c r="AT8" i="26"/>
  <c r="AQ9" i="26" s="1"/>
  <c r="BD23" i="26"/>
  <c r="BH20" i="26" s="1"/>
  <c r="BH23" i="26" s="1"/>
  <c r="BA20" i="26"/>
  <c r="BA23" i="26" s="1"/>
  <c r="AF15" i="26"/>
  <c r="AI7" i="26"/>
  <c r="AM4" i="26" s="1"/>
  <c r="AM7" i="26" s="1"/>
  <c r="AW15" i="26"/>
  <c r="BA12" i="26" s="1"/>
  <c r="BA15" i="26" s="1"/>
  <c r="BD7" i="26"/>
  <c r="BH4" i="26" s="1"/>
  <c r="BH7" i="26" s="1"/>
  <c r="BH28" i="26"/>
  <c r="BH31" i="26" s="1"/>
  <c r="BA28" i="26"/>
  <c r="BA31" i="26" s="1"/>
  <c r="AD9" i="26"/>
  <c r="AG6" i="26" s="1"/>
  <c r="K4" i="26" s="1"/>
  <c r="K4" i="27" s="1"/>
  <c r="Y24" i="22" l="1"/>
  <c r="N24" i="22" s="1"/>
  <c r="N24" i="23" s="1"/>
  <c r="S25" i="22"/>
  <c r="L25" i="22" s="1"/>
  <c r="L25" i="23" s="1"/>
  <c r="S30" i="22"/>
  <c r="L30" i="22" s="1"/>
  <c r="L30" i="23" s="1"/>
  <c r="X24" i="22"/>
  <c r="M24" i="22" s="1"/>
  <c r="M24" i="23" s="1"/>
  <c r="Y30" i="22"/>
  <c r="N30" i="22" s="1"/>
  <c r="N30" i="23" s="1"/>
  <c r="S24" i="22"/>
  <c r="L24" i="22" s="1"/>
  <c r="L24" i="23" s="1"/>
  <c r="X30" i="22"/>
  <c r="M30" i="22" s="1"/>
  <c r="M30" i="23" s="1"/>
  <c r="X25" i="22"/>
  <c r="M25" i="22" s="1"/>
  <c r="M25" i="23" s="1"/>
  <c r="E15" i="20"/>
  <c r="E14" i="28" s="1"/>
  <c r="BP30" i="22"/>
  <c r="K33" i="22" s="1"/>
  <c r="K33" i="23" s="1"/>
  <c r="E88" i="20" s="1"/>
  <c r="E66" i="28" s="1"/>
  <c r="BP29" i="22"/>
  <c r="J33" i="22" s="1"/>
  <c r="BH8" i="26"/>
  <c r="BF9" i="26" s="1"/>
  <c r="BA16" i="26"/>
  <c r="AW17" i="26" s="1"/>
  <c r="AM8" i="26"/>
  <c r="AI9" i="26" s="1"/>
  <c r="BH24" i="26"/>
  <c r="BD25" i="26" s="1"/>
  <c r="AB25" i="26"/>
  <c r="AG5" i="26"/>
  <c r="J4" i="26" s="1"/>
  <c r="BA32" i="26"/>
  <c r="AY33" i="26" s="1"/>
  <c r="AP9" i="26"/>
  <c r="BA24" i="26"/>
  <c r="AY25" i="26" s="1"/>
  <c r="AR9" i="26"/>
  <c r="AC25" i="26"/>
  <c r="AF16" i="26"/>
  <c r="AC17" i="26" s="1"/>
  <c r="BH32" i="26"/>
  <c r="BD33" i="26" s="1"/>
  <c r="AW33" i="26" l="1"/>
  <c r="W33" i="22"/>
  <c r="R33" i="22"/>
  <c r="T33" i="22"/>
  <c r="J33" i="23"/>
  <c r="D88" i="20" s="1"/>
  <c r="D66" i="28" s="1"/>
  <c r="V33" i="22"/>
  <c r="Y33" i="22" s="1"/>
  <c r="N33" i="22" s="1"/>
  <c r="N33" i="23" s="1"/>
  <c r="U33" i="22"/>
  <c r="Q33" i="22"/>
  <c r="S33" i="22" s="1"/>
  <c r="L33" i="22" s="1"/>
  <c r="L33" i="23" s="1"/>
  <c r="P33" i="22"/>
  <c r="J4" i="27"/>
  <c r="Q4" i="26"/>
  <c r="R4" i="26"/>
  <c r="P4" i="26"/>
  <c r="BE9" i="26"/>
  <c r="AX33" i="26"/>
  <c r="BB30" i="26" s="1"/>
  <c r="K31" i="26" s="1"/>
  <c r="K28" i="27" s="1"/>
  <c r="AD17" i="26"/>
  <c r="AJ9" i="26"/>
  <c r="AX25" i="26"/>
  <c r="AW25" i="26"/>
  <c r="AB17" i="26"/>
  <c r="AU6" i="26"/>
  <c r="K6" i="26" s="1"/>
  <c r="K6" i="27" s="1"/>
  <c r="AU5" i="26"/>
  <c r="J6" i="26" s="1"/>
  <c r="T4" i="26"/>
  <c r="U4" i="26"/>
  <c r="V4" i="26"/>
  <c r="W4" i="26"/>
  <c r="AK9" i="26"/>
  <c r="BD9" i="26"/>
  <c r="AG21" i="26"/>
  <c r="AG22" i="26"/>
  <c r="K20" i="26" s="1"/>
  <c r="J20" i="26" l="1"/>
  <c r="X33" i="22"/>
  <c r="M33" i="22" s="1"/>
  <c r="M33" i="23" s="1"/>
  <c r="E17" i="20"/>
  <c r="E16" i="28" s="1"/>
  <c r="E93" i="20"/>
  <c r="E71" i="28" s="1"/>
  <c r="D15" i="20"/>
  <c r="D14" i="28" s="1"/>
  <c r="AG14" i="26"/>
  <c r="K12" i="26" s="1"/>
  <c r="AG13" i="26"/>
  <c r="J12" i="26" s="1"/>
  <c r="J6" i="27"/>
  <c r="R6" i="26"/>
  <c r="Q6" i="26"/>
  <c r="P6" i="26"/>
  <c r="AN6" i="26"/>
  <c r="K5" i="26" s="1"/>
  <c r="K5" i="27" s="1"/>
  <c r="BB29" i="26"/>
  <c r="J31" i="26" s="1"/>
  <c r="BB22" i="26"/>
  <c r="K23" i="26" s="1"/>
  <c r="K21" i="27" s="1"/>
  <c r="E68" i="20" s="1"/>
  <c r="E53" i="28" s="1"/>
  <c r="BB21" i="26"/>
  <c r="J23" i="26" s="1"/>
  <c r="X4" i="26"/>
  <c r="M4" i="26" s="1"/>
  <c r="M4" i="27" s="1"/>
  <c r="K18" i="27"/>
  <c r="BI5" i="26"/>
  <c r="J8" i="26" s="1"/>
  <c r="BI6" i="26"/>
  <c r="K8" i="26" s="1"/>
  <c r="K8" i="27" s="1"/>
  <c r="AN5" i="26"/>
  <c r="J5" i="26" s="1"/>
  <c r="S4" i="26"/>
  <c r="T6" i="26"/>
  <c r="U6" i="26"/>
  <c r="V6" i="26"/>
  <c r="W6" i="26"/>
  <c r="Y4" i="26"/>
  <c r="N4" i="26" s="1"/>
  <c r="N4" i="27" s="1"/>
  <c r="J21" i="27" l="1"/>
  <c r="D68" i="20" s="1"/>
  <c r="D53" i="28" s="1"/>
  <c r="T23" i="26"/>
  <c r="V23" i="26"/>
  <c r="Y23" i="26" s="1"/>
  <c r="N22" i="26" s="1"/>
  <c r="N20" i="27" s="1"/>
  <c r="P23" i="26"/>
  <c r="S23" i="26" s="1"/>
  <c r="L23" i="26" s="1"/>
  <c r="L21" i="27" s="1"/>
  <c r="R23" i="26"/>
  <c r="U23" i="26"/>
  <c r="W23" i="26"/>
  <c r="Q23" i="26"/>
  <c r="V20" i="26"/>
  <c r="Y20" i="26" s="1"/>
  <c r="U20" i="26"/>
  <c r="X20" i="26" s="1"/>
  <c r="R20" i="26"/>
  <c r="P20" i="26"/>
  <c r="T20" i="26"/>
  <c r="W20" i="26"/>
  <c r="Q20" i="26"/>
  <c r="J18" i="27"/>
  <c r="D65" i="20" s="1"/>
  <c r="D50" i="28" s="1"/>
  <c r="D17" i="20"/>
  <c r="D16" i="28" s="1"/>
  <c r="E19" i="20"/>
  <c r="E18" i="28" s="1"/>
  <c r="E16" i="20"/>
  <c r="E15" i="28" s="1"/>
  <c r="E65" i="20"/>
  <c r="E50" i="28" s="1"/>
  <c r="Q12" i="26"/>
  <c r="R12" i="26"/>
  <c r="P12" i="26"/>
  <c r="R31" i="26"/>
  <c r="T31" i="26"/>
  <c r="V31" i="26"/>
  <c r="W31" i="26"/>
  <c r="Q31" i="26"/>
  <c r="S31" i="26" s="1"/>
  <c r="L31" i="26" s="1"/>
  <c r="L28" i="27" s="1"/>
  <c r="U31" i="26"/>
  <c r="P31" i="26"/>
  <c r="J28" i="27"/>
  <c r="J11" i="27"/>
  <c r="J5" i="27"/>
  <c r="R5" i="26"/>
  <c r="Q5" i="26"/>
  <c r="P5" i="26"/>
  <c r="R8" i="26"/>
  <c r="Q8" i="26"/>
  <c r="P8" i="26"/>
  <c r="T8" i="26"/>
  <c r="U8" i="26"/>
  <c r="J8" i="27"/>
  <c r="V8" i="26"/>
  <c r="W8" i="26"/>
  <c r="L4" i="26"/>
  <c r="L4" i="27" s="1"/>
  <c r="T12" i="26"/>
  <c r="V12" i="26"/>
  <c r="U12" i="26"/>
  <c r="S6" i="26"/>
  <c r="W5" i="26"/>
  <c r="V5" i="26"/>
  <c r="U5" i="26"/>
  <c r="T5" i="26"/>
  <c r="W12" i="26"/>
  <c r="Y6" i="26"/>
  <c r="N6" i="26" s="1"/>
  <c r="N6" i="27" s="1"/>
  <c r="X6" i="26"/>
  <c r="M6" i="26" s="1"/>
  <c r="M6" i="27" s="1"/>
  <c r="S20" i="26" l="1"/>
  <c r="L20" i="26" s="1"/>
  <c r="L18" i="27" s="1"/>
  <c r="X31" i="26"/>
  <c r="M31" i="26" s="1"/>
  <c r="M28" i="27" s="1"/>
  <c r="X23" i="26"/>
  <c r="M22" i="26" s="1"/>
  <c r="M20" i="27" s="1"/>
  <c r="Y12" i="26"/>
  <c r="N12" i="26" s="1"/>
  <c r="N11" i="27" s="1"/>
  <c r="D16" i="20"/>
  <c r="D15" i="28" s="1"/>
  <c r="D40" i="20"/>
  <c r="D32" i="28" s="1"/>
  <c r="X12" i="26"/>
  <c r="M12" i="26" s="1"/>
  <c r="M11" i="27" s="1"/>
  <c r="D19" i="20"/>
  <c r="D18" i="28" s="1"/>
  <c r="D93" i="20"/>
  <c r="D71" i="28" s="1"/>
  <c r="Y31" i="26"/>
  <c r="N31" i="26" s="1"/>
  <c r="N28" i="27" s="1"/>
  <c r="X8" i="26"/>
  <c r="M8" i="26" s="1"/>
  <c r="M8" i="27" s="1"/>
  <c r="S8" i="26"/>
  <c r="L8" i="26" s="1"/>
  <c r="L8" i="27" s="1"/>
  <c r="Y8" i="26"/>
  <c r="N8" i="26" s="1"/>
  <c r="N8" i="27" s="1"/>
  <c r="L6" i="26"/>
  <c r="L6" i="27" s="1"/>
  <c r="S12" i="26"/>
  <c r="K11" i="27"/>
  <c r="Y5" i="26"/>
  <c r="N5" i="26" s="1"/>
  <c r="N5" i="27" s="1"/>
  <c r="S5" i="26"/>
  <c r="X5" i="26"/>
  <c r="M5" i="26" s="1"/>
  <c r="M5" i="27" s="1"/>
  <c r="AI31" i="26" a="1"/>
  <c r="AI31" i="26" s="1"/>
  <c r="AM28" i="26" s="1"/>
  <c r="AM31" i="26" s="1"/>
  <c r="AX16" i="26" a="1"/>
  <c r="AX16" i="26" s="1"/>
  <c r="AX17" i="26" s="1"/>
  <c r="AJ32" i="26" a="1"/>
  <c r="AJ32" i="26" s="1"/>
  <c r="E40" i="20" l="1"/>
  <c r="E32" i="28" s="1"/>
  <c r="L12" i="26"/>
  <c r="L11" i="27" s="1"/>
  <c r="L5" i="26"/>
  <c r="L5" i="27" s="1"/>
  <c r="AM32" i="26"/>
  <c r="AI33" i="26" s="1"/>
  <c r="AJ33" i="26"/>
  <c r="AY17" i="26"/>
  <c r="BB13" i="26" s="1"/>
  <c r="J15" i="26" s="1"/>
  <c r="J14" i="27" l="1"/>
  <c r="AK33" i="26"/>
  <c r="AN30" i="26" s="1"/>
  <c r="K29" i="26" s="1"/>
  <c r="K26" i="27" s="1"/>
  <c r="BB14" i="26"/>
  <c r="K15" i="26" s="1"/>
  <c r="K14" i="27" s="1"/>
  <c r="BE24" i="26" a="1"/>
  <c r="BE24" i="26" s="1"/>
  <c r="BE25" i="26" s="1"/>
  <c r="AQ32" i="26" a="1"/>
  <c r="AQ32" i="26" s="1"/>
  <c r="AQ33" i="26" s="1"/>
  <c r="W15" i="26" l="1"/>
  <c r="E91" i="20"/>
  <c r="E69" i="28" s="1"/>
  <c r="E43" i="20"/>
  <c r="E35" i="28" s="1"/>
  <c r="D43" i="20"/>
  <c r="D35" i="28" s="1"/>
  <c r="T15" i="26"/>
  <c r="V15" i="26"/>
  <c r="Y15" i="26" s="1"/>
  <c r="N15" i="26" s="1"/>
  <c r="N14" i="27" s="1"/>
  <c r="U15" i="26"/>
  <c r="Q15" i="26"/>
  <c r="S15" i="26" s="1"/>
  <c r="L15" i="26" s="1"/>
  <c r="L14" i="27" s="1"/>
  <c r="R15" i="26"/>
  <c r="P15" i="26"/>
  <c r="AN29" i="26"/>
  <c r="J29" i="26" s="1"/>
  <c r="AR33" i="26"/>
  <c r="AU30" i="26" s="1"/>
  <c r="K30" i="26" s="1"/>
  <c r="K27" i="27" s="1"/>
  <c r="BF25" i="26"/>
  <c r="BI22" i="26" s="1"/>
  <c r="K24" i="26" s="1"/>
  <c r="K22" i="27" s="1"/>
  <c r="E69" i="20" s="1"/>
  <c r="E54" i="28" s="1"/>
  <c r="E92" i="20" l="1"/>
  <c r="E70" i="28" s="1"/>
  <c r="X15" i="26"/>
  <c r="M15" i="26" s="1"/>
  <c r="M14" i="27" s="1"/>
  <c r="T29" i="26"/>
  <c r="P29" i="26"/>
  <c r="U29" i="26"/>
  <c r="R29" i="26"/>
  <c r="Q29" i="26"/>
  <c r="W29" i="26"/>
  <c r="V29" i="26"/>
  <c r="AU29" i="26"/>
  <c r="J30" i="26" s="1"/>
  <c r="BI21" i="26"/>
  <c r="J24" i="26" s="1"/>
  <c r="BE16" i="26" a="1"/>
  <c r="AI15" i="26" a="1"/>
  <c r="AI15" i="26" s="1"/>
  <c r="J22" i="27" l="1"/>
  <c r="D69" i="20" s="1"/>
  <c r="D54" i="28" s="1"/>
  <c r="U24" i="26"/>
  <c r="P24" i="26"/>
  <c r="R24" i="26"/>
  <c r="W24" i="26"/>
  <c r="T24" i="26"/>
  <c r="X24" i="26" s="1"/>
  <c r="M23" i="26" s="1"/>
  <c r="M21" i="27" s="1"/>
  <c r="V24" i="26"/>
  <c r="Q24" i="26"/>
  <c r="S24" i="26" s="1"/>
  <c r="L24" i="26" s="1"/>
  <c r="L22" i="27" s="1"/>
  <c r="S29" i="26"/>
  <c r="L29" i="26" s="1"/>
  <c r="Y29" i="26"/>
  <c r="R30" i="26"/>
  <c r="Q30" i="26"/>
  <c r="W30" i="26"/>
  <c r="P30" i="26"/>
  <c r="V30" i="26"/>
  <c r="Y30" i="26" s="1"/>
  <c r="N30" i="26" s="1"/>
  <c r="N27" i="27" s="1"/>
  <c r="U30" i="26"/>
  <c r="T30" i="26"/>
  <c r="X30" i="26" s="1"/>
  <c r="M30" i="26" s="1"/>
  <c r="M27" i="27" s="1"/>
  <c r="J27" i="27"/>
  <c r="X29" i="26"/>
  <c r="AM12" i="26"/>
  <c r="AM15" i="26" s="1"/>
  <c r="BE16" i="26"/>
  <c r="Y24" i="26" l="1"/>
  <c r="N23" i="26" s="1"/>
  <c r="N21" i="27" s="1"/>
  <c r="D92" i="20"/>
  <c r="D70" i="28" s="1"/>
  <c r="S30" i="26"/>
  <c r="L30" i="26" s="1"/>
  <c r="L27" i="27" s="1"/>
  <c r="AM16" i="26"/>
  <c r="AI17" i="26"/>
  <c r="AQ16" i="26" l="1" a="1"/>
  <c r="AQ16" i="26" s="1"/>
  <c r="AJ24" i="26" l="1" a="1"/>
  <c r="AK25" i="26" s="1"/>
  <c r="AP23" i="26" a="1"/>
  <c r="AP23" i="26" s="1"/>
  <c r="AJ24" i="22" a="1"/>
  <c r="AJ24" i="22" s="1"/>
  <c r="AJ25" i="22" s="1"/>
  <c r="AX32" i="22" a="1"/>
  <c r="AX32" i="22" s="1"/>
  <c r="AX33" i="22" s="1"/>
  <c r="AX24" i="22" a="1"/>
  <c r="AX24" i="22" s="1"/>
  <c r="AW23" i="22" a="1"/>
  <c r="AW23" i="22" s="1"/>
  <c r="AQ24" i="22" a="1"/>
  <c r="AT20" i="26" l="1"/>
  <c r="AT23" i="26" s="1"/>
  <c r="AT24" i="26" s="1"/>
  <c r="AQ25" i="26" s="1"/>
  <c r="AJ24" i="26"/>
  <c r="AJ25" i="26" s="1"/>
  <c r="AN22" i="26" s="1"/>
  <c r="K21" i="26" s="1"/>
  <c r="K19" i="27" s="1"/>
  <c r="E66" i="20" s="1"/>
  <c r="E51" i="28" s="1"/>
  <c r="AY33" i="22"/>
  <c r="BB30" i="22" s="1"/>
  <c r="K31" i="22" s="1"/>
  <c r="K31" i="23" s="1"/>
  <c r="E86" i="20" s="1"/>
  <c r="E64" i="28" s="1"/>
  <c r="BA20" i="22"/>
  <c r="BA23" i="22" s="1"/>
  <c r="BA24" i="22" s="1"/>
  <c r="AY25" i="22" s="1"/>
  <c r="AQ24" i="22"/>
  <c r="AK25" i="22"/>
  <c r="AN21" i="22" s="1"/>
  <c r="J21" i="22" s="1"/>
  <c r="AN21" i="26" l="1"/>
  <c r="J21" i="26" s="1"/>
  <c r="J21" i="23"/>
  <c r="D59" i="20" s="1"/>
  <c r="D44" i="28" s="1"/>
  <c r="AR25" i="26"/>
  <c r="AP25" i="26"/>
  <c r="AU21" i="26" s="1"/>
  <c r="J22" i="26" s="1"/>
  <c r="AX25" i="22"/>
  <c r="AW25" i="22"/>
  <c r="BB22" i="22" s="1"/>
  <c r="K23" i="22" s="1"/>
  <c r="K23" i="23" s="1"/>
  <c r="E61" i="20" s="1"/>
  <c r="E46" i="28" s="1"/>
  <c r="BB29" i="22"/>
  <c r="J31" i="22" s="1"/>
  <c r="AN22" i="22"/>
  <c r="K21" i="22" s="1"/>
  <c r="K21" i="23" s="1"/>
  <c r="E59" i="20" s="1"/>
  <c r="E44" i="28" s="1"/>
  <c r="AD24" i="4" a="1"/>
  <c r="AD24" i="4" s="1"/>
  <c r="AC23" i="4" a="1"/>
  <c r="AC23" i="4" s="1"/>
  <c r="AD32" i="4" a="1"/>
  <c r="AD32" i="4" s="1"/>
  <c r="AD33" i="4" s="1"/>
  <c r="J20" i="27" l="1"/>
  <c r="D67" i="20" s="1"/>
  <c r="D52" i="28" s="1"/>
  <c r="W22" i="26"/>
  <c r="R22" i="26"/>
  <c r="T21" i="26"/>
  <c r="P21" i="26"/>
  <c r="V21" i="26"/>
  <c r="Y21" i="26" s="1"/>
  <c r="N20" i="26" s="1"/>
  <c r="N18" i="27" s="1"/>
  <c r="R21" i="26"/>
  <c r="U21" i="26"/>
  <c r="Q21" i="26"/>
  <c r="W21" i="26"/>
  <c r="J19" i="27"/>
  <c r="D66" i="20" s="1"/>
  <c r="D51" i="28" s="1"/>
  <c r="R21" i="22"/>
  <c r="T21" i="22"/>
  <c r="V31" i="22"/>
  <c r="J31" i="23"/>
  <c r="D86" i="20" s="1"/>
  <c r="D64" i="28" s="1"/>
  <c r="T31" i="22"/>
  <c r="W31" i="22"/>
  <c r="U31" i="22"/>
  <c r="R31" i="22"/>
  <c r="P31" i="22"/>
  <c r="Q31" i="22"/>
  <c r="S31" i="22" s="1"/>
  <c r="L31" i="22" s="1"/>
  <c r="L31" i="23" s="1"/>
  <c r="U21" i="22"/>
  <c r="Q21" i="22"/>
  <c r="P21" i="22"/>
  <c r="W21" i="22"/>
  <c r="V21" i="22"/>
  <c r="Y21" i="22" s="1"/>
  <c r="N21" i="22" s="1"/>
  <c r="N21" i="23" s="1"/>
  <c r="AU22" i="26"/>
  <c r="K22" i="26" s="1"/>
  <c r="K20" i="27" s="1"/>
  <c r="E67" i="20" s="1"/>
  <c r="E52" i="28" s="1"/>
  <c r="BB21" i="22"/>
  <c r="J23" i="22" s="1"/>
  <c r="AE33" i="4"/>
  <c r="AH30" i="4" s="1"/>
  <c r="AG20" i="4"/>
  <c r="AG23" i="4" s="1"/>
  <c r="V22" i="26" l="1"/>
  <c r="Y22" i="26" s="1"/>
  <c r="N21" i="26" s="1"/>
  <c r="N19" i="27" s="1"/>
  <c r="T22" i="26"/>
  <c r="X21" i="26"/>
  <c r="M20" i="26" s="1"/>
  <c r="M18" i="27" s="1"/>
  <c r="Q22" i="26"/>
  <c r="S22" i="26" s="1"/>
  <c r="L22" i="26" s="1"/>
  <c r="L20" i="27" s="1"/>
  <c r="S21" i="26"/>
  <c r="L21" i="26" s="1"/>
  <c r="L19" i="27" s="1"/>
  <c r="U22" i="26"/>
  <c r="P22" i="26"/>
  <c r="S21" i="22"/>
  <c r="L21" i="22" s="1"/>
  <c r="L21" i="23" s="1"/>
  <c r="Y31" i="22"/>
  <c r="N31" i="22" s="1"/>
  <c r="N31" i="23" s="1"/>
  <c r="J23" i="23"/>
  <c r="D61" i="20" s="1"/>
  <c r="D46" i="28" s="1"/>
  <c r="W23" i="22"/>
  <c r="U23" i="22"/>
  <c r="Q23" i="22"/>
  <c r="S23" i="22" s="1"/>
  <c r="L23" i="22" s="1"/>
  <c r="L23" i="23" s="1"/>
  <c r="T23" i="22"/>
  <c r="P23" i="22"/>
  <c r="V23" i="22"/>
  <c r="R23" i="22"/>
  <c r="X31" i="22"/>
  <c r="M31" i="22" s="1"/>
  <c r="M31" i="23" s="1"/>
  <c r="X21" i="22"/>
  <c r="M21" i="22" s="1"/>
  <c r="M21" i="23" s="1"/>
  <c r="K28" i="4"/>
  <c r="K19" i="14" s="1"/>
  <c r="E79" i="20" s="1"/>
  <c r="E57" i="28" s="1"/>
  <c r="AG24" i="4"/>
  <c r="AE25" i="4" s="1"/>
  <c r="AH29" i="4"/>
  <c r="J28" i="4" s="1"/>
  <c r="X22" i="26" l="1"/>
  <c r="M21" i="26" s="1"/>
  <c r="M19" i="27" s="1"/>
  <c r="Y23" i="22"/>
  <c r="N23" i="22" s="1"/>
  <c r="N23" i="23" s="1"/>
  <c r="X23" i="22"/>
  <c r="M23" i="22" s="1"/>
  <c r="M23" i="23" s="1"/>
  <c r="P28" i="4"/>
  <c r="V28" i="4"/>
  <c r="T28" i="4"/>
  <c r="U28" i="4"/>
  <c r="Q28" i="4"/>
  <c r="J19" i="14"/>
  <c r="W28" i="4"/>
  <c r="R28" i="4"/>
  <c r="AD25" i="4"/>
  <c r="AC25" i="4"/>
  <c r="D79" i="20" l="1"/>
  <c r="D57" i="28" s="1"/>
  <c r="S28" i="4"/>
  <c r="L28" i="4" s="1"/>
  <c r="L19" i="14" s="1"/>
  <c r="X28" i="4"/>
  <c r="M28" i="4" s="1"/>
  <c r="M19" i="14" s="1"/>
  <c r="Y28" i="4"/>
  <c r="N28" i="4" s="1"/>
  <c r="N19" i="14" s="1"/>
  <c r="AH21" i="4"/>
  <c r="J20" i="4" s="1"/>
  <c r="AH22" i="4"/>
  <c r="K20" i="4" s="1"/>
  <c r="J14" i="14" l="1"/>
  <c r="D54" i="20" l="1"/>
  <c r="D39" i="28" s="1"/>
  <c r="AK24" i="4" a="1"/>
  <c r="AK24" i="4" s="1"/>
  <c r="AK25" i="4" s="1"/>
  <c r="AL25" i="4" l="1"/>
  <c r="AO21" i="4" s="1"/>
  <c r="J21" i="4" s="1"/>
  <c r="W20" i="4" l="1"/>
  <c r="R20" i="4"/>
  <c r="Q20" i="4"/>
  <c r="U20" i="4"/>
  <c r="V20" i="4"/>
  <c r="T20" i="4"/>
  <c r="K14" i="14"/>
  <c r="P20" i="4"/>
  <c r="J15" i="14"/>
  <c r="AO22" i="4"/>
  <c r="K21" i="4" s="1"/>
  <c r="D55" i="20" l="1"/>
  <c r="D40" i="28" s="1"/>
  <c r="E54" i="20"/>
  <c r="E39" i="28" s="1"/>
  <c r="S20" i="4"/>
  <c r="L20" i="4" s="1"/>
  <c r="X20" i="4"/>
  <c r="M20" i="4" s="1"/>
  <c r="Y20" i="4"/>
  <c r="N20" i="4" s="1"/>
  <c r="V21" i="4"/>
  <c r="W21" i="4"/>
  <c r="AJ31" i="4" a="1"/>
  <c r="AK32" i="4" a="1"/>
  <c r="AK32" i="4" s="1"/>
  <c r="M14" i="14" l="1"/>
  <c r="N14" i="14"/>
  <c r="L14" i="14"/>
  <c r="R21" i="4"/>
  <c r="U21" i="4"/>
  <c r="T21" i="4"/>
  <c r="Y21" i="4"/>
  <c r="N21" i="4" s="1"/>
  <c r="K15" i="14"/>
  <c r="P21" i="4"/>
  <c r="Q21" i="4"/>
  <c r="S21" i="4" s="1"/>
  <c r="L21" i="4" s="1"/>
  <c r="AJ31" i="4"/>
  <c r="AN28" i="4" s="1"/>
  <c r="AN31" i="4" s="1"/>
  <c r="E55" i="20" l="1"/>
  <c r="E40" i="28" s="1"/>
  <c r="X21" i="4"/>
  <c r="M21" i="4" s="1"/>
  <c r="M15" i="14" s="1"/>
  <c r="L15" i="14"/>
  <c r="N15" i="14"/>
  <c r="AN32" i="4"/>
  <c r="AJ33" i="4" s="1"/>
  <c r="AK33" i="4"/>
  <c r="AL33" i="4" l="1"/>
  <c r="AO29" i="4" s="1"/>
  <c r="J29" i="4" s="1"/>
  <c r="J20" i="14" l="1"/>
  <c r="AO30" i="4"/>
  <c r="K29" i="4" l="1"/>
  <c r="K20" i="14" s="1"/>
  <c r="E80" i="20" s="1"/>
  <c r="E58" i="28" s="1"/>
  <c r="D80" i="20"/>
  <c r="D58" i="28" s="1"/>
  <c r="U29" i="4"/>
  <c r="Q29" i="4"/>
  <c r="V29" i="4"/>
  <c r="P29" i="4"/>
  <c r="W29" i="4"/>
  <c r="R29" i="4"/>
  <c r="T29" i="4"/>
  <c r="AR32" i="4" a="1"/>
  <c r="AR32" i="4" s="1"/>
  <c r="X29" i="4" l="1"/>
  <c r="M29" i="4"/>
  <c r="M20" i="14" s="1"/>
  <c r="S29" i="4"/>
  <c r="Y29" i="4"/>
  <c r="N29" i="4" l="1"/>
  <c r="N20" i="14" s="1"/>
  <c r="L29" i="4"/>
  <c r="L20" i="14" s="1"/>
  <c r="AC32" i="26" a="1"/>
  <c r="AC32" i="26" s="1"/>
  <c r="AB31" i="26" a="1"/>
  <c r="AB31" i="26" l="1"/>
  <c r="AF28" i="26" s="1"/>
  <c r="AF31" i="26" s="1"/>
  <c r="AF32" i="26" l="1"/>
  <c r="AB33" i="26" s="1"/>
  <c r="AD33" i="26" l="1"/>
  <c r="AC33" i="26"/>
  <c r="AG29" i="26" s="1"/>
  <c r="J28" i="26" s="1"/>
  <c r="J25" i="27" l="1"/>
  <c r="AG30" i="26"/>
  <c r="K28" i="26" s="1"/>
  <c r="W28" i="26" s="1"/>
  <c r="D90" i="20" l="1"/>
  <c r="D68" i="28" s="1"/>
  <c r="R28" i="26"/>
  <c r="Q28" i="26"/>
  <c r="P28" i="26"/>
  <c r="V28" i="26"/>
  <c r="Y28" i="26" s="1"/>
  <c r="N28" i="26" s="1"/>
  <c r="N25" i="27" s="1"/>
  <c r="T28" i="26"/>
  <c r="U28" i="26"/>
  <c r="J26" i="27"/>
  <c r="K25" i="27"/>
  <c r="D91" i="20" l="1"/>
  <c r="D69" i="28" s="1"/>
  <c r="E90" i="20"/>
  <c r="E68" i="28" s="1"/>
  <c r="S28" i="26"/>
  <c r="L28" i="26" s="1"/>
  <c r="X28" i="26"/>
  <c r="M28" i="26" s="1"/>
  <c r="M25" i="27" s="1"/>
  <c r="L25" i="27"/>
  <c r="M29" i="26"/>
  <c r="M26" i="27" s="1"/>
  <c r="L26" i="27"/>
  <c r="N29" i="26"/>
  <c r="N26" i="27" s="1"/>
  <c r="AJ16" i="26" a="1"/>
  <c r="AJ16" i="26" s="1"/>
  <c r="AJ17" i="26" s="1"/>
  <c r="AK17" i="26" l="1"/>
  <c r="AN13" i="26" s="1"/>
  <c r="J13" i="26" s="1"/>
  <c r="J12" i="27" l="1"/>
  <c r="AN14" i="26"/>
  <c r="K13" i="26" s="1"/>
  <c r="K12" i="27" s="1"/>
  <c r="BE32" i="26" a="1"/>
  <c r="BE32" i="26" s="1"/>
  <c r="BE33" i="26" s="1"/>
  <c r="U13" i="26" l="1"/>
  <c r="E41" i="20"/>
  <c r="E33" i="28" s="1"/>
  <c r="D41" i="20"/>
  <c r="D33" i="28" s="1"/>
  <c r="V13" i="26"/>
  <c r="W13" i="26"/>
  <c r="T13" i="26"/>
  <c r="X13" i="26" s="1"/>
  <c r="M13" i="26" s="1"/>
  <c r="M12" i="27" s="1"/>
  <c r="P13" i="26"/>
  <c r="Q13" i="26"/>
  <c r="S13" i="26" s="1"/>
  <c r="L13" i="26" s="1"/>
  <c r="L12" i="27" s="1"/>
  <c r="R13" i="26"/>
  <c r="BF33" i="26"/>
  <c r="BI30" i="26" s="1"/>
  <c r="K32" i="26" s="1"/>
  <c r="K29" i="27" s="1"/>
  <c r="E94" i="20" l="1"/>
  <c r="E72" i="28" s="1"/>
  <c r="Y13" i="26"/>
  <c r="N13" i="26" s="1"/>
  <c r="N12" i="27" s="1"/>
  <c r="BI29" i="26"/>
  <c r="J32" i="26" s="1"/>
  <c r="BD15" i="26" a="1"/>
  <c r="V32" i="26" l="1"/>
  <c r="U32" i="26"/>
  <c r="R32" i="26"/>
  <c r="T32" i="26"/>
  <c r="X32" i="26" s="1"/>
  <c r="M32" i="26" s="1"/>
  <c r="M29" i="27" s="1"/>
  <c r="Q32" i="26"/>
  <c r="P32" i="26"/>
  <c r="W32" i="26"/>
  <c r="J29" i="27"/>
  <c r="BD15" i="26"/>
  <c r="BH12" i="26" s="1"/>
  <c r="BH15" i="26" s="1"/>
  <c r="D94" i="20" l="1"/>
  <c r="D72" i="28" s="1"/>
  <c r="S32" i="26"/>
  <c r="L32" i="26" s="1"/>
  <c r="L29" i="27" s="1"/>
  <c r="Y32" i="26"/>
  <c r="N32" i="26" s="1"/>
  <c r="N29" i="27" s="1"/>
  <c r="BH16" i="26"/>
  <c r="BE17" i="26" s="1"/>
  <c r="BF17" i="26"/>
  <c r="BD17" i="26" l="1"/>
  <c r="BI13" i="26" l="1"/>
  <c r="J16" i="26" s="1"/>
  <c r="BI14" i="26"/>
  <c r="K16" i="26" s="1"/>
  <c r="K15" i="27" s="1"/>
  <c r="AQ31" i="4" a="1"/>
  <c r="AQ31" i="4" s="1"/>
  <c r="E44" i="20" l="1"/>
  <c r="E36" i="28" s="1"/>
  <c r="R16" i="26"/>
  <c r="Q16" i="26"/>
  <c r="P16" i="26"/>
  <c r="J15" i="27"/>
  <c r="W16" i="26"/>
  <c r="V16" i="26"/>
  <c r="U16" i="26"/>
  <c r="T16" i="26"/>
  <c r="AU28" i="4"/>
  <c r="AU31" i="4" s="1"/>
  <c r="Y16" i="26" l="1"/>
  <c r="N16" i="26" s="1"/>
  <c r="N15" i="27" s="1"/>
  <c r="D44" i="20"/>
  <c r="D36" i="28" s="1"/>
  <c r="X16" i="26"/>
  <c r="M16" i="26" s="1"/>
  <c r="M15" i="27" s="1"/>
  <c r="S16" i="26"/>
  <c r="L16" i="26" s="1"/>
  <c r="L15" i="27" s="1"/>
  <c r="AU32" i="4"/>
  <c r="AR33" i="4" s="1"/>
  <c r="AQ33" i="4"/>
  <c r="AS33" i="4" l="1"/>
  <c r="AV30" i="4" s="1"/>
  <c r="K30" i="4" s="1"/>
  <c r="P30" i="4" l="1"/>
  <c r="R30" i="4"/>
  <c r="Q30" i="4"/>
  <c r="S30" i="4" s="1"/>
  <c r="K21" i="14"/>
  <c r="AV29" i="4"/>
  <c r="J30" i="4" s="1"/>
  <c r="J21" i="14" s="1"/>
  <c r="D81" i="20" s="1"/>
  <c r="D59" i="28" s="1"/>
  <c r="V30" i="4" l="1"/>
  <c r="W30" i="4"/>
  <c r="Y30" i="4" s="1"/>
  <c r="U30" i="4"/>
  <c r="T30" i="4"/>
  <c r="X30" i="4" s="1"/>
  <c r="E81" i="20"/>
  <c r="E59" i="28" s="1"/>
  <c r="L30" i="4"/>
  <c r="L21" i="14" s="1"/>
  <c r="N30" i="4" l="1"/>
  <c r="N21" i="14" s="1"/>
  <c r="M30" i="4"/>
  <c r="M21" i="14" s="1"/>
  <c r="AJ32" i="22" a="1"/>
  <c r="AJ32" i="22" s="1"/>
  <c r="BD31" i="22" a="1"/>
  <c r="BD31" i="22" s="1"/>
  <c r="AI31" i="22" a="1"/>
  <c r="AP23" i="22" a="1"/>
  <c r="AP23" i="22" s="1"/>
  <c r="AT20" i="22" s="1"/>
  <c r="AT23" i="22" s="1"/>
  <c r="AI31" i="22"/>
  <c r="AM28" i="22"/>
  <c r="AM31" i="22" s="1"/>
  <c r="AT24" i="22" l="1"/>
  <c r="AQ25" i="22" s="1"/>
  <c r="AR25" i="22"/>
  <c r="AP25" i="22"/>
  <c r="AJ33" i="22"/>
  <c r="AI33" i="22"/>
  <c r="AM32" i="22"/>
  <c r="AK33" i="22"/>
  <c r="BH28" i="22"/>
  <c r="BH31" i="22" s="1"/>
  <c r="AU22" i="22" l="1"/>
  <c r="K22" i="22" s="1"/>
  <c r="K22" i="23" s="1"/>
  <c r="E60" i="20" s="1"/>
  <c r="E45" i="28" s="1"/>
  <c r="AU21" i="22"/>
  <c r="J22" i="22" s="1"/>
  <c r="AN29" i="22"/>
  <c r="J29" i="22" s="1"/>
  <c r="AN30" i="22"/>
  <c r="K29" i="22" s="1"/>
  <c r="K29" i="23" s="1"/>
  <c r="E84" i="20" s="1"/>
  <c r="E62" i="28" s="1"/>
  <c r="BH32" i="22"/>
  <c r="BF33" i="22" s="1"/>
  <c r="BE33" i="22" l="1"/>
  <c r="V29" i="22"/>
  <c r="Y29" i="22" s="1"/>
  <c r="N29" i="22" s="1"/>
  <c r="N29" i="23" s="1"/>
  <c r="R29" i="22"/>
  <c r="Q29" i="22"/>
  <c r="P29" i="22"/>
  <c r="T29" i="22"/>
  <c r="X29" i="22" s="1"/>
  <c r="M29" i="22" s="1"/>
  <c r="M29" i="23" s="1"/>
  <c r="W29" i="22"/>
  <c r="J29" i="23"/>
  <c r="D84" i="20" s="1"/>
  <c r="D62" i="28" s="1"/>
  <c r="U29" i="22"/>
  <c r="BD33" i="22"/>
  <c r="J22" i="23"/>
  <c r="D60" i="20" s="1"/>
  <c r="D45" i="28" s="1"/>
  <c r="U22" i="22"/>
  <c r="Q22" i="22"/>
  <c r="R22" i="22"/>
  <c r="P22" i="22"/>
  <c r="V22" i="22"/>
  <c r="Y22" i="22" s="1"/>
  <c r="N22" i="22" s="1"/>
  <c r="N22" i="23" s="1"/>
  <c r="W22" i="22"/>
  <c r="T22" i="22"/>
  <c r="X22" i="22" s="1"/>
  <c r="M22" i="22" s="1"/>
  <c r="M22" i="23" s="1"/>
  <c r="S29" i="22" l="1"/>
  <c r="L29" i="22" s="1"/>
  <c r="L29" i="23" s="1"/>
  <c r="BI29" i="22"/>
  <c r="J32" i="22" s="1"/>
  <c r="BI30" i="22"/>
  <c r="K32" i="22" s="1"/>
  <c r="K32" i="23" s="1"/>
  <c r="E87" i="20" s="1"/>
  <c r="E65" i="28" s="1"/>
  <c r="S22" i="22"/>
  <c r="L22" i="22" s="1"/>
  <c r="L22" i="23" s="1"/>
  <c r="R32" i="22" l="1"/>
  <c r="V32" i="22"/>
  <c r="Y32" i="22" s="1"/>
  <c r="N32" i="22" s="1"/>
  <c r="N32" i="23" s="1"/>
  <c r="T32" i="22"/>
  <c r="J32" i="23"/>
  <c r="D87" i="20" s="1"/>
  <c r="D65" i="28" s="1"/>
  <c r="P32" i="22"/>
  <c r="U32" i="22"/>
  <c r="W32" i="22"/>
  <c r="Q32" i="22"/>
  <c r="X32" i="22" l="1"/>
  <c r="M32" i="22" s="1"/>
  <c r="M32" i="23" s="1"/>
  <c r="S32" i="22"/>
  <c r="L32" i="22" s="1"/>
  <c r="L32" i="23" s="1"/>
  <c r="AP15" i="26" a="1"/>
  <c r="AP15" i="26"/>
  <c r="AT12" i="26"/>
  <c r="AT15" i="26"/>
  <c r="AT16" i="26"/>
  <c r="AP17" i="26"/>
  <c r="AQ17" i="26"/>
  <c r="AR17" i="26"/>
  <c r="AU13" i="26"/>
  <c r="J14" i="26"/>
  <c r="J13" i="27"/>
  <c r="D42" i="20" s="1"/>
  <c r="D34" i="28" s="1"/>
  <c r="AU14" i="26"/>
  <c r="K14" i="26"/>
  <c r="K13" i="27"/>
  <c r="E42" i="20" s="1"/>
  <c r="E34" i="28" s="1"/>
  <c r="Q14" i="26"/>
  <c r="P14" i="26"/>
  <c r="R14" i="26"/>
  <c r="S14" i="26"/>
  <c r="L14" i="26"/>
  <c r="L13" i="27"/>
  <c r="U14" i="26"/>
  <c r="V14" i="26"/>
  <c r="T14" i="26"/>
  <c r="W14" i="26"/>
  <c r="X14" i="26"/>
  <c r="M14" i="26"/>
  <c r="M13" i="27"/>
  <c r="Y14" i="26"/>
  <c r="N14" i="26"/>
  <c r="N13" i="2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<sst xmlns="http://schemas.openxmlformats.org/spreadsheetml/2006/main" count="534" uniqueCount="101">
  <si>
    <t>Base case</t>
  </si>
  <si>
    <t>Lower bound</t>
  </si>
  <si>
    <t>Upper bound</t>
  </si>
  <si>
    <t>Min</t>
  </si>
  <si>
    <t>Median</t>
  </si>
  <si>
    <t>Max</t>
  </si>
  <si>
    <t>Expert 1 CE ratio</t>
  </si>
  <si>
    <t>Expert 2 CE ratio</t>
  </si>
  <si>
    <t>Avg pct deviation</t>
  </si>
  <si>
    <t>Cross $100K benchmark</t>
  </si>
  <si>
    <t>Cross $150K benchmark</t>
  </si>
  <si>
    <t>All &lt;= BM1</t>
  </si>
  <si>
    <t>All &gt; BM1</t>
  </si>
  <si>
    <t>All &lt;= BM2</t>
  </si>
  <si>
    <t>All &gt; BM2</t>
  </si>
  <si>
    <t>Expert 1 ICER</t>
  </si>
  <si>
    <t>Expert 2 ICER</t>
  </si>
  <si>
    <t>Utility Progressed Disease Rucaparib</t>
  </si>
  <si>
    <t>Utility Progression-Free Disease on Treatment Rucaparib</t>
  </si>
  <si>
    <t>Benchmark1</t>
  </si>
  <si>
    <t>Benchmark2</t>
  </si>
  <si>
    <t>CE_Scale</t>
  </si>
  <si>
    <t>RoundPlace</t>
  </si>
  <si>
    <t>extreme</t>
  </si>
  <si>
    <t>Expert 1</t>
  </si>
  <si>
    <t>Expert 2</t>
  </si>
  <si>
    <t>Lower bound assumption</t>
  </si>
  <si>
    <t>Upper bound assumption</t>
  </si>
  <si>
    <t>Expert Group 1</t>
  </si>
  <si>
    <t>Expert Group 2</t>
  </si>
  <si>
    <t>Expert group imputed CE ratios (iv)</t>
  </si>
  <si>
    <t>Influence measures (v)</t>
  </si>
  <si>
    <t>Utility Progressed Disease Olaparib</t>
  </si>
  <si>
    <t>Utility Progressed Disease PLD+C</t>
  </si>
  <si>
    <t>Utility Progression-free Disease on Treatment Olaparib</t>
  </si>
  <si>
    <t xml:space="preserve">Utility Progression-Free Disease on Treatment PLD+C  </t>
  </si>
  <si>
    <t>Utility Progression-Free Disease on Treatment PLD+Cs</t>
  </si>
  <si>
    <t>ICER</t>
  </si>
  <si>
    <t>Assumption Group</t>
  </si>
  <si>
    <t>Utility weights</t>
  </si>
  <si>
    <t>100K Benchmark</t>
  </si>
  <si>
    <t>150K Benchmark</t>
  </si>
  <si>
    <t>Utility weight assumptions from ICER (i)</t>
  </si>
  <si>
    <t>Expert group utility weight assumptions (iii)</t>
  </si>
  <si>
    <t>CE ratios from ICER ($000/QALY) (ii)</t>
  </si>
  <si>
    <t>Assumptions</t>
  </si>
  <si>
    <t>CE Ratios</t>
  </si>
  <si>
    <t>Base case (a)</t>
  </si>
  <si>
    <t>Low CE value (b)</t>
  </si>
  <si>
    <t>High CE value (b)</t>
  </si>
  <si>
    <t>Base case (c)</t>
  </si>
  <si>
    <t>Low CE value (d)</t>
  </si>
  <si>
    <t>High CE value (d)</t>
  </si>
  <si>
    <t>Experts</t>
  </si>
  <si>
    <t>Monthly cost assumptions from ICER (i)</t>
  </si>
  <si>
    <t>Expert group monthly cost assumptions (iii)</t>
  </si>
  <si>
    <t>Monthly costs</t>
  </si>
  <si>
    <t>Utility weight - Disease free</t>
  </si>
  <si>
    <t>Utility weight - Persistent/recurrent NMIBC</t>
  </si>
  <si>
    <t>Utility weight - MIBC</t>
  </si>
  <si>
    <t xml:space="preserve">Notes - </t>
  </si>
  <si>
    <t>Analysis (a): NF for CIS+/- Ta/T1</t>
  </si>
  <si>
    <t>Analysis (b): OM for CIS+/- Ta/T1</t>
  </si>
  <si>
    <t>Analysis (c): NF for HG Ta/T1</t>
  </si>
  <si>
    <t>Analysis (d): OM for HG Ta/T1</t>
  </si>
  <si>
    <t>Health state cost- Disease Free</t>
  </si>
  <si>
    <t>Health state cost- Persistent/ Recurrent NMIBC</t>
  </si>
  <si>
    <t>Health state cost- MIBC</t>
  </si>
  <si>
    <t>Health state cost- Cystectomy</t>
  </si>
  <si>
    <t>Health state cost- Post-cystectomy</t>
  </si>
  <si>
    <t>Health state cost- Metastatic disease</t>
  </si>
  <si>
    <t>Transition probability: Progression to MIBC</t>
  </si>
  <si>
    <t>Transition probability: NMIBC Cystectomy</t>
  </si>
  <si>
    <t>Transition probability: MIBC Cystectomy</t>
  </si>
  <si>
    <t>Transition probability: MIBC to Metastatic Disease</t>
  </si>
  <si>
    <t>Transition probability: Post-Cystectomy to Metastatic Disease</t>
  </si>
  <si>
    <t>Transition Probabilities</t>
  </si>
  <si>
    <t>Transition probability- Progression to MIBC</t>
  </si>
  <si>
    <t>Transition probability- NMIBC Cystectomy</t>
  </si>
  <si>
    <t>Transition probability- MIBC Cystectomy</t>
  </si>
  <si>
    <t>Transition probability- MIBC to Metastatic Disease</t>
  </si>
  <si>
    <t>Transition probability- Post-Cystectomy to Metastatic Disease</t>
  </si>
  <si>
    <t>(a)</t>
  </si>
  <si>
    <t>Utility weight base case values come from Table 5.6 in ICER’s final evidence report.</t>
  </si>
  <si>
    <t>(b)</t>
  </si>
  <si>
    <t>Lower and higher utility weight values come from Figure 5.2 for NF for CIS+/- Ta/T1, Figure 5.3 for OM for CIS+/- Ta/T1, Figure 5.4 for NF for HG Ta/T1, and Figure 5.5 for OM for HG Ta/T1.</t>
  </si>
  <si>
    <t>Base case cost-per-QALY values come from Table 5.10 for patients with CIS+/- HG Ta/T1 and from Table 5.11 for patients with HG Ta/T1 only.</t>
  </si>
  <si>
    <t>(d)</t>
  </si>
  <si>
    <t xml:space="preserve">Lower and upper cost-effectiveness values come from 5.2 for NF for CIS+/- Ta/T1, Figure 5.3 for OM for CIS+/- Ta/T1, Figure 5.4 for NF for HG Ta/T1, and Figure 5.5 for OM for HG Ta/T1. </t>
  </si>
  <si>
    <t>Group 1 (e)</t>
  </si>
  <si>
    <t>Group 2 (e)</t>
  </si>
  <si>
    <t>Expert utility weights come from elicitation sessions. See text describing content of Table 5-5</t>
  </si>
  <si>
    <t>(c)</t>
  </si>
  <si>
    <t>(e)</t>
  </si>
  <si>
    <t xml:space="preserve">Health state cost base case values come from Table 5.9 in ICER’s final evidence report. </t>
  </si>
  <si>
    <t>Lower and higher health state cost values come from Figure 5.2 for NF for CIS+/- Ta/T1, Figure 5.3 for OM for CIS+/- Ta/T1, Figure 5.4 for NF for HG Ta/T1, and Figure 5.5 for OM for HG Ta/T1.</t>
  </si>
  <si>
    <t xml:space="preserve">Base case cost-per-QALY values come from Table 5.10 for patients with CIS+/- HG Ta/T1 and from Table 5.11 for patients with HG Ta/T1 only. </t>
  </si>
  <si>
    <t>Expert health state cost estimates come from elicitation sessions.  See text describing content of Table 5-6.</t>
  </si>
  <si>
    <t>Transition probability base case values come from Table 5.4 for the CIS +/- Ta/T1 population and Table 5.5 for the HG Ta/T1 population in ICER’s final evidence report.</t>
  </si>
  <si>
    <t xml:space="preserve">Lower and higher transition probability values come from Figure 5.2 for NF for CIS+/- Ta/T1, Figure 5.3 for OM for CIS+/- Ta/T1, Figure 5.4 for NF for HG Ta/T1, and Figure 5.5 for OM for HG Ta/T1.  </t>
  </si>
  <si>
    <t>Expert transition probabilities come from elicitation sessions.  See text describing content of Table 5-7.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</si>
</sst>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7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4">
    <xf numFmtId="0" fontId="0" fillId="0" borderId="0" xfId="0"/>
    <xf numFmtId="164" fontId="0" fillId="0" borderId="0" xfId="1" applyNumberFormat="1" applyFont="1"/>
    <xf numFmtId="0" fontId="2" fillId="0" borderId="0" xfId="0" applyFont="1"/>
    <xf numFmtId="2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 wrapText="1"/>
    </xf>
    <xf numFmtId="0" fontId="6" fillId="0" borderId="0" xfId="0" applyFont="1"/>
    <xf numFmtId="0" fontId="6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7" fillId="0" borderId="0" xfId="0" applyFont="1"/>
    <xf numFmtId="2" fontId="6" fillId="0" borderId="0" xfId="0" applyNumberFormat="1" applyFont="1" applyAlignment="1">
      <alignment horizontal="center"/>
    </xf>
    <xf numFmtId="164" fontId="6" fillId="0" borderId="0" xfId="1" applyNumberFormat="1" applyFont="1"/>
    <xf numFmtId="9" fontId="6" fillId="0" borderId="0" xfId="2" applyFont="1" applyAlignment="1">
      <alignment horizontal="center"/>
    </xf>
    <xf numFmtId="9" fontId="0" fillId="0" borderId="0" xfId="2" applyFont="1"/>
    <xf numFmtId="0" fontId="6" fillId="0" borderId="0" xfId="0" applyFont="1" applyAlignment="1">
      <alignment horizontal="center"/>
    </xf>
    <xf numFmtId="6" fontId="0" fillId="0" borderId="0" xfId="0" applyNumberFormat="1"/>
    <xf numFmtId="0" fontId="9" fillId="0" borderId="0" xfId="0" applyFont="1"/>
    <xf numFmtId="0" fontId="10" fillId="0" borderId="0" xfId="0" applyFont="1"/>
    <xf numFmtId="2" fontId="9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0" fontId="11" fillId="0" borderId="0" xfId="0" applyFont="1"/>
    <xf numFmtId="3" fontId="11" fillId="0" borderId="0" xfId="0" applyNumberFormat="1" applyFont="1" applyAlignment="1">
      <alignment horizontal="center"/>
    </xf>
    <xf numFmtId="2" fontId="11" fillId="0" borderId="0" xfId="0" applyNumberFormat="1" applyFont="1"/>
    <xf numFmtId="0" fontId="11" fillId="0" borderId="0" xfId="0" applyFont="1" applyAlignment="1">
      <alignment horizontal="center"/>
    </xf>
    <xf numFmtId="164" fontId="11" fillId="0" borderId="0" xfId="0" applyNumberFormat="1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4" fontId="6" fillId="0" borderId="0" xfId="1" applyNumberFormat="1" applyFont="1" applyAlignment="1">
      <alignment horizontal="center"/>
    </xf>
    <xf numFmtId="0" fontId="8" fillId="0" borderId="0" xfId="0" applyFont="1" applyAlignment="1">
      <alignment horizontal="center" wrapText="1"/>
    </xf>
    <xf numFmtId="44" fontId="9" fillId="0" borderId="0" xfId="1" applyFont="1"/>
    <xf numFmtId="6" fontId="9" fillId="0" borderId="0" xfId="0" applyNumberFormat="1" applyFont="1"/>
    <xf numFmtId="164" fontId="9" fillId="0" borderId="0" xfId="1" applyNumberFormat="1" applyFont="1"/>
    <xf numFmtId="164" fontId="9" fillId="0" borderId="0" xfId="0" applyNumberFormat="1" applyFont="1"/>
    <xf numFmtId="0" fontId="2" fillId="0" borderId="1" xfId="0" applyFont="1" applyBorder="1"/>
    <xf numFmtId="0" fontId="6" fillId="0" borderId="1" xfId="0" applyFont="1" applyBorder="1"/>
    <xf numFmtId="0" fontId="6" fillId="0" borderId="1" xfId="0" applyFont="1" applyBorder="1" applyAlignment="1">
      <alignment horizontal="center" wrapText="1"/>
    </xf>
    <xf numFmtId="2" fontId="6" fillId="0" borderId="1" xfId="0" applyNumberFormat="1" applyFont="1" applyBorder="1" applyAlignment="1">
      <alignment horizontal="center"/>
    </xf>
    <xf numFmtId="164" fontId="6" fillId="0" borderId="1" xfId="1" applyNumberFormat="1" applyFont="1" applyBorder="1"/>
    <xf numFmtId="9" fontId="6" fillId="0" borderId="1" xfId="2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64" fontId="6" fillId="0" borderId="1" xfId="1" applyNumberFormat="1" applyFont="1" applyBorder="1" applyAlignment="1">
      <alignment horizontal="center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164" fontId="6" fillId="0" borderId="0" xfId="0" applyNumberFormat="1" applyFont="1"/>
    <xf numFmtId="9" fontId="6" fillId="0" borderId="0" xfId="2" applyFont="1"/>
    <xf numFmtId="0" fontId="6" fillId="0" borderId="1" xfId="0" applyFont="1" applyBorder="1" applyAlignment="1">
      <alignment horizontal="center"/>
    </xf>
    <xf numFmtId="164" fontId="9" fillId="0" borderId="0" xfId="1" applyNumberFormat="1" applyFont="1" applyFill="1"/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6" fillId="0" borderId="2" xfId="0" applyFont="1" applyBorder="1"/>
    <xf numFmtId="164" fontId="6" fillId="0" borderId="3" xfId="1" applyNumberFormat="1" applyFont="1" applyBorder="1" applyAlignment="1">
      <alignment horizontal="center"/>
    </xf>
    <xf numFmtId="164" fontId="6" fillId="0" borderId="3" xfId="1" applyNumberFormat="1" applyFont="1" applyBorder="1"/>
    <xf numFmtId="2" fontId="6" fillId="0" borderId="3" xfId="0" applyNumberFormat="1" applyFont="1" applyBorder="1" applyAlignment="1">
      <alignment horizontal="center"/>
    </xf>
    <xf numFmtId="9" fontId="6" fillId="0" borderId="3" xfId="2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4" fontId="9" fillId="0" borderId="0" xfId="1" applyNumberFormat="1" applyFont="1" applyAlignment="1">
      <alignment horizontal="center"/>
    </xf>
    <xf numFmtId="164" fontId="6" fillId="0" borderId="0" xfId="1" applyNumberFormat="1" applyFont="1" applyFill="1"/>
    <xf numFmtId="164" fontId="6" fillId="0" borderId="1" xfId="1" applyNumberFormat="1" applyFont="1" applyBorder="1" applyAlignment="1">
      <alignment horizontal="center" wrapText="1"/>
    </xf>
    <xf numFmtId="2" fontId="6" fillId="0" borderId="0" xfId="1" applyNumberFormat="1" applyFont="1" applyAlignment="1">
      <alignment horizontal="center"/>
    </xf>
    <xf numFmtId="2" fontId="12" fillId="0" borderId="0" xfId="1" applyNumberFormat="1" applyFont="1" applyAlignment="1">
      <alignment horizontal="center"/>
    </xf>
    <xf numFmtId="2" fontId="6" fillId="0" borderId="0" xfId="0" applyNumberFormat="1" applyFont="1"/>
    <xf numFmtId="164" fontId="0" fillId="0" borderId="0" xfId="0" applyNumberFormat="1"/>
    <xf numFmtId="0" fontId="0" fillId="2" borderId="0" xfId="0" applyFill="1"/>
    <xf numFmtId="0" fontId="7" fillId="0" borderId="2" xfId="0" applyFont="1" applyBorder="1" applyAlignment="1"/>
    <xf numFmtId="0" fontId="7" fillId="0" borderId="3" xfId="0" applyFont="1" applyBorder="1" applyAlignment="1"/>
    <xf numFmtId="0" fontId="7" fillId="0" borderId="4" xfId="0" applyFont="1" applyBorder="1" applyAlignment="1"/>
    <xf numFmtId="0" fontId="10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7" fillId="0" borderId="2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wrapText="1"/>
    </xf>
    <xf numFmtId="164" fontId="10" fillId="0" borderId="1" xfId="1" applyNumberFormat="1" applyFont="1" applyBorder="1" applyAlignment="1">
      <alignment horizontal="center" wrapText="1"/>
    </xf>
    <xf numFmtId="0" fontId="8" fillId="0" borderId="0" xfId="0" applyFont="1" applyAlignment="1">
      <alignment horizontal="center" wrapText="1"/>
    </xf>
    <xf numFmtId="0" fontId="15" fillId="0" borderId="0" xfId="0" applyNumberFormat="1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8"/>
          <c:order val="0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Figures!$F$21:$F$22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Figures!$H$21:$H$22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15A-4C54-8224-D3B95E7B7A6B}"/>
            </c:ext>
          </c:extLst>
        </c:ser>
        <c:ser>
          <c:idx val="9"/>
          <c:order val="1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Figures!$G$24:$G$25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Figures!$H$24:$H$25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15A-4C54-8224-D3B95E7B7A6B}"/>
            </c:ext>
          </c:extLst>
        </c:ser>
        <c:ser>
          <c:idx val="0"/>
          <c:order val="2"/>
          <c:tx>
            <c:strRef>
              <c:f>Figures!$C$3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Figures!$C$4:$C$20</c:f>
              <c:numCache>
                <c:formatCode>_("$"* #,##0_);_("$"* \(#,##0\);_("$"* "-"??_);_(@_)</c:formatCode>
                <c:ptCount val="17"/>
                <c:pt idx="0">
                  <c:v>151</c:v>
                </c:pt>
                <c:pt idx="1">
                  <c:v>151</c:v>
                </c:pt>
                <c:pt idx="2">
                  <c:v>151</c:v>
                </c:pt>
                <c:pt idx="4">
                  <c:v>151</c:v>
                </c:pt>
                <c:pt idx="5">
                  <c:v>151</c:v>
                </c:pt>
                <c:pt idx="6">
                  <c:v>151</c:v>
                </c:pt>
                <c:pt idx="7">
                  <c:v>151</c:v>
                </c:pt>
                <c:pt idx="8">
                  <c:v>151</c:v>
                </c:pt>
                <c:pt idx="9">
                  <c:v>151</c:v>
                </c:pt>
                <c:pt idx="11">
                  <c:v>151</c:v>
                </c:pt>
                <c:pt idx="12">
                  <c:v>151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</c:numCache>
            </c:numRef>
          </c:xVal>
          <c:yVal>
            <c:numRef>
              <c:f>Figures!$H$4:$H$20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A-4C54-8224-D3B95E7B7A6B}"/>
            </c:ext>
          </c:extLst>
        </c:ser>
        <c:ser>
          <c:idx val="1"/>
          <c:order val="3"/>
          <c:tx>
            <c:strRef>
              <c:f>Figures!$D$3</c:f>
              <c:strCache>
                <c:ptCount val="1"/>
                <c:pt idx="0">
                  <c:v>Expert Group 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>
                    <a:alpha val="98000"/>
                  </a:srgbClr>
                </a:solidFill>
              </a:ln>
              <a:effectLst/>
            </c:spPr>
          </c:marker>
          <c:xVal>
            <c:numRef>
              <c:f>Figures!$D$4:$D$20</c:f>
              <c:numCache>
                <c:formatCode>_("$"* #,##0_);_("$"* \(#,##0\);_("$"* "-"??_);_(@_)</c:formatCode>
                <c:ptCount val="17"/>
                <c:pt idx="0">
                  <c:v>171</c:v>
                </c:pt>
                <c:pt idx="1">
                  <c:v>154</c:v>
                </c:pt>
                <c:pt idx="2">
                  <c:v>147</c:v>
                </c:pt>
                <c:pt idx="4">
                  <c:v>150</c:v>
                </c:pt>
                <c:pt idx="5">
                  <c:v>151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151</c:v>
                </c:pt>
                <c:pt idx="11">
                  <c:v>146</c:v>
                </c:pt>
                <c:pt idx="12">
                  <c:v>150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</c:numCache>
            </c:numRef>
          </c:xVal>
          <c:yVal>
            <c:numRef>
              <c:f>Figures!$H$4:$H$20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5A-4C54-8224-D3B95E7B7A6B}"/>
            </c:ext>
          </c:extLst>
        </c:ser>
        <c:ser>
          <c:idx val="2"/>
          <c:order val="4"/>
          <c:tx>
            <c:strRef>
              <c:f>Figures!$E$3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Figures!$E$4:$E$20</c:f>
              <c:numCache>
                <c:formatCode>_("$"* #,##0_);_("$"* \(#,##0\);_("$"* "-"??_);_(@_)</c:formatCode>
                <c:ptCount val="17"/>
                <c:pt idx="0">
                  <c:v>151</c:v>
                </c:pt>
                <c:pt idx="1">
                  <c:v>154</c:v>
                </c:pt>
                <c:pt idx="2">
                  <c:v>150</c:v>
                </c:pt>
                <c:pt idx="4">
                  <c:v>153</c:v>
                </c:pt>
                <c:pt idx="5">
                  <c:v>152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151</c:v>
                </c:pt>
                <c:pt idx="11">
                  <c:v>146</c:v>
                </c:pt>
                <c:pt idx="12">
                  <c:v>150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</c:numCache>
            </c:numRef>
          </c:xVal>
          <c:yVal>
            <c:numRef>
              <c:f>Figures!$H$4:$H$20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5A-4C54-8224-D3B95E7B7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  <c:spPr>
        <a:noFill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Figures!$C$28</c:f>
              <c:strCache>
                <c:ptCount val="1"/>
                <c:pt idx="0">
                  <c:v>ICER</c:v>
                </c:pt>
              </c:strCache>
            </c:strRef>
          </c:tx>
          <c:spPr>
            <a:ln w="25400">
              <a:noFill/>
            </a:ln>
          </c:spPr>
          <c:marker>
            <c:symbol val="square"/>
            <c:size val="7"/>
            <c:spPr>
              <a:solidFill>
                <a:srgbClr val="0070C0"/>
              </a:solidFill>
            </c:spPr>
          </c:marker>
          <c:xVal>
            <c:numRef>
              <c:f>Figures!$C$29:$C$45</c:f>
              <c:numCache>
                <c:formatCode>_("$"* #,##0_);_("$"* \(#,##0\);_("$"* "-"??_);_(@_)</c:formatCode>
                <c:ptCount val="17"/>
                <c:pt idx="0">
                  <c:v>382</c:v>
                </c:pt>
                <c:pt idx="1">
                  <c:v>382</c:v>
                </c:pt>
                <c:pt idx="2">
                  <c:v>382</c:v>
                </c:pt>
                <c:pt idx="4">
                  <c:v>382</c:v>
                </c:pt>
                <c:pt idx="5">
                  <c:v>382</c:v>
                </c:pt>
                <c:pt idx="6">
                  <c:v>382</c:v>
                </c:pt>
                <c:pt idx="7">
                  <c:v>382</c:v>
                </c:pt>
                <c:pt idx="8">
                  <c:v>382</c:v>
                </c:pt>
                <c:pt idx="9">
                  <c:v>382</c:v>
                </c:pt>
                <c:pt idx="11">
                  <c:v>382</c:v>
                </c:pt>
                <c:pt idx="12">
                  <c:v>382</c:v>
                </c:pt>
                <c:pt idx="13">
                  <c:v>382</c:v>
                </c:pt>
                <c:pt idx="14">
                  <c:v>382</c:v>
                </c:pt>
                <c:pt idx="15">
                  <c:v>382</c:v>
                </c:pt>
              </c:numCache>
            </c:numRef>
          </c:xVal>
          <c:yVal>
            <c:numRef>
              <c:f>Figures!$H$29:$H$45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8A-4EFA-B9FB-892CA4ABE2BA}"/>
            </c:ext>
          </c:extLst>
        </c:ser>
        <c:ser>
          <c:idx val="6"/>
          <c:order val="1"/>
          <c:tx>
            <c:strRef>
              <c:f>Figures!$D$28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Figures!$D$29:$D$45</c:f>
              <c:numCache>
                <c:formatCode>_("$"* #,##0_);_("$"* \(#,##0\);_("$"* "-"??_);_(@_)</c:formatCode>
                <c:ptCount val="17"/>
                <c:pt idx="0">
                  <c:v>524</c:v>
                </c:pt>
                <c:pt idx="1">
                  <c:v>366</c:v>
                </c:pt>
                <c:pt idx="2">
                  <c:v>384</c:v>
                </c:pt>
                <c:pt idx="4">
                  <c:v>383</c:v>
                </c:pt>
                <c:pt idx="5">
                  <c:v>383</c:v>
                </c:pt>
                <c:pt idx="6">
                  <c:v>383</c:v>
                </c:pt>
                <c:pt idx="7">
                  <c:v>383</c:v>
                </c:pt>
                <c:pt idx="8">
                  <c:v>383</c:v>
                </c:pt>
                <c:pt idx="9">
                  <c:v>383</c:v>
                </c:pt>
                <c:pt idx="11">
                  <c:v>316</c:v>
                </c:pt>
                <c:pt idx="12">
                  <c:v>383</c:v>
                </c:pt>
                <c:pt idx="13">
                  <c:v>382</c:v>
                </c:pt>
                <c:pt idx="14">
                  <c:v>382</c:v>
                </c:pt>
                <c:pt idx="15">
                  <c:v>383</c:v>
                </c:pt>
              </c:numCache>
            </c:numRef>
          </c:xVal>
          <c:yVal>
            <c:numRef>
              <c:f>Figures!$H$29:$H$45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A8A-4EFA-B9FB-892CA4ABE2BA}"/>
            </c:ext>
          </c:extLst>
        </c:ser>
        <c:ser>
          <c:idx val="7"/>
          <c:order val="2"/>
          <c:tx>
            <c:strRef>
              <c:f>Figures!$E$28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Figures!$E$29:$E$45</c:f>
              <c:numCache>
                <c:formatCode>_("$"* #,##0_);_("$"* \(#,##0\);_("$"* "-"??_);_(@_)</c:formatCode>
                <c:ptCount val="17"/>
                <c:pt idx="0">
                  <c:v>382</c:v>
                </c:pt>
                <c:pt idx="1">
                  <c:v>367</c:v>
                </c:pt>
                <c:pt idx="2">
                  <c:v>383</c:v>
                </c:pt>
                <c:pt idx="4">
                  <c:v>380</c:v>
                </c:pt>
                <c:pt idx="5">
                  <c:v>381</c:v>
                </c:pt>
                <c:pt idx="6">
                  <c:v>383</c:v>
                </c:pt>
                <c:pt idx="7">
                  <c:v>383</c:v>
                </c:pt>
                <c:pt idx="8">
                  <c:v>383</c:v>
                </c:pt>
                <c:pt idx="9">
                  <c:v>383</c:v>
                </c:pt>
                <c:pt idx="11">
                  <c:v>316</c:v>
                </c:pt>
                <c:pt idx="12">
                  <c:v>383</c:v>
                </c:pt>
                <c:pt idx="13">
                  <c:v>382</c:v>
                </c:pt>
                <c:pt idx="14">
                  <c:v>382</c:v>
                </c:pt>
                <c:pt idx="15">
                  <c:v>383</c:v>
                </c:pt>
              </c:numCache>
            </c:numRef>
          </c:xVal>
          <c:yVal>
            <c:numRef>
              <c:f>Figures!$H$29:$H$45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A8A-4EFA-B9FB-892CA4ABE2BA}"/>
            </c:ext>
          </c:extLst>
        </c:ser>
        <c:ser>
          <c:idx val="8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Figures!$F$47:$F$48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Figures!$H$47:$H$48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A8A-4EFA-B9FB-892CA4ABE2BA}"/>
            </c:ext>
          </c:extLst>
        </c:ser>
        <c:ser>
          <c:idx val="9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Figures!$G$50:$G$51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Figures!$H$50:$H$51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A8A-4EFA-B9FB-892CA4ABE2BA}"/>
            </c:ext>
          </c:extLst>
        </c:ser>
        <c:ser>
          <c:idx val="0"/>
          <c:order val="5"/>
          <c:spPr>
            <a:ln w="19050">
              <a:noFill/>
            </a:ln>
          </c:spPr>
          <c:marker>
            <c:symbol val="none"/>
          </c:marker>
          <c:xVal>
            <c:numRef>
              <c:f>Figures!$C$29:$C$45</c:f>
              <c:numCache>
                <c:formatCode>_("$"* #,##0_);_("$"* \(#,##0\);_("$"* "-"??_);_(@_)</c:formatCode>
                <c:ptCount val="17"/>
                <c:pt idx="0">
                  <c:v>382</c:v>
                </c:pt>
                <c:pt idx="1">
                  <c:v>382</c:v>
                </c:pt>
                <c:pt idx="2">
                  <c:v>382</c:v>
                </c:pt>
                <c:pt idx="4">
                  <c:v>382</c:v>
                </c:pt>
                <c:pt idx="5">
                  <c:v>382</c:v>
                </c:pt>
                <c:pt idx="6">
                  <c:v>382</c:v>
                </c:pt>
                <c:pt idx="7">
                  <c:v>382</c:v>
                </c:pt>
                <c:pt idx="8">
                  <c:v>382</c:v>
                </c:pt>
                <c:pt idx="9">
                  <c:v>382</c:v>
                </c:pt>
                <c:pt idx="11">
                  <c:v>382</c:v>
                </c:pt>
                <c:pt idx="12">
                  <c:v>382</c:v>
                </c:pt>
                <c:pt idx="13">
                  <c:v>382</c:v>
                </c:pt>
                <c:pt idx="14">
                  <c:v>382</c:v>
                </c:pt>
                <c:pt idx="15">
                  <c:v>382</c:v>
                </c:pt>
              </c:numCache>
            </c:numRef>
          </c:xVal>
          <c:yVal>
            <c:numRef>
              <c:f>Figures!$H$21:$H$25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3">
                  <c:v>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9-473B-9014-227BDEED2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01291055933671E-2"/>
          <c:y val="1.4786621557454891E-2"/>
          <c:w val="0.88024116433257515"/>
          <c:h val="0.82118352326685662"/>
        </c:manualLayout>
      </c:layout>
      <c:scatterChart>
        <c:scatterStyle val="lineMarker"/>
        <c:varyColors val="0"/>
        <c:ser>
          <c:idx val="0"/>
          <c:order val="0"/>
          <c:tx>
            <c:strRef>
              <c:f>Figures!$C$28</c:f>
              <c:strCache>
                <c:ptCount val="1"/>
                <c:pt idx="0">
                  <c:v>ICER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Figures!$C$54:$C$69</c:f>
              <c:numCache>
                <c:formatCode>_("$"* #,##0_);_("$"* \(#,##0\);_("$"* "-"??_);_(@_)</c:formatCode>
                <c:ptCount val="16"/>
                <c:pt idx="0">
                  <c:v>93</c:v>
                </c:pt>
                <c:pt idx="1">
                  <c:v>93</c:v>
                </c:pt>
                <c:pt idx="2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</c:numCache>
            </c:numRef>
          </c:xVal>
          <c:yVal>
            <c:numRef>
              <c:f>Figures!$H$54:$H$69</c:f>
              <c:numCache>
                <c:formatCode>General</c:formatCode>
                <c:ptCount val="16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0-4B87-8084-9F54F6C67946}"/>
            </c:ext>
          </c:extLst>
        </c:ser>
        <c:ser>
          <c:idx val="1"/>
          <c:order val="1"/>
          <c:tx>
            <c:strRef>
              <c:f>Figures!$D$28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Figures!$D$54:$D$69</c:f>
              <c:numCache>
                <c:formatCode>_("$"* #,##0_);_("$"* \(#,##0\);_("$"* "-"??_);_(@_)</c:formatCode>
                <c:ptCount val="16"/>
                <c:pt idx="0">
                  <c:v>122</c:v>
                </c:pt>
                <c:pt idx="1">
                  <c:v>91</c:v>
                </c:pt>
                <c:pt idx="2">
                  <c:v>93</c:v>
                </c:pt>
                <c:pt idx="4">
                  <c:v>93</c:v>
                </c:pt>
                <c:pt idx="5">
                  <c:v>94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94</c:v>
                </c:pt>
                <c:pt idx="11">
                  <c:v>99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</c:numCache>
            </c:numRef>
          </c:xVal>
          <c:yVal>
            <c:numRef>
              <c:f>Figures!$H$54:$H$69</c:f>
              <c:numCache>
                <c:formatCode>General</c:formatCode>
                <c:ptCount val="16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E0-4B87-8084-9F54F6C67946}"/>
            </c:ext>
          </c:extLst>
        </c:ser>
        <c:ser>
          <c:idx val="2"/>
          <c:order val="2"/>
          <c:tx>
            <c:strRef>
              <c:f>Figures!$E$28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Figures!$E$54:$E$69</c:f>
              <c:numCache>
                <c:formatCode>_("$"* #,##0_);_("$"* \(#,##0\);_("$"* "-"??_);_(@_)</c:formatCode>
                <c:ptCount val="16"/>
                <c:pt idx="0">
                  <c:v>93</c:v>
                </c:pt>
                <c:pt idx="1">
                  <c:v>91</c:v>
                </c:pt>
                <c:pt idx="2">
                  <c:v>93</c:v>
                </c:pt>
                <c:pt idx="4">
                  <c:v>97</c:v>
                </c:pt>
                <c:pt idx="5">
                  <c:v>94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94</c:v>
                </c:pt>
                <c:pt idx="11">
                  <c:v>99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</c:numCache>
            </c:numRef>
          </c:xVal>
          <c:yVal>
            <c:numRef>
              <c:f>Figures!$H$54:$H$69</c:f>
              <c:numCache>
                <c:formatCode>General</c:formatCode>
                <c:ptCount val="16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E0-4B87-8084-9F54F6C67946}"/>
            </c:ext>
          </c:extLst>
        </c:ser>
        <c:ser>
          <c:idx val="3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Figures!$F$47:$F$48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Figures!$H$47:$H$48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E0-4B87-8084-9F54F6C67946}"/>
            </c:ext>
          </c:extLst>
        </c:ser>
        <c:ser>
          <c:idx val="4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Figures!$G$50:$G$51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Figures!$H$50:$H$51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E0-4B87-8084-9F54F6C6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Figures!$C$78</c:f>
              <c:strCache>
                <c:ptCount val="1"/>
                <c:pt idx="0">
                  <c:v>ICER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7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Figures!$C$79:$C$95</c:f>
              <c:numCache>
                <c:formatCode>_("$"* #,##0_);_("$"* \(#,##0\);_("$"* "-"??_);_(@_)</c:formatCode>
                <c:ptCount val="17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123</c:v>
                </c:pt>
                <c:pt idx="11">
                  <c:v>123</c:v>
                </c:pt>
                <c:pt idx="12">
                  <c:v>123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</c:numCache>
            </c:numRef>
          </c:xVal>
          <c:yVal>
            <c:numRef>
              <c:f>Figures!$H$79:$H$95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C-4E3B-BA5A-285D7A47EFC9}"/>
            </c:ext>
          </c:extLst>
        </c:ser>
        <c:ser>
          <c:idx val="6"/>
          <c:order val="1"/>
          <c:tx>
            <c:strRef>
              <c:f>Figures!$D$78</c:f>
              <c:strCache>
                <c:ptCount val="1"/>
                <c:pt idx="0">
                  <c:v>Expert Group 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Figures!$D$79:$D$95</c:f>
              <c:numCache>
                <c:formatCode>_("$"* #,##0_);_("$"* \(#,##0\);_("$"* "-"??_);_(@_)</c:formatCode>
                <c:ptCount val="17"/>
                <c:pt idx="0">
                  <c:v>140</c:v>
                </c:pt>
                <c:pt idx="1">
                  <c:v>117</c:v>
                </c:pt>
                <c:pt idx="2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121</c:v>
                </c:pt>
                <c:pt idx="9">
                  <c:v>123</c:v>
                </c:pt>
                <c:pt idx="11">
                  <c:v>125</c:v>
                </c:pt>
                <c:pt idx="12">
                  <c:v>123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</c:numCache>
            </c:numRef>
          </c:xVal>
          <c:yVal>
            <c:numRef>
              <c:f>Figures!$H$79:$H$95</c:f>
              <c:numCache>
                <c:formatCode>General</c:formatCode>
                <c:ptCount val="17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C-4E3B-BA5A-285D7A47EFC9}"/>
            </c:ext>
          </c:extLst>
        </c:ser>
        <c:ser>
          <c:idx val="7"/>
          <c:order val="2"/>
          <c:tx>
            <c:strRef>
              <c:f>Figures!$E$78</c:f>
              <c:strCache>
                <c:ptCount val="1"/>
                <c:pt idx="0">
                  <c:v>Expert Group 2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Figures!$E$79:$E$95</c:f>
              <c:numCache>
                <c:formatCode>_("$"* #,##0_);_("$"* \(#,##0\);_("$"* "-"??_);_(@_)</c:formatCode>
                <c:ptCount val="17"/>
                <c:pt idx="0">
                  <c:v>125</c:v>
                </c:pt>
                <c:pt idx="1">
                  <c:v>118</c:v>
                </c:pt>
                <c:pt idx="2">
                  <c:v>123</c:v>
                </c:pt>
                <c:pt idx="4">
                  <c:v>120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121</c:v>
                </c:pt>
                <c:pt idx="9">
                  <c:v>123</c:v>
                </c:pt>
                <c:pt idx="11">
                  <c:v>125</c:v>
                </c:pt>
                <c:pt idx="12">
                  <c:v>123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</c:numCache>
            </c:numRef>
          </c:xVal>
          <c:yVal>
            <c:numRef>
              <c:f>Figures!$H$79:$H$94</c:f>
              <c:numCache>
                <c:formatCode>General</c:formatCode>
                <c:ptCount val="16"/>
                <c:pt idx="0">
                  <c:v>0.95</c:v>
                </c:pt>
                <c:pt idx="1">
                  <c:v>0.625</c:v>
                </c:pt>
                <c:pt idx="2">
                  <c:v>0.3</c:v>
                </c:pt>
                <c:pt idx="4">
                  <c:v>3.0750000000000006</c:v>
                </c:pt>
                <c:pt idx="5">
                  <c:v>2.7500000000000004</c:v>
                </c:pt>
                <c:pt idx="6">
                  <c:v>2.4250000000000003</c:v>
                </c:pt>
                <c:pt idx="7">
                  <c:v>2.1</c:v>
                </c:pt>
                <c:pt idx="8">
                  <c:v>1.7749999999999999</c:v>
                </c:pt>
                <c:pt idx="9">
                  <c:v>1.45</c:v>
                </c:pt>
                <c:pt idx="11">
                  <c:v>4.7750000000000012</c:v>
                </c:pt>
                <c:pt idx="12">
                  <c:v>4.4500000000000011</c:v>
                </c:pt>
                <c:pt idx="13">
                  <c:v>4.1250000000000009</c:v>
                </c:pt>
                <c:pt idx="14">
                  <c:v>3.8000000000000007</c:v>
                </c:pt>
                <c:pt idx="15">
                  <c:v>3.4750000000000005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C-4E3B-BA5A-285D7A47EFC9}"/>
            </c:ext>
          </c:extLst>
        </c:ser>
        <c:ser>
          <c:idx val="8"/>
          <c:order val="3"/>
          <c:tx>
            <c:strRef>
              <c:f>Figures!$F$78</c:f>
              <c:strCache>
                <c:ptCount val="1"/>
                <c:pt idx="0">
                  <c:v>100K Benchmark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Figures!$F$97:$F$98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Figures!$H$97:$H$98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AC-4E3B-BA5A-285D7A47EFC9}"/>
            </c:ext>
          </c:extLst>
        </c:ser>
        <c:ser>
          <c:idx val="4"/>
          <c:order val="4"/>
          <c:tx>
            <c:strRef>
              <c:f>Figures!$G$78</c:f>
              <c:strCache>
                <c:ptCount val="1"/>
                <c:pt idx="0">
                  <c:v>150K Benchmark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Figures!$G$100:$G$101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Figures!$H$100:$H$101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C-4E3B-BA5A-285D7A47E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'Figures - main'!$C$2</c:f>
              <c:strCache>
                <c:ptCount val="1"/>
                <c:pt idx="0">
                  <c:v>ICER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7"/>
            <c:spPr>
              <a:solidFill>
                <a:srgbClr val="0070C0"/>
              </a:solidFill>
              <a:ln>
                <a:solidFill>
                  <a:srgbClr val="0070C0">
                    <a:alpha val="97000"/>
                  </a:srgbClr>
                </a:solidFill>
              </a:ln>
            </c:spPr>
          </c:marker>
          <c:xVal>
            <c:numRef>
              <c:f>'Figures - main'!$C$3:$C$73</c:f>
              <c:numCache>
                <c:formatCode>_("$"* #,##0_);_("$"* \(#,##0\);_("$"* "-"??_);_(@_)</c:formatCode>
                <c:ptCount val="71"/>
                <c:pt idx="0">
                  <c:v>151</c:v>
                </c:pt>
                <c:pt idx="1">
                  <c:v>151</c:v>
                </c:pt>
                <c:pt idx="2">
                  <c:v>151</c:v>
                </c:pt>
                <c:pt idx="4">
                  <c:v>151</c:v>
                </c:pt>
                <c:pt idx="5">
                  <c:v>151</c:v>
                </c:pt>
                <c:pt idx="6">
                  <c:v>151</c:v>
                </c:pt>
                <c:pt idx="7">
                  <c:v>151</c:v>
                </c:pt>
                <c:pt idx="8">
                  <c:v>151</c:v>
                </c:pt>
                <c:pt idx="9">
                  <c:v>151</c:v>
                </c:pt>
                <c:pt idx="11">
                  <c:v>151</c:v>
                </c:pt>
                <c:pt idx="12">
                  <c:v>151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  <c:pt idx="18">
                  <c:v>382</c:v>
                </c:pt>
                <c:pt idx="19">
                  <c:v>382</c:v>
                </c:pt>
                <c:pt idx="20">
                  <c:v>382</c:v>
                </c:pt>
                <c:pt idx="22">
                  <c:v>382</c:v>
                </c:pt>
                <c:pt idx="23">
                  <c:v>382</c:v>
                </c:pt>
                <c:pt idx="24">
                  <c:v>382</c:v>
                </c:pt>
                <c:pt idx="25">
                  <c:v>382</c:v>
                </c:pt>
                <c:pt idx="26">
                  <c:v>382</c:v>
                </c:pt>
                <c:pt idx="27">
                  <c:v>382</c:v>
                </c:pt>
                <c:pt idx="29">
                  <c:v>382</c:v>
                </c:pt>
                <c:pt idx="30">
                  <c:v>382</c:v>
                </c:pt>
                <c:pt idx="31">
                  <c:v>382</c:v>
                </c:pt>
                <c:pt idx="32">
                  <c:v>382</c:v>
                </c:pt>
                <c:pt idx="33">
                  <c:v>382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4">
                  <c:v>123</c:v>
                </c:pt>
                <c:pt idx="55">
                  <c:v>123</c:v>
                </c:pt>
                <c:pt idx="56">
                  <c:v>123</c:v>
                </c:pt>
                <c:pt idx="58">
                  <c:v>123</c:v>
                </c:pt>
                <c:pt idx="59">
                  <c:v>123</c:v>
                </c:pt>
                <c:pt idx="60">
                  <c:v>123</c:v>
                </c:pt>
                <c:pt idx="61">
                  <c:v>123</c:v>
                </c:pt>
                <c:pt idx="62">
                  <c:v>123</c:v>
                </c:pt>
                <c:pt idx="63">
                  <c:v>123</c:v>
                </c:pt>
                <c:pt idx="65">
                  <c:v>123</c:v>
                </c:pt>
                <c:pt idx="66">
                  <c:v>123</c:v>
                </c:pt>
                <c:pt idx="67">
                  <c:v>123</c:v>
                </c:pt>
                <c:pt idx="68">
                  <c:v>123</c:v>
                </c:pt>
                <c:pt idx="69">
                  <c:v>123</c:v>
                </c:pt>
              </c:numCache>
            </c:numRef>
          </c:xVal>
          <c:yVal>
            <c:numRef>
              <c:f>'Figures - main'!$H$3:$H$73</c:f>
              <c:numCache>
                <c:formatCode>0.00</c:formatCode>
                <c:ptCount val="71"/>
                <c:pt idx="0">
                  <c:v>4.25</c:v>
                </c:pt>
                <c:pt idx="1">
                  <c:v>4.25</c:v>
                </c:pt>
                <c:pt idx="2">
                  <c:v>4.25</c:v>
                </c:pt>
                <c:pt idx="4">
                  <c:v>3.9249999999999998</c:v>
                </c:pt>
                <c:pt idx="5">
                  <c:v>3.9249999999999998</c:v>
                </c:pt>
                <c:pt idx="6">
                  <c:v>3.9249999999999998</c:v>
                </c:pt>
                <c:pt idx="7">
                  <c:v>3.9249999999999998</c:v>
                </c:pt>
                <c:pt idx="8">
                  <c:v>3.9249999999999998</c:v>
                </c:pt>
                <c:pt idx="9">
                  <c:v>3.9249999999999998</c:v>
                </c:pt>
                <c:pt idx="11">
                  <c:v>3.5999999999999996</c:v>
                </c:pt>
                <c:pt idx="12">
                  <c:v>3.5999999999999996</c:v>
                </c:pt>
                <c:pt idx="13">
                  <c:v>3.5999999999999996</c:v>
                </c:pt>
                <c:pt idx="14">
                  <c:v>3.5999999999999996</c:v>
                </c:pt>
                <c:pt idx="15">
                  <c:v>3.5999999999999996</c:v>
                </c:pt>
                <c:pt idx="18">
                  <c:v>3.2749999999999995</c:v>
                </c:pt>
                <c:pt idx="19">
                  <c:v>3.2749999999999995</c:v>
                </c:pt>
                <c:pt idx="20">
                  <c:v>3.2749999999999995</c:v>
                </c:pt>
                <c:pt idx="22">
                  <c:v>2.9499999999999993</c:v>
                </c:pt>
                <c:pt idx="23">
                  <c:v>2.9499999999999993</c:v>
                </c:pt>
                <c:pt idx="24">
                  <c:v>2.9499999999999993</c:v>
                </c:pt>
                <c:pt idx="25">
                  <c:v>2.9499999999999993</c:v>
                </c:pt>
                <c:pt idx="26">
                  <c:v>2.9499999999999993</c:v>
                </c:pt>
                <c:pt idx="27">
                  <c:v>2.9499999999999993</c:v>
                </c:pt>
                <c:pt idx="29">
                  <c:v>2.6249999999999991</c:v>
                </c:pt>
                <c:pt idx="30">
                  <c:v>2.6249999999999991</c:v>
                </c:pt>
                <c:pt idx="31">
                  <c:v>2.6249999999999991</c:v>
                </c:pt>
                <c:pt idx="32">
                  <c:v>2.6249999999999991</c:v>
                </c:pt>
                <c:pt idx="33">
                  <c:v>2.6249999999999991</c:v>
                </c:pt>
                <c:pt idx="36">
                  <c:v>2.2999999999999989</c:v>
                </c:pt>
                <c:pt idx="37">
                  <c:v>2.2999999999999989</c:v>
                </c:pt>
                <c:pt idx="38">
                  <c:v>2.2999999999999989</c:v>
                </c:pt>
                <c:pt idx="40">
                  <c:v>1.974999999999999</c:v>
                </c:pt>
                <c:pt idx="41">
                  <c:v>1.974999999999999</c:v>
                </c:pt>
                <c:pt idx="42">
                  <c:v>1.974999999999999</c:v>
                </c:pt>
                <c:pt idx="43">
                  <c:v>1.974999999999999</c:v>
                </c:pt>
                <c:pt idx="44">
                  <c:v>1.974999999999999</c:v>
                </c:pt>
                <c:pt idx="45">
                  <c:v>1.974999999999999</c:v>
                </c:pt>
                <c:pt idx="47">
                  <c:v>1.649999999999999</c:v>
                </c:pt>
                <c:pt idx="48">
                  <c:v>1.649999999999999</c:v>
                </c:pt>
                <c:pt idx="49">
                  <c:v>1.649999999999999</c:v>
                </c:pt>
                <c:pt idx="50">
                  <c:v>1.649999999999999</c:v>
                </c:pt>
                <c:pt idx="51">
                  <c:v>1.649999999999999</c:v>
                </c:pt>
                <c:pt idx="54">
                  <c:v>1.3249999999999991</c:v>
                </c:pt>
                <c:pt idx="55">
                  <c:v>1.3249999999999991</c:v>
                </c:pt>
                <c:pt idx="56">
                  <c:v>1.3249999999999991</c:v>
                </c:pt>
                <c:pt idx="58">
                  <c:v>0.99999999999999911</c:v>
                </c:pt>
                <c:pt idx="59">
                  <c:v>0.99999999999999911</c:v>
                </c:pt>
                <c:pt idx="60">
                  <c:v>0.99999999999999911</c:v>
                </c:pt>
                <c:pt idx="61">
                  <c:v>0.99999999999999911</c:v>
                </c:pt>
                <c:pt idx="62">
                  <c:v>0.99999999999999911</c:v>
                </c:pt>
                <c:pt idx="63">
                  <c:v>0.99999999999999911</c:v>
                </c:pt>
                <c:pt idx="65">
                  <c:v>0.67499999999999916</c:v>
                </c:pt>
                <c:pt idx="66">
                  <c:v>0.67499999999999916</c:v>
                </c:pt>
                <c:pt idx="67">
                  <c:v>0.67499999999999916</c:v>
                </c:pt>
                <c:pt idx="68">
                  <c:v>0.67499999999999916</c:v>
                </c:pt>
                <c:pt idx="69">
                  <c:v>0.67499999999999916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AE-43A2-A9E6-417D98117E16}"/>
            </c:ext>
          </c:extLst>
        </c:ser>
        <c:ser>
          <c:idx val="6"/>
          <c:order val="1"/>
          <c:tx>
            <c:strRef>
              <c:f>'Figures - main'!$D$2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'Figures - main'!$D$3:$D$73</c:f>
              <c:numCache>
                <c:formatCode>_("$"* #,##0_);_("$"* \(#,##0\);_("$"* "-"??_);_(@_)</c:formatCode>
                <c:ptCount val="71"/>
                <c:pt idx="0">
                  <c:v>171</c:v>
                </c:pt>
                <c:pt idx="1">
                  <c:v>154</c:v>
                </c:pt>
                <c:pt idx="2">
                  <c:v>147</c:v>
                </c:pt>
                <c:pt idx="4">
                  <c:v>150</c:v>
                </c:pt>
                <c:pt idx="5">
                  <c:v>151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151</c:v>
                </c:pt>
                <c:pt idx="11">
                  <c:v>146</c:v>
                </c:pt>
                <c:pt idx="12">
                  <c:v>150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  <c:pt idx="18">
                  <c:v>524</c:v>
                </c:pt>
                <c:pt idx="19">
                  <c:v>366</c:v>
                </c:pt>
                <c:pt idx="20">
                  <c:v>384</c:v>
                </c:pt>
                <c:pt idx="22">
                  <c:v>383</c:v>
                </c:pt>
                <c:pt idx="23">
                  <c:v>383</c:v>
                </c:pt>
                <c:pt idx="24">
                  <c:v>383</c:v>
                </c:pt>
                <c:pt idx="25">
                  <c:v>383</c:v>
                </c:pt>
                <c:pt idx="26">
                  <c:v>383</c:v>
                </c:pt>
                <c:pt idx="27">
                  <c:v>383</c:v>
                </c:pt>
                <c:pt idx="29">
                  <c:v>316</c:v>
                </c:pt>
                <c:pt idx="30">
                  <c:v>383</c:v>
                </c:pt>
                <c:pt idx="31">
                  <c:v>382</c:v>
                </c:pt>
                <c:pt idx="32">
                  <c:v>382</c:v>
                </c:pt>
                <c:pt idx="33">
                  <c:v>383</c:v>
                </c:pt>
                <c:pt idx="36">
                  <c:v>122</c:v>
                </c:pt>
                <c:pt idx="37">
                  <c:v>91</c:v>
                </c:pt>
                <c:pt idx="38">
                  <c:v>93</c:v>
                </c:pt>
                <c:pt idx="40">
                  <c:v>93</c:v>
                </c:pt>
                <c:pt idx="41">
                  <c:v>94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94</c:v>
                </c:pt>
                <c:pt idx="47">
                  <c:v>99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4">
                  <c:v>140</c:v>
                </c:pt>
                <c:pt idx="55">
                  <c:v>117</c:v>
                </c:pt>
                <c:pt idx="56">
                  <c:v>123</c:v>
                </c:pt>
                <c:pt idx="58">
                  <c:v>123</c:v>
                </c:pt>
                <c:pt idx="59">
                  <c:v>123</c:v>
                </c:pt>
                <c:pt idx="60">
                  <c:v>123</c:v>
                </c:pt>
                <c:pt idx="61">
                  <c:v>123</c:v>
                </c:pt>
                <c:pt idx="62">
                  <c:v>121</c:v>
                </c:pt>
                <c:pt idx="63">
                  <c:v>123</c:v>
                </c:pt>
                <c:pt idx="65">
                  <c:v>125</c:v>
                </c:pt>
                <c:pt idx="66">
                  <c:v>123</c:v>
                </c:pt>
                <c:pt idx="67">
                  <c:v>123</c:v>
                </c:pt>
                <c:pt idx="68">
                  <c:v>123</c:v>
                </c:pt>
                <c:pt idx="69">
                  <c:v>123</c:v>
                </c:pt>
              </c:numCache>
            </c:numRef>
          </c:xVal>
          <c:yVal>
            <c:numRef>
              <c:f>'Figures - main'!$H$3:$H$73</c:f>
              <c:numCache>
                <c:formatCode>0.00</c:formatCode>
                <c:ptCount val="71"/>
                <c:pt idx="0">
                  <c:v>4.25</c:v>
                </c:pt>
                <c:pt idx="1">
                  <c:v>4.25</c:v>
                </c:pt>
                <c:pt idx="2">
                  <c:v>4.25</c:v>
                </c:pt>
                <c:pt idx="4">
                  <c:v>3.9249999999999998</c:v>
                </c:pt>
                <c:pt idx="5">
                  <c:v>3.9249999999999998</c:v>
                </c:pt>
                <c:pt idx="6">
                  <c:v>3.9249999999999998</c:v>
                </c:pt>
                <c:pt idx="7">
                  <c:v>3.9249999999999998</c:v>
                </c:pt>
                <c:pt idx="8">
                  <c:v>3.9249999999999998</c:v>
                </c:pt>
                <c:pt idx="9">
                  <c:v>3.9249999999999998</c:v>
                </c:pt>
                <c:pt idx="11">
                  <c:v>3.5999999999999996</c:v>
                </c:pt>
                <c:pt idx="12">
                  <c:v>3.5999999999999996</c:v>
                </c:pt>
                <c:pt idx="13">
                  <c:v>3.5999999999999996</c:v>
                </c:pt>
                <c:pt idx="14">
                  <c:v>3.5999999999999996</c:v>
                </c:pt>
                <c:pt idx="15">
                  <c:v>3.5999999999999996</c:v>
                </c:pt>
                <c:pt idx="18">
                  <c:v>3.2749999999999995</c:v>
                </c:pt>
                <c:pt idx="19">
                  <c:v>3.2749999999999995</c:v>
                </c:pt>
                <c:pt idx="20">
                  <c:v>3.2749999999999995</c:v>
                </c:pt>
                <c:pt idx="22">
                  <c:v>2.9499999999999993</c:v>
                </c:pt>
                <c:pt idx="23">
                  <c:v>2.9499999999999993</c:v>
                </c:pt>
                <c:pt idx="24">
                  <c:v>2.9499999999999993</c:v>
                </c:pt>
                <c:pt idx="25">
                  <c:v>2.9499999999999993</c:v>
                </c:pt>
                <c:pt idx="26">
                  <c:v>2.9499999999999993</c:v>
                </c:pt>
                <c:pt idx="27">
                  <c:v>2.9499999999999993</c:v>
                </c:pt>
                <c:pt idx="29">
                  <c:v>2.6249999999999991</c:v>
                </c:pt>
                <c:pt idx="30">
                  <c:v>2.6249999999999991</c:v>
                </c:pt>
                <c:pt idx="31">
                  <c:v>2.6249999999999991</c:v>
                </c:pt>
                <c:pt idx="32">
                  <c:v>2.6249999999999991</c:v>
                </c:pt>
                <c:pt idx="33">
                  <c:v>2.6249999999999991</c:v>
                </c:pt>
                <c:pt idx="36">
                  <c:v>2.2999999999999989</c:v>
                </c:pt>
                <c:pt idx="37">
                  <c:v>2.2999999999999989</c:v>
                </c:pt>
                <c:pt idx="38">
                  <c:v>2.2999999999999989</c:v>
                </c:pt>
                <c:pt idx="40">
                  <c:v>1.974999999999999</c:v>
                </c:pt>
                <c:pt idx="41">
                  <c:v>1.974999999999999</c:v>
                </c:pt>
                <c:pt idx="42">
                  <c:v>1.974999999999999</c:v>
                </c:pt>
                <c:pt idx="43">
                  <c:v>1.974999999999999</c:v>
                </c:pt>
                <c:pt idx="44">
                  <c:v>1.974999999999999</c:v>
                </c:pt>
                <c:pt idx="45">
                  <c:v>1.974999999999999</c:v>
                </c:pt>
                <c:pt idx="47">
                  <c:v>1.649999999999999</c:v>
                </c:pt>
                <c:pt idx="48">
                  <c:v>1.649999999999999</c:v>
                </c:pt>
                <c:pt idx="49">
                  <c:v>1.649999999999999</c:v>
                </c:pt>
                <c:pt idx="50">
                  <c:v>1.649999999999999</c:v>
                </c:pt>
                <c:pt idx="51">
                  <c:v>1.649999999999999</c:v>
                </c:pt>
                <c:pt idx="54">
                  <c:v>1.3249999999999991</c:v>
                </c:pt>
                <c:pt idx="55">
                  <c:v>1.3249999999999991</c:v>
                </c:pt>
                <c:pt idx="56">
                  <c:v>1.3249999999999991</c:v>
                </c:pt>
                <c:pt idx="58">
                  <c:v>0.99999999999999911</c:v>
                </c:pt>
                <c:pt idx="59">
                  <c:v>0.99999999999999911</c:v>
                </c:pt>
                <c:pt idx="60">
                  <c:v>0.99999999999999911</c:v>
                </c:pt>
                <c:pt idx="61">
                  <c:v>0.99999999999999911</c:v>
                </c:pt>
                <c:pt idx="62">
                  <c:v>0.99999999999999911</c:v>
                </c:pt>
                <c:pt idx="63">
                  <c:v>0.99999999999999911</c:v>
                </c:pt>
                <c:pt idx="65">
                  <c:v>0.67499999999999916</c:v>
                </c:pt>
                <c:pt idx="66">
                  <c:v>0.67499999999999916</c:v>
                </c:pt>
                <c:pt idx="67">
                  <c:v>0.67499999999999916</c:v>
                </c:pt>
                <c:pt idx="68">
                  <c:v>0.67499999999999916</c:v>
                </c:pt>
                <c:pt idx="69">
                  <c:v>0.67499999999999916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AE-43A2-A9E6-417D98117E16}"/>
            </c:ext>
          </c:extLst>
        </c:ser>
        <c:ser>
          <c:idx val="7"/>
          <c:order val="2"/>
          <c:tx>
            <c:strRef>
              <c:f>'Figures - main'!$E$2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'Figures - main'!$E$3:$E$73</c:f>
              <c:numCache>
                <c:formatCode>_("$"* #,##0_);_("$"* \(#,##0\);_("$"* "-"??_);_(@_)</c:formatCode>
                <c:ptCount val="71"/>
                <c:pt idx="0">
                  <c:v>151</c:v>
                </c:pt>
                <c:pt idx="1">
                  <c:v>154</c:v>
                </c:pt>
                <c:pt idx="2">
                  <c:v>150</c:v>
                </c:pt>
                <c:pt idx="4">
                  <c:v>153</c:v>
                </c:pt>
                <c:pt idx="5">
                  <c:v>152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151</c:v>
                </c:pt>
                <c:pt idx="11">
                  <c:v>146</c:v>
                </c:pt>
                <c:pt idx="12">
                  <c:v>150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  <c:pt idx="18">
                  <c:v>382</c:v>
                </c:pt>
                <c:pt idx="19">
                  <c:v>367</c:v>
                </c:pt>
                <c:pt idx="20">
                  <c:v>383</c:v>
                </c:pt>
                <c:pt idx="22">
                  <c:v>380</c:v>
                </c:pt>
                <c:pt idx="23">
                  <c:v>381</c:v>
                </c:pt>
                <c:pt idx="24">
                  <c:v>383</c:v>
                </c:pt>
                <c:pt idx="25">
                  <c:v>383</c:v>
                </c:pt>
                <c:pt idx="26">
                  <c:v>383</c:v>
                </c:pt>
                <c:pt idx="27">
                  <c:v>383</c:v>
                </c:pt>
                <c:pt idx="29">
                  <c:v>316</c:v>
                </c:pt>
                <c:pt idx="30">
                  <c:v>383</c:v>
                </c:pt>
                <c:pt idx="31">
                  <c:v>382</c:v>
                </c:pt>
                <c:pt idx="32">
                  <c:v>382</c:v>
                </c:pt>
                <c:pt idx="33">
                  <c:v>383</c:v>
                </c:pt>
                <c:pt idx="36">
                  <c:v>93</c:v>
                </c:pt>
                <c:pt idx="37">
                  <c:v>91</c:v>
                </c:pt>
                <c:pt idx="38">
                  <c:v>93</c:v>
                </c:pt>
                <c:pt idx="40">
                  <c:v>97</c:v>
                </c:pt>
                <c:pt idx="41">
                  <c:v>94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94</c:v>
                </c:pt>
                <c:pt idx="47">
                  <c:v>99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4">
                  <c:v>125</c:v>
                </c:pt>
                <c:pt idx="55">
                  <c:v>118</c:v>
                </c:pt>
                <c:pt idx="56">
                  <c:v>123</c:v>
                </c:pt>
                <c:pt idx="58">
                  <c:v>120</c:v>
                </c:pt>
                <c:pt idx="59">
                  <c:v>123</c:v>
                </c:pt>
                <c:pt idx="60">
                  <c:v>123</c:v>
                </c:pt>
                <c:pt idx="61">
                  <c:v>123</c:v>
                </c:pt>
                <c:pt idx="62">
                  <c:v>121</c:v>
                </c:pt>
                <c:pt idx="63">
                  <c:v>123</c:v>
                </c:pt>
                <c:pt idx="65">
                  <c:v>125</c:v>
                </c:pt>
                <c:pt idx="66">
                  <c:v>123</c:v>
                </c:pt>
                <c:pt idx="67">
                  <c:v>123</c:v>
                </c:pt>
                <c:pt idx="68">
                  <c:v>123</c:v>
                </c:pt>
                <c:pt idx="69">
                  <c:v>123</c:v>
                </c:pt>
              </c:numCache>
            </c:numRef>
          </c:xVal>
          <c:yVal>
            <c:numRef>
              <c:f>'Figures - main'!$H$3:$H$73</c:f>
              <c:numCache>
                <c:formatCode>0.00</c:formatCode>
                <c:ptCount val="71"/>
                <c:pt idx="0">
                  <c:v>4.25</c:v>
                </c:pt>
                <c:pt idx="1">
                  <c:v>4.25</c:v>
                </c:pt>
                <c:pt idx="2">
                  <c:v>4.25</c:v>
                </c:pt>
                <c:pt idx="4">
                  <c:v>3.9249999999999998</c:v>
                </c:pt>
                <c:pt idx="5">
                  <c:v>3.9249999999999998</c:v>
                </c:pt>
                <c:pt idx="6">
                  <c:v>3.9249999999999998</c:v>
                </c:pt>
                <c:pt idx="7">
                  <c:v>3.9249999999999998</c:v>
                </c:pt>
                <c:pt idx="8">
                  <c:v>3.9249999999999998</c:v>
                </c:pt>
                <c:pt idx="9">
                  <c:v>3.9249999999999998</c:v>
                </c:pt>
                <c:pt idx="11">
                  <c:v>3.5999999999999996</c:v>
                </c:pt>
                <c:pt idx="12">
                  <c:v>3.5999999999999996</c:v>
                </c:pt>
                <c:pt idx="13">
                  <c:v>3.5999999999999996</c:v>
                </c:pt>
                <c:pt idx="14">
                  <c:v>3.5999999999999996</c:v>
                </c:pt>
                <c:pt idx="15">
                  <c:v>3.5999999999999996</c:v>
                </c:pt>
                <c:pt idx="18">
                  <c:v>3.2749999999999995</c:v>
                </c:pt>
                <c:pt idx="19">
                  <c:v>3.2749999999999995</c:v>
                </c:pt>
                <c:pt idx="20">
                  <c:v>3.2749999999999995</c:v>
                </c:pt>
                <c:pt idx="22">
                  <c:v>2.9499999999999993</c:v>
                </c:pt>
                <c:pt idx="23">
                  <c:v>2.9499999999999993</c:v>
                </c:pt>
                <c:pt idx="24">
                  <c:v>2.9499999999999993</c:v>
                </c:pt>
                <c:pt idx="25">
                  <c:v>2.9499999999999993</c:v>
                </c:pt>
                <c:pt idx="26">
                  <c:v>2.9499999999999993</c:v>
                </c:pt>
                <c:pt idx="27">
                  <c:v>2.9499999999999993</c:v>
                </c:pt>
                <c:pt idx="29">
                  <c:v>2.6249999999999991</c:v>
                </c:pt>
                <c:pt idx="30">
                  <c:v>2.6249999999999991</c:v>
                </c:pt>
                <c:pt idx="31">
                  <c:v>2.6249999999999991</c:v>
                </c:pt>
                <c:pt idx="32">
                  <c:v>2.6249999999999991</c:v>
                </c:pt>
                <c:pt idx="33">
                  <c:v>2.6249999999999991</c:v>
                </c:pt>
                <c:pt idx="36">
                  <c:v>2.2999999999999989</c:v>
                </c:pt>
                <c:pt idx="37">
                  <c:v>2.2999999999999989</c:v>
                </c:pt>
                <c:pt idx="38">
                  <c:v>2.2999999999999989</c:v>
                </c:pt>
                <c:pt idx="40">
                  <c:v>1.974999999999999</c:v>
                </c:pt>
                <c:pt idx="41">
                  <c:v>1.974999999999999</c:v>
                </c:pt>
                <c:pt idx="42">
                  <c:v>1.974999999999999</c:v>
                </c:pt>
                <c:pt idx="43">
                  <c:v>1.974999999999999</c:v>
                </c:pt>
                <c:pt idx="44">
                  <c:v>1.974999999999999</c:v>
                </c:pt>
                <c:pt idx="45">
                  <c:v>1.974999999999999</c:v>
                </c:pt>
                <c:pt idx="47">
                  <c:v>1.649999999999999</c:v>
                </c:pt>
                <c:pt idx="48">
                  <c:v>1.649999999999999</c:v>
                </c:pt>
                <c:pt idx="49">
                  <c:v>1.649999999999999</c:v>
                </c:pt>
                <c:pt idx="50">
                  <c:v>1.649999999999999</c:v>
                </c:pt>
                <c:pt idx="51">
                  <c:v>1.649999999999999</c:v>
                </c:pt>
                <c:pt idx="54">
                  <c:v>1.3249999999999991</c:v>
                </c:pt>
                <c:pt idx="55">
                  <c:v>1.3249999999999991</c:v>
                </c:pt>
                <c:pt idx="56">
                  <c:v>1.3249999999999991</c:v>
                </c:pt>
                <c:pt idx="58">
                  <c:v>0.99999999999999911</c:v>
                </c:pt>
                <c:pt idx="59">
                  <c:v>0.99999999999999911</c:v>
                </c:pt>
                <c:pt idx="60">
                  <c:v>0.99999999999999911</c:v>
                </c:pt>
                <c:pt idx="61">
                  <c:v>0.99999999999999911</c:v>
                </c:pt>
                <c:pt idx="62">
                  <c:v>0.99999999999999911</c:v>
                </c:pt>
                <c:pt idx="63">
                  <c:v>0.99999999999999911</c:v>
                </c:pt>
                <c:pt idx="65">
                  <c:v>0.67499999999999916</c:v>
                </c:pt>
                <c:pt idx="66">
                  <c:v>0.67499999999999916</c:v>
                </c:pt>
                <c:pt idx="67">
                  <c:v>0.67499999999999916</c:v>
                </c:pt>
                <c:pt idx="68">
                  <c:v>0.67499999999999916</c:v>
                </c:pt>
                <c:pt idx="69">
                  <c:v>0.67499999999999916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AE-43A2-A9E6-417D98117E16}"/>
            </c:ext>
          </c:extLst>
        </c:ser>
        <c:ser>
          <c:idx val="8"/>
          <c:order val="3"/>
          <c:tx>
            <c:strRef>
              <c:f>'Figures - main'!$F$2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'Figures - main'!$F$74:$F$75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'Figures - main'!$H$74:$H$75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AE-43A2-A9E6-417D98117E16}"/>
            </c:ext>
          </c:extLst>
        </c:ser>
        <c:ser>
          <c:idx val="4"/>
          <c:order val="4"/>
          <c:tx>
            <c:strRef>
              <c:f>'Figures - main'!$G$2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'Figures - main'!$G$77:$G$78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'Figures - main'!$H$77:$H$78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AE-43A2-A9E6-417D9811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  <c:minorUnit val="50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342901</xdr:colOff>
      <xdr:row>0</xdr:row>
      <xdr:rowOff>152399</xdr:rowOff>
    </xdr:from>
    <xdr:to>
      <xdr:col>44</xdr:col>
      <xdr:colOff>3378</xdr:colOff>
      <xdr:row>22</xdr:row>
      <xdr:rowOff>3101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73D376-A136-4D07-BA18-0E4F232E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45276" y="3390899"/>
          <a:ext cx="5146877" cy="3856917"/>
        </a:xfrm>
        <a:prstGeom prst="rect">
          <a:avLst/>
        </a:prstGeom>
      </xdr:spPr>
    </xdr:pic>
    <xdr:clientData/>
  </xdr:twoCellAnchor>
  <xdr:twoCellAnchor editAs="oneCell">
    <xdr:from>
      <xdr:col>35</xdr:col>
      <xdr:colOff>314325</xdr:colOff>
      <xdr:row>0</xdr:row>
      <xdr:rowOff>0</xdr:rowOff>
    </xdr:from>
    <xdr:to>
      <xdr:col>42</xdr:col>
      <xdr:colOff>360932</xdr:colOff>
      <xdr:row>24</xdr:row>
      <xdr:rowOff>1030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195DF7-5FCC-4417-AE43-B65864089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50275" y="0"/>
          <a:ext cx="4447157" cy="4763530"/>
        </a:xfrm>
        <a:prstGeom prst="rect">
          <a:avLst/>
        </a:prstGeom>
      </xdr:spPr>
    </xdr:pic>
    <xdr:clientData/>
  </xdr:twoCellAnchor>
  <xdr:twoCellAnchor editAs="oneCell">
    <xdr:from>
      <xdr:col>35</xdr:col>
      <xdr:colOff>333376</xdr:colOff>
      <xdr:row>23</xdr:row>
      <xdr:rowOff>57150</xdr:rowOff>
    </xdr:from>
    <xdr:to>
      <xdr:col>43</xdr:col>
      <xdr:colOff>22694</xdr:colOff>
      <xdr:row>46</xdr:row>
      <xdr:rowOff>69403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ACAA04-3331-4447-A3B3-F9C2A7A5C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69326" y="4486275"/>
          <a:ext cx="4728043" cy="4075618"/>
        </a:xfrm>
        <a:prstGeom prst="rect">
          <a:avLst/>
        </a:prstGeom>
      </xdr:spPr>
    </xdr:pic>
    <xdr:clientData/>
  </xdr:twoCellAnchor>
  <xdr:twoCellAnchor editAs="oneCell">
    <xdr:from>
      <xdr:col>26</xdr:col>
      <xdr:colOff>364277</xdr:colOff>
      <xdr:row>55</xdr:row>
      <xdr:rowOff>95251</xdr:rowOff>
    </xdr:from>
    <xdr:to>
      <xdr:col>35</xdr:col>
      <xdr:colOff>136390</xdr:colOff>
      <xdr:row>86</xdr:row>
      <xdr:rowOff>22052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970027-DDE4-4734-8711-A27A1768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42377" y="10172701"/>
          <a:ext cx="5429963" cy="5247466"/>
        </a:xfrm>
        <a:prstGeom prst="rect">
          <a:avLst/>
        </a:prstGeom>
      </xdr:spPr>
    </xdr:pic>
    <xdr:clientData/>
  </xdr:twoCellAnchor>
  <xdr:twoCellAnchor editAs="oneCell">
    <xdr:from>
      <xdr:col>26</xdr:col>
      <xdr:colOff>112395</xdr:colOff>
      <xdr:row>0</xdr:row>
      <xdr:rowOff>7620</xdr:rowOff>
    </xdr:from>
    <xdr:to>
      <xdr:col>35</xdr:col>
      <xdr:colOff>75597</xdr:colOff>
      <xdr:row>19</xdr:row>
      <xdr:rowOff>2417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55C4B0-9457-4473-97F7-EEB68A641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90495" y="7620"/>
          <a:ext cx="5621052" cy="3717167"/>
        </a:xfrm>
        <a:prstGeom prst="rect">
          <a:avLst/>
        </a:prstGeom>
      </xdr:spPr>
    </xdr:pic>
    <xdr:clientData/>
  </xdr:twoCellAnchor>
  <xdr:twoCellAnchor editAs="oneCell">
    <xdr:from>
      <xdr:col>26</xdr:col>
      <xdr:colOff>160020</xdr:colOff>
      <xdr:row>18</xdr:row>
      <xdr:rowOff>137161</xdr:rowOff>
    </xdr:from>
    <xdr:to>
      <xdr:col>35</xdr:col>
      <xdr:colOff>136325</xdr:colOff>
      <xdr:row>35</xdr:row>
      <xdr:rowOff>44222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F21962-37F4-4B31-8CA6-F25C8B6C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38120" y="3709036"/>
          <a:ext cx="5639870" cy="2928391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</xdr:colOff>
      <xdr:row>0</xdr:row>
      <xdr:rowOff>0</xdr:rowOff>
    </xdr:from>
    <xdr:to>
      <xdr:col>25</xdr:col>
      <xdr:colOff>136783</xdr:colOff>
      <xdr:row>23</xdr:row>
      <xdr:rowOff>210704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06A868-3B74-4781-9B7B-001720BF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07880" y="0"/>
          <a:ext cx="5084068" cy="4639829"/>
        </a:xfrm>
        <a:prstGeom prst="rect">
          <a:avLst/>
        </a:prstGeom>
      </xdr:spPr>
    </xdr:pic>
    <xdr:clientData/>
  </xdr:twoCellAnchor>
  <xdr:twoCellAnchor editAs="oneCell">
    <xdr:from>
      <xdr:col>16</xdr:col>
      <xdr:colOff>561976</xdr:colOff>
      <xdr:row>22</xdr:row>
      <xdr:rowOff>152400</xdr:rowOff>
    </xdr:from>
    <xdr:to>
      <xdr:col>26</xdr:col>
      <xdr:colOff>387</xdr:colOff>
      <xdr:row>54</xdr:row>
      <xdr:rowOff>83032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7063E2-BF6A-467A-BBBB-00925BE1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53576" y="4410075"/>
          <a:ext cx="5717291" cy="5556097"/>
        </a:xfrm>
        <a:prstGeom prst="rect">
          <a:avLst/>
        </a:prstGeom>
      </xdr:spPr>
    </xdr:pic>
    <xdr:clientData/>
  </xdr:twoCellAnchor>
  <xdr:twoCellAnchor editAs="oneCell">
    <xdr:from>
      <xdr:col>16</xdr:col>
      <xdr:colOff>407670</xdr:colOff>
      <xdr:row>55</xdr:row>
      <xdr:rowOff>59056</xdr:rowOff>
    </xdr:from>
    <xdr:to>
      <xdr:col>26</xdr:col>
      <xdr:colOff>189042</xdr:colOff>
      <xdr:row>87</xdr:row>
      <xdr:rowOff>136304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23CE2D-A86B-4837-8029-B3FD9AEB6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9270" y="10136506"/>
          <a:ext cx="6067872" cy="55731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497205</xdr:colOff>
      <xdr:row>0</xdr:row>
      <xdr:rowOff>0</xdr:rowOff>
    </xdr:from>
    <xdr:to>
      <xdr:col>42</xdr:col>
      <xdr:colOff>553337</xdr:colOff>
      <xdr:row>26</xdr:row>
      <xdr:rowOff>35320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6161D1-6811-4A33-BAA2-8C8B77E6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3155" y="0"/>
          <a:ext cx="4447157" cy="4925455"/>
        </a:xfrm>
        <a:prstGeom prst="rect">
          <a:avLst/>
        </a:prstGeom>
      </xdr:spPr>
    </xdr:pic>
    <xdr:clientData/>
  </xdr:twoCellAnchor>
  <xdr:twoCellAnchor editAs="oneCell">
    <xdr:from>
      <xdr:col>35</xdr:col>
      <xdr:colOff>388621</xdr:colOff>
      <xdr:row>27</xdr:row>
      <xdr:rowOff>62865</xdr:rowOff>
    </xdr:from>
    <xdr:to>
      <xdr:col>43</xdr:col>
      <xdr:colOff>76034</xdr:colOff>
      <xdr:row>51</xdr:row>
      <xdr:rowOff>48448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7353DF-CE03-4D57-B925-AC578FB0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5596" y="5177790"/>
          <a:ext cx="4716613" cy="4262308"/>
        </a:xfrm>
        <a:prstGeom prst="rect">
          <a:avLst/>
        </a:prstGeom>
      </xdr:spPr>
    </xdr:pic>
    <xdr:clientData/>
  </xdr:twoCellAnchor>
  <xdr:twoCellAnchor editAs="oneCell">
    <xdr:from>
      <xdr:col>26</xdr:col>
      <xdr:colOff>364277</xdr:colOff>
      <xdr:row>56</xdr:row>
      <xdr:rowOff>95251</xdr:rowOff>
    </xdr:from>
    <xdr:to>
      <xdr:col>35</xdr:col>
      <xdr:colOff>136390</xdr:colOff>
      <xdr:row>87</xdr:row>
      <xdr:rowOff>22052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AA298E-FA09-40A3-AC74-EF7D1FC59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38567" y="10168891"/>
          <a:ext cx="5429963" cy="5249371"/>
        </a:xfrm>
        <a:prstGeom prst="rect">
          <a:avLst/>
        </a:prstGeom>
      </xdr:spPr>
    </xdr:pic>
    <xdr:clientData/>
  </xdr:twoCellAnchor>
  <xdr:twoCellAnchor editAs="oneCell">
    <xdr:from>
      <xdr:col>25</xdr:col>
      <xdr:colOff>586740</xdr:colOff>
      <xdr:row>0</xdr:row>
      <xdr:rowOff>0</xdr:rowOff>
    </xdr:from>
    <xdr:to>
      <xdr:col>34</xdr:col>
      <xdr:colOff>553752</xdr:colOff>
      <xdr:row>20</xdr:row>
      <xdr:rowOff>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2B62E9-8A90-4B7E-AFE2-ECB6C4EC0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36190" y="0"/>
          <a:ext cx="5621052" cy="3705737"/>
        </a:xfrm>
        <a:prstGeom prst="rect">
          <a:avLst/>
        </a:prstGeom>
      </xdr:spPr>
    </xdr:pic>
    <xdr:clientData/>
  </xdr:twoCellAnchor>
  <xdr:twoCellAnchor editAs="oneCell">
    <xdr:from>
      <xdr:col>26</xdr:col>
      <xdr:colOff>160020</xdr:colOff>
      <xdr:row>19</xdr:row>
      <xdr:rowOff>137161</xdr:rowOff>
    </xdr:from>
    <xdr:to>
      <xdr:col>35</xdr:col>
      <xdr:colOff>136325</xdr:colOff>
      <xdr:row>37</xdr:row>
      <xdr:rowOff>15647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520111-38FD-494E-9AF6-03DE1067B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40025" y="3705226"/>
          <a:ext cx="5636060" cy="2934106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</xdr:colOff>
      <xdr:row>0</xdr:row>
      <xdr:rowOff>0</xdr:rowOff>
    </xdr:from>
    <xdr:to>
      <xdr:col>25</xdr:col>
      <xdr:colOff>136783</xdr:colOff>
      <xdr:row>25</xdr:row>
      <xdr:rowOff>94499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FD4D3F-12F6-4C1C-97B2-E0A9F08F6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1690" y="0"/>
          <a:ext cx="5078353" cy="4636019"/>
        </a:xfrm>
        <a:prstGeom prst="rect">
          <a:avLst/>
        </a:prstGeom>
      </xdr:spPr>
    </xdr:pic>
    <xdr:clientData/>
  </xdr:twoCellAnchor>
  <xdr:twoCellAnchor editAs="oneCell">
    <xdr:from>
      <xdr:col>16</xdr:col>
      <xdr:colOff>561976</xdr:colOff>
      <xdr:row>23</xdr:row>
      <xdr:rowOff>152400</xdr:rowOff>
    </xdr:from>
    <xdr:to>
      <xdr:col>26</xdr:col>
      <xdr:colOff>387</xdr:colOff>
      <xdr:row>56</xdr:row>
      <xdr:rowOff>105892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845EE8-4041-4881-A34E-B20A77ACF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1671" y="4410075"/>
          <a:ext cx="5723006" cy="5552287"/>
        </a:xfrm>
        <a:prstGeom prst="rect">
          <a:avLst/>
        </a:prstGeom>
      </xdr:spPr>
    </xdr:pic>
    <xdr:clientData/>
  </xdr:twoCellAnchor>
  <xdr:twoCellAnchor editAs="oneCell">
    <xdr:from>
      <xdr:col>16</xdr:col>
      <xdr:colOff>407670</xdr:colOff>
      <xdr:row>56</xdr:row>
      <xdr:rowOff>59056</xdr:rowOff>
    </xdr:from>
    <xdr:to>
      <xdr:col>26</xdr:col>
      <xdr:colOff>189042</xdr:colOff>
      <xdr:row>88</xdr:row>
      <xdr:rowOff>136304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4551F6-3FEB-40FE-970F-6DBBF7ED8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7365" y="10132696"/>
          <a:ext cx="6069777" cy="55750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497205</xdr:colOff>
      <xdr:row>0</xdr:row>
      <xdr:rowOff>0</xdr:rowOff>
    </xdr:from>
    <xdr:to>
      <xdr:col>41</xdr:col>
      <xdr:colOff>549527</xdr:colOff>
      <xdr:row>28</xdr:row>
      <xdr:rowOff>56275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B3D5AF-41BD-478C-AD64-3271A5C8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3155" y="0"/>
          <a:ext cx="4449062" cy="4925455"/>
        </a:xfrm>
        <a:prstGeom prst="rect">
          <a:avLst/>
        </a:prstGeom>
      </xdr:spPr>
    </xdr:pic>
    <xdr:clientData/>
  </xdr:twoCellAnchor>
  <xdr:twoCellAnchor editAs="oneCell">
    <xdr:from>
      <xdr:col>34</xdr:col>
      <xdr:colOff>333376</xdr:colOff>
      <xdr:row>22</xdr:row>
      <xdr:rowOff>57150</xdr:rowOff>
    </xdr:from>
    <xdr:to>
      <xdr:col>42</xdr:col>
      <xdr:colOff>18884</xdr:colOff>
      <xdr:row>47</xdr:row>
      <xdr:rowOff>48448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49CE57-00E2-4877-ABD0-559E2878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67421" y="4482465"/>
          <a:ext cx="4720423" cy="4243258"/>
        </a:xfrm>
        <a:prstGeom prst="rect">
          <a:avLst/>
        </a:prstGeom>
      </xdr:spPr>
    </xdr:pic>
    <xdr:clientData/>
  </xdr:twoCellAnchor>
  <xdr:twoCellAnchor editAs="oneCell">
    <xdr:from>
      <xdr:col>25</xdr:col>
      <xdr:colOff>364277</xdr:colOff>
      <xdr:row>52</xdr:row>
      <xdr:rowOff>95251</xdr:rowOff>
    </xdr:from>
    <xdr:to>
      <xdr:col>34</xdr:col>
      <xdr:colOff>132580</xdr:colOff>
      <xdr:row>83</xdr:row>
      <xdr:rowOff>18242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C4F80F-33A8-4E9D-904F-3EBF214A0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38567" y="10168891"/>
          <a:ext cx="5433773" cy="5245561"/>
        </a:xfrm>
        <a:prstGeom prst="rect">
          <a:avLst/>
        </a:prstGeom>
      </xdr:spPr>
    </xdr:pic>
    <xdr:clientData/>
  </xdr:twoCellAnchor>
  <xdr:twoCellAnchor editAs="oneCell">
    <xdr:from>
      <xdr:col>24</xdr:col>
      <xdr:colOff>586740</xdr:colOff>
      <xdr:row>0</xdr:row>
      <xdr:rowOff>0</xdr:rowOff>
    </xdr:from>
    <xdr:to>
      <xdr:col>33</xdr:col>
      <xdr:colOff>549942</xdr:colOff>
      <xdr:row>21</xdr:row>
      <xdr:rowOff>152912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F094BC9-FCD7-4922-A6AE-FDEAE944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0"/>
          <a:ext cx="5621052" cy="3707642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21</xdr:row>
      <xdr:rowOff>38101</xdr:rowOff>
    </xdr:from>
    <xdr:to>
      <xdr:col>34</xdr:col>
      <xdr:colOff>20120</xdr:colOff>
      <xdr:row>41</xdr:row>
      <xdr:rowOff>48032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225E330-D5D3-40BF-8600-262A2EA5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16200" y="4295776"/>
          <a:ext cx="5630345" cy="3574186"/>
        </a:xfrm>
        <a:prstGeom prst="rect">
          <a:avLst/>
        </a:prstGeom>
      </xdr:spPr>
    </xdr:pic>
    <xdr:clientData/>
  </xdr:twoCellAnchor>
  <xdr:twoCellAnchor editAs="oneCell">
    <xdr:from>
      <xdr:col>16</xdr:col>
      <xdr:colOff>87630</xdr:colOff>
      <xdr:row>0</xdr:row>
      <xdr:rowOff>0</xdr:rowOff>
    </xdr:from>
    <xdr:to>
      <xdr:col>24</xdr:col>
      <xdr:colOff>132973</xdr:colOff>
      <xdr:row>27</xdr:row>
      <xdr:rowOff>60209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F2F546-0415-4123-9237-B558D1438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1690" y="0"/>
          <a:ext cx="5074543" cy="4794134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17146</xdr:colOff>
      <xdr:row>28</xdr:row>
      <xdr:rowOff>104775</xdr:rowOff>
    </xdr:from>
    <xdr:to>
      <xdr:col>25</xdr:col>
      <xdr:colOff>91827</xdr:colOff>
      <xdr:row>63</xdr:row>
      <xdr:rowOff>10642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C06D97-92C9-4C0B-AD99-BB57C9CC1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80321" y="5553075"/>
          <a:ext cx="5726816" cy="5893282"/>
        </a:xfrm>
        <a:prstGeom prst="rect">
          <a:avLst/>
        </a:prstGeom>
      </xdr:spPr>
    </xdr:pic>
    <xdr:clientData/>
  </xdr:twoCellAnchor>
  <xdr:twoCellAnchor editAs="oneCell">
    <xdr:from>
      <xdr:col>15</xdr:col>
      <xdr:colOff>407670</xdr:colOff>
      <xdr:row>52</xdr:row>
      <xdr:rowOff>59056</xdr:rowOff>
    </xdr:from>
    <xdr:to>
      <xdr:col>25</xdr:col>
      <xdr:colOff>189042</xdr:colOff>
      <xdr:row>84</xdr:row>
      <xdr:rowOff>132494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F7992E-501B-48F0-A67E-E0C1C9BF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7365" y="10132696"/>
          <a:ext cx="6069777" cy="55674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251373</xdr:colOff>
      <xdr:row>1</xdr:row>
      <xdr:rowOff>148081</xdr:rowOff>
    </xdr:from>
    <xdr:to>
      <xdr:col>20</xdr:col>
      <xdr:colOff>150407</xdr:colOff>
      <xdr:row>24</xdr:row>
      <xdr:rowOff>138555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D4F3D5-8A16-4121-A38E-278AA5E9D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116093</xdr:colOff>
      <xdr:row>26</xdr:row>
      <xdr:rowOff>68020</xdr:rowOff>
    </xdr:from>
    <xdr:to>
      <xdr:col>19</xdr:col>
      <xdr:colOff>192293</xdr:colOff>
      <xdr:row>51</xdr:row>
      <xdr:rowOff>36588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27638DE-B764-473F-A9BD-BDC6B3449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57150</xdr:colOff>
      <xdr:row>51</xdr:row>
      <xdr:rowOff>278130</xdr:rowOff>
    </xdr:from>
    <xdr:to>
      <xdr:col>19</xdr:col>
      <xdr:colOff>133350</xdr:colOff>
      <xdr:row>76</xdr:row>
      <xdr:rowOff>39053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C6B968-8862-4614-B358-B74C65669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142875</xdr:colOff>
      <xdr:row>77</xdr:row>
      <xdr:rowOff>125730</xdr:rowOff>
    </xdr:from>
    <xdr:to>
      <xdr:col>19</xdr:col>
      <xdr:colOff>219075</xdr:colOff>
      <xdr:row>102</xdr:row>
      <xdr:rowOff>92393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49646D-B0CD-42F1-9623-BE83A6399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0.35497</cdr:x>
      <cdr:y>0.26885</cdr:y>
    </cdr:from>
    <cdr:to>
      <cdr:x>0.38602</cdr:x>
      <cdr:y>0.32532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C603701C-58A1-2918-474F-FD6AC82E8028}"/>
            </a:ext>
          </a:extLst>
        </cdr:cNvPr>
        <cdr:cNvSpPr txBox="1"/>
      </cdr:nvSpPr>
      <cdr:spPr>
        <a:xfrm xmlns:a="http://schemas.openxmlformats.org/drawingml/2006/main">
          <a:off x="2112170" y="1211558"/>
          <a:ext cx="184730" cy="25449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0.24651</cdr:x>
      <cdr:y>0.04325</cdr:y>
    </cdr:from>
    <cdr:to>
      <cdr:x>0.28187</cdr:x>
      <cdr:y>0.30387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8A2930C3-0176-B672-D35D-1FA68F8B12F9}"/>
            </a:ext>
          </a:extLst>
        </cdr:cNvPr>
        <cdr:cNvSpPr/>
      </cdr:nvSpPr>
      <cdr:spPr>
        <a:xfrm xmlns:a="http://schemas.openxmlformats.org/drawingml/2006/main">
          <a:off x="1475163" y="198190"/>
          <a:ext cx="211581" cy="1194288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0.07344</cdr:x>
      <cdr:y>0.44699</cdr:y>
    </cdr:from>
    <cdr:to>
      <cdr:x>0.23852</cdr:x>
      <cdr:y>0.50253</cdr:y>
    </cdr:to>
    <cdr:sp macro="" textlink="">
      <cdr:nvSpPr>
        <cdr:cNvPr id="4" name="TextBox 15">
          <a:extLst xmlns:a="http://schemas.openxmlformats.org/drawingml/2006/main">
            <a:ext uri="{FF2B5EF4-FFF2-40B4-BE49-F238E27FC236}">
              <a16:creationId xmlns:a16="http://schemas.microsoft.com/office/drawing/2014/main" id="{B0896CA6-59BB-B375-9E1A-157ED34AE3B4}"/>
            </a:ext>
          </a:extLst>
        </cdr:cNvPr>
        <cdr:cNvSpPr txBox="1"/>
      </cdr:nvSpPr>
      <cdr:spPr>
        <a:xfrm xmlns:a="http://schemas.openxmlformats.org/drawingml/2006/main">
          <a:off x="439453" y="2048356"/>
          <a:ext cx="987898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Monthly costs</a:t>
          </a:r>
        </a:p>
      </cdr:txBody>
    </cdr:sp>
  </cdr:relSizeAnchor>
  <cdr:relSizeAnchor xmlns:cdr="http://schemas.openxmlformats.org/drawingml/2006/chartDrawing">
    <cdr:from>
      <cdr:x>0.25279</cdr:x>
      <cdr:y>0.33753</cdr:y>
    </cdr:from>
    <cdr:to>
      <cdr:x>0.28064</cdr:x>
      <cdr:y>0.61405</cdr:y>
    </cdr:to>
    <cdr:sp macro="" textlink="">
      <cdr:nvSpPr>
        <cdr:cNvPr id="5" name="Left Brace 4">
          <a:extLst xmlns:a="http://schemas.openxmlformats.org/drawingml/2006/main">
            <a:ext uri="{FF2B5EF4-FFF2-40B4-BE49-F238E27FC236}">
              <a16:creationId xmlns:a16="http://schemas.microsoft.com/office/drawing/2014/main" id="{4E12F8E8-9A21-2142-651D-B68D737FC709}"/>
            </a:ext>
          </a:extLst>
        </cdr:cNvPr>
        <cdr:cNvSpPr/>
      </cdr:nvSpPr>
      <cdr:spPr>
        <a:xfrm xmlns:a="http://schemas.openxmlformats.org/drawingml/2006/main">
          <a:off x="1512744" y="1546761"/>
          <a:ext cx="166673" cy="1267139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0.07829</cdr:x>
      <cdr:y>0.71059</cdr:y>
    </cdr:from>
    <cdr:to>
      <cdr:x>0.24351</cdr:x>
      <cdr:y>0.76451</cdr:y>
    </cdr:to>
    <cdr:sp macro="" textlink="">
      <cdr:nvSpPr>
        <cdr:cNvPr id="6" name="TextBox 15">
          <a:extLst xmlns:a="http://schemas.openxmlformats.org/drawingml/2006/main">
            <a:ext uri="{FF2B5EF4-FFF2-40B4-BE49-F238E27FC236}">
              <a16:creationId xmlns:a16="http://schemas.microsoft.com/office/drawing/2014/main" id="{B0896CA6-59BB-B375-9E1A-157ED34AE3B4}"/>
            </a:ext>
          </a:extLst>
        </cdr:cNvPr>
        <cdr:cNvSpPr txBox="1"/>
      </cdr:nvSpPr>
      <cdr:spPr>
        <a:xfrm xmlns:a="http://schemas.openxmlformats.org/drawingml/2006/main">
          <a:off x="468529" y="3256300"/>
          <a:ext cx="988668" cy="24711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Utility weights</a:t>
          </a:r>
        </a:p>
      </cdr:txBody>
    </cdr:sp>
  </cdr:relSizeAnchor>
  <cdr:relSizeAnchor xmlns:cdr="http://schemas.openxmlformats.org/drawingml/2006/chartDrawing">
    <cdr:from>
      <cdr:x>0.24314</cdr:x>
      <cdr:y>0.68338</cdr:y>
    </cdr:from>
    <cdr:to>
      <cdr:x>0.27827</cdr:x>
      <cdr:y>0.79935</cdr:y>
    </cdr:to>
    <cdr:sp macro="" textlink="">
      <cdr:nvSpPr>
        <cdr:cNvPr id="7" name="Left Brace 6">
          <a:extLst xmlns:a="http://schemas.openxmlformats.org/drawingml/2006/main">
            <a:ext uri="{FF2B5EF4-FFF2-40B4-BE49-F238E27FC236}">
              <a16:creationId xmlns:a16="http://schemas.microsoft.com/office/drawing/2014/main" id="{4E12F8E8-9A21-2142-651D-B68D737FC709}"/>
            </a:ext>
          </a:extLst>
        </cdr:cNvPr>
        <cdr:cNvSpPr/>
      </cdr:nvSpPr>
      <cdr:spPr>
        <a:xfrm xmlns:a="http://schemas.openxmlformats.org/drawingml/2006/main">
          <a:off x="1454997" y="3131618"/>
          <a:ext cx="210238" cy="531434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0.01284</cdr:x>
      <cdr:y>0.14385</cdr:y>
    </cdr:from>
    <cdr:to>
      <cdr:x>0.25366</cdr:x>
      <cdr:y>0.19827</cdr:y>
    </cdr:to>
    <cdr:sp macro="" textlink="">
      <cdr:nvSpPr>
        <cdr:cNvPr id="9" name="TextBox 15">
          <a:extLst xmlns:a="http://schemas.openxmlformats.org/drawingml/2006/main">
            <a:ext uri="{FF2B5EF4-FFF2-40B4-BE49-F238E27FC236}">
              <a16:creationId xmlns:a16="http://schemas.microsoft.com/office/drawing/2014/main" id="{1F9F4B84-05E3-D7AC-56BA-62889F677052}"/>
            </a:ext>
          </a:extLst>
        </cdr:cNvPr>
        <cdr:cNvSpPr txBox="1"/>
      </cdr:nvSpPr>
      <cdr:spPr>
        <a:xfrm xmlns:a="http://schemas.openxmlformats.org/drawingml/2006/main">
          <a:off x="77029" y="653306"/>
          <a:ext cx="1444626" cy="24711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0.54115</cdr:x>
      <cdr:y>0.67159</cdr:y>
    </cdr:from>
    <cdr:to>
      <cdr:x>0.6981</cdr:x>
      <cdr:y>0.82041</cdr:y>
    </cdr:to>
    <cdr:sp macro="" textlink="">
      <cdr:nvSpPr>
        <cdr:cNvPr id="11" name="TextBox 15">
          <a:extLst xmlns:a="http://schemas.openxmlformats.org/drawingml/2006/main">
            <a:ext uri="{FF2B5EF4-FFF2-40B4-BE49-F238E27FC236}">
              <a16:creationId xmlns:a16="http://schemas.microsoft.com/office/drawing/2014/main" id="{4C3D74EB-93D0-5D55-3B54-166408F5D365}"/>
            </a:ext>
          </a:extLst>
        </cdr:cNvPr>
        <cdr:cNvSpPr txBox="1"/>
      </cdr:nvSpPr>
      <cdr:spPr>
        <a:xfrm xmlns:a="http://schemas.openxmlformats.org/drawingml/2006/main">
          <a:off x="3238325" y="3077602"/>
          <a:ext cx="939227" cy="68195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 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</cdr:txBody>
    </cdr:sp>
  </cdr:relSizeAnchor>
  <cdr:relSizeAnchor xmlns:cdr="http://schemas.openxmlformats.org/drawingml/2006/chartDrawing">
    <cdr:from>
      <cdr:x>0.50715</cdr:x>
      <cdr:y>0.32378</cdr:y>
    </cdr:from>
    <cdr:to>
      <cdr:x>0.69992</cdr:x>
      <cdr:y>0.62616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942D3780-F967-86EA-7A8D-195FDFEED9D3}"/>
            </a:ext>
          </a:extLst>
        </cdr:cNvPr>
        <cdr:cNvSpPr txBox="1"/>
      </cdr:nvSpPr>
      <cdr:spPr>
        <a:xfrm xmlns:a="http://schemas.openxmlformats.org/drawingml/2006/main">
          <a:off x="3034898" y="1483756"/>
          <a:ext cx="1153578" cy="138564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Metastatic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disease</a:t>
          </a:r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0.32023</cdr:x>
      <cdr:y>0.04862</cdr:y>
    </cdr:from>
    <cdr:to>
      <cdr:x>0.70588</cdr:x>
      <cdr:y>0.30048</cdr:y>
    </cdr:to>
    <cdr:sp macro="" textlink="">
      <cdr:nvSpPr>
        <cdr:cNvPr id="14" name="TextBox 15">
          <a:extLst xmlns:a="http://schemas.openxmlformats.org/drawingml/2006/main">
            <a:ext uri="{FF2B5EF4-FFF2-40B4-BE49-F238E27FC236}">
              <a16:creationId xmlns:a16="http://schemas.microsoft.com/office/drawing/2014/main" id="{F2D32D94-867B-AA4C-D1BE-7BBB26943E9A}"/>
            </a:ext>
          </a:extLst>
        </cdr:cNvPr>
        <cdr:cNvSpPr txBox="1"/>
      </cdr:nvSpPr>
      <cdr:spPr>
        <a:xfrm xmlns:a="http://schemas.openxmlformats.org/drawingml/2006/main">
          <a:off x="1916313" y="222816"/>
          <a:ext cx="2307807" cy="11541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Progression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to </a:t>
          </a: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to metastatic disease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 to metastatic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disease</a:t>
          </a:r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0.1995</cdr:x>
      <cdr:y>0.71152</cdr:y>
    </cdr:from>
    <cdr:to>
      <cdr:x>0.37766</cdr:x>
      <cdr:y>0.76381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B6A001D8-FDAE-A95A-0BB7-DEB57ACFDF5C}"/>
            </a:ext>
          </a:extLst>
        </cdr:cNvPr>
        <cdr:cNvSpPr txBox="1"/>
      </cdr:nvSpPr>
      <cdr:spPr>
        <a:xfrm xmlns:a="http://schemas.openxmlformats.org/drawingml/2006/main">
          <a:off x="1107122" y="3362398"/>
          <a:ext cx="988669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0.41308</cdr:x>
      <cdr:y>0.04958</cdr:y>
    </cdr:from>
    <cdr:to>
      <cdr:x>0.44542</cdr:x>
      <cdr:y>0.3085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7E5F3772-8329-FE02-F94D-83E8B3390F1E}"/>
            </a:ext>
          </a:extLst>
        </cdr:cNvPr>
        <cdr:cNvSpPr/>
      </cdr:nvSpPr>
      <cdr:spPr>
        <a:xfrm xmlns:a="http://schemas.openxmlformats.org/drawingml/2006/main">
          <a:off x="2292351" y="234289"/>
          <a:ext cx="179468" cy="1223596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0.22512</cdr:x>
      <cdr:y>0.44778</cdr:y>
    </cdr:from>
    <cdr:to>
      <cdr:x>0.39655</cdr:x>
      <cdr:y>0.50007</cdr:y>
    </cdr:to>
    <cdr:sp macro="" textlink="">
      <cdr:nvSpPr>
        <cdr:cNvPr id="4" name="TextBox 15">
          <a:extLst xmlns:a="http://schemas.openxmlformats.org/drawingml/2006/main">
            <a:ext uri="{FF2B5EF4-FFF2-40B4-BE49-F238E27FC236}">
              <a16:creationId xmlns:a16="http://schemas.microsoft.com/office/drawing/2014/main" id="{C82F4B7F-2583-BF0D-EF49-F56D32D39612}"/>
            </a:ext>
          </a:extLst>
        </cdr:cNvPr>
        <cdr:cNvSpPr txBox="1"/>
      </cdr:nvSpPr>
      <cdr:spPr>
        <a:xfrm xmlns:a="http://schemas.openxmlformats.org/drawingml/2006/main">
          <a:off x="1249258" y="2116043"/>
          <a:ext cx="951350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Monthly costs</a:t>
          </a:r>
        </a:p>
      </cdr:txBody>
    </cdr:sp>
  </cdr:relSizeAnchor>
  <cdr:relSizeAnchor xmlns:cdr="http://schemas.openxmlformats.org/drawingml/2006/chartDrawing">
    <cdr:from>
      <cdr:x>0.41588</cdr:x>
      <cdr:y>0.33993</cdr:y>
    </cdr:from>
    <cdr:to>
      <cdr:x>0.44383</cdr:x>
      <cdr:y>0.6124</cdr:y>
    </cdr:to>
    <cdr:sp macro="" textlink="">
      <cdr:nvSpPr>
        <cdr:cNvPr id="5" name="Left Brace 4">
          <a:extLst xmlns:a="http://schemas.openxmlformats.org/drawingml/2006/main">
            <a:ext uri="{FF2B5EF4-FFF2-40B4-BE49-F238E27FC236}">
              <a16:creationId xmlns:a16="http://schemas.microsoft.com/office/drawing/2014/main" id="{4FB79776-659C-7479-8AC5-2A10398DC661}"/>
            </a:ext>
          </a:extLst>
        </cdr:cNvPr>
        <cdr:cNvSpPr/>
      </cdr:nvSpPr>
      <cdr:spPr>
        <a:xfrm xmlns:a="http://schemas.openxmlformats.org/drawingml/2006/main">
          <a:off x="2307884" y="1606392"/>
          <a:ext cx="155100" cy="1287570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0.13491</cdr:x>
      <cdr:y>0.14496</cdr:y>
    </cdr:from>
    <cdr:to>
      <cdr:x>0.39462</cdr:x>
      <cdr:y>0.19781</cdr:y>
    </cdr:to>
    <cdr:sp macro="" textlink="">
      <cdr:nvSpPr>
        <cdr:cNvPr id="6" name="TextBox 15">
          <a:extLst xmlns:a="http://schemas.openxmlformats.org/drawingml/2006/main">
            <a:ext uri="{FF2B5EF4-FFF2-40B4-BE49-F238E27FC236}">
              <a16:creationId xmlns:a16="http://schemas.microsoft.com/office/drawing/2014/main" id="{1F47AB82-1058-E82C-DFA4-3ED8836EBC12}"/>
            </a:ext>
          </a:extLst>
        </cdr:cNvPr>
        <cdr:cNvSpPr txBox="1"/>
      </cdr:nvSpPr>
      <cdr:spPr>
        <a:xfrm xmlns:a="http://schemas.openxmlformats.org/drawingml/2006/main">
          <a:off x="750471" y="677813"/>
          <a:ext cx="1444626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0.41554</cdr:x>
      <cdr:y>0.66172</cdr:y>
    </cdr:from>
    <cdr:to>
      <cdr:x>0.44787</cdr:x>
      <cdr:y>0.81922</cdr:y>
    </cdr:to>
    <cdr:sp macro="" textlink="">
      <cdr:nvSpPr>
        <cdr:cNvPr id="7" name="Left Brace 6">
          <a:extLst xmlns:a="http://schemas.openxmlformats.org/drawingml/2006/main">
            <a:ext uri="{FF2B5EF4-FFF2-40B4-BE49-F238E27FC236}">
              <a16:creationId xmlns:a16="http://schemas.microsoft.com/office/drawing/2014/main" id="{8CF8536E-3CEF-6A2A-B718-23242FA6D626}"/>
            </a:ext>
          </a:extLst>
        </cdr:cNvPr>
        <cdr:cNvSpPr/>
      </cdr:nvSpPr>
      <cdr:spPr>
        <a:xfrm xmlns:a="http://schemas.openxmlformats.org/drawingml/2006/main">
          <a:off x="2294716" y="3065182"/>
          <a:ext cx="178556" cy="72952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0.77126</cdr:x>
      <cdr:y>0.67423</cdr:y>
    </cdr:from>
    <cdr:to>
      <cdr:x>0.94747</cdr:x>
      <cdr:y>0.8186</cdr:y>
    </cdr:to>
    <cdr:sp macro="" textlink="">
      <cdr:nvSpPr>
        <cdr:cNvPr id="8" name="TextBox 15">
          <a:extLst xmlns:a="http://schemas.openxmlformats.org/drawingml/2006/main">
            <a:ext uri="{FF2B5EF4-FFF2-40B4-BE49-F238E27FC236}">
              <a16:creationId xmlns:a16="http://schemas.microsoft.com/office/drawing/2014/main" id="{D98B6F8B-A9BD-DECE-B2C2-1A1FEAB9A30D}"/>
            </a:ext>
          </a:extLst>
        </cdr:cNvPr>
        <cdr:cNvSpPr txBox="1"/>
      </cdr:nvSpPr>
      <cdr:spPr>
        <a:xfrm xmlns:a="http://schemas.openxmlformats.org/drawingml/2006/main">
          <a:off x="4280061" y="3186163"/>
          <a:ext cx="977828" cy="6822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 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</cdr:txBody>
    </cdr:sp>
  </cdr:relSizeAnchor>
  <cdr:relSizeAnchor xmlns:cdr="http://schemas.openxmlformats.org/drawingml/2006/chartDrawing">
    <cdr:from>
      <cdr:x>0.60901</cdr:x>
      <cdr:y>0.31823</cdr:y>
    </cdr:from>
    <cdr:to>
      <cdr:x>0.94181</cdr:x>
      <cdr:y>0.61762</cdr:y>
    </cdr:to>
    <cdr:sp macro="" textlink="">
      <cdr:nvSpPr>
        <cdr:cNvPr id="9" name="TextBox 15">
          <a:extLst xmlns:a="http://schemas.openxmlformats.org/drawingml/2006/main">
            <a:ext uri="{FF2B5EF4-FFF2-40B4-BE49-F238E27FC236}">
              <a16:creationId xmlns:a16="http://schemas.microsoft.com/office/drawing/2014/main" id="{B7AFE186-2DF5-8585-143C-D9F712980BC2}"/>
            </a:ext>
          </a:extLst>
        </cdr:cNvPr>
        <cdr:cNvSpPr txBox="1"/>
      </cdr:nvSpPr>
      <cdr:spPr>
        <a:xfrm xmlns:a="http://schemas.openxmlformats.org/drawingml/2006/main">
          <a:off x="3387706" y="1488007"/>
          <a:ext cx="1851228" cy="139989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Cystectomy</a:t>
          </a:r>
        </a:p>
        <a:p xmlns:a="http://schemas.openxmlformats.org/drawingml/2006/main">
          <a:pPr algn="r"/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</a:t>
          </a:r>
        </a:p>
        <a:p xmlns:a="http://schemas.openxmlformats.org/drawingml/2006/main">
          <a:pPr algn="r"/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Metastatic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disease</a:t>
          </a:r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0.68544</cdr:x>
      <cdr:y>0.05291</cdr:y>
    </cdr:from>
    <cdr:to>
      <cdr:x>0.94029</cdr:x>
      <cdr:y>0.29714</cdr:y>
    </cdr:to>
    <cdr:sp macro="" textlink="">
      <cdr:nvSpPr>
        <cdr:cNvPr id="10" name="TextBox 15">
          <a:extLst xmlns:a="http://schemas.openxmlformats.org/drawingml/2006/main">
            <a:ext uri="{FF2B5EF4-FFF2-40B4-BE49-F238E27FC236}">
              <a16:creationId xmlns:a16="http://schemas.microsoft.com/office/drawing/2014/main" id="{78925323-92EC-0A04-A891-2C36F9C53661}"/>
            </a:ext>
          </a:extLst>
        </cdr:cNvPr>
        <cdr:cNvSpPr txBox="1"/>
      </cdr:nvSpPr>
      <cdr:spPr>
        <a:xfrm xmlns:a="http://schemas.openxmlformats.org/drawingml/2006/main">
          <a:off x="3803811" y="250015"/>
          <a:ext cx="1414231" cy="11541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Progression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to </a:t>
          </a: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to metastatic disease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 to metastatic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disease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0.17921</cdr:x>
      <cdr:y>0.69707</cdr:y>
    </cdr:from>
    <cdr:to>
      <cdr:x>0.35737</cdr:x>
      <cdr:y>0.74946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B6A001D8-FDAE-A95A-0BB7-DEB57ACFDF5C}"/>
            </a:ext>
          </a:extLst>
        </cdr:cNvPr>
        <cdr:cNvSpPr txBox="1"/>
      </cdr:nvSpPr>
      <cdr:spPr>
        <a:xfrm xmlns:a="http://schemas.openxmlformats.org/drawingml/2006/main">
          <a:off x="994532" y="3288404"/>
          <a:ext cx="988669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0.36255</cdr:x>
      <cdr:y>0.03732</cdr:y>
    </cdr:from>
    <cdr:to>
      <cdr:x>0.39488</cdr:x>
      <cdr:y>0.27882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7E5F3772-8329-FE02-F94D-83E8B3390F1E}"/>
            </a:ext>
          </a:extLst>
        </cdr:cNvPr>
        <cdr:cNvSpPr/>
      </cdr:nvSpPr>
      <cdr:spPr>
        <a:xfrm xmlns:a="http://schemas.openxmlformats.org/drawingml/2006/main">
          <a:off x="2011928" y="176058"/>
          <a:ext cx="179413" cy="113927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0.16533</cdr:x>
      <cdr:y>0.43566</cdr:y>
    </cdr:from>
    <cdr:to>
      <cdr:x>0.33676</cdr:x>
      <cdr:y>0.48804</cdr:y>
    </cdr:to>
    <cdr:sp macro="" textlink="">
      <cdr:nvSpPr>
        <cdr:cNvPr id="4" name="TextBox 15">
          <a:extLst xmlns:a="http://schemas.openxmlformats.org/drawingml/2006/main">
            <a:ext uri="{FF2B5EF4-FFF2-40B4-BE49-F238E27FC236}">
              <a16:creationId xmlns:a16="http://schemas.microsoft.com/office/drawing/2014/main" id="{C82F4B7F-2583-BF0D-EF49-F56D32D39612}"/>
            </a:ext>
          </a:extLst>
        </cdr:cNvPr>
        <cdr:cNvSpPr txBox="1"/>
      </cdr:nvSpPr>
      <cdr:spPr>
        <a:xfrm xmlns:a="http://schemas.openxmlformats.org/drawingml/2006/main">
          <a:off x="917493" y="2055204"/>
          <a:ext cx="951350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Monthly costs</a:t>
          </a:r>
        </a:p>
      </cdr:txBody>
    </cdr:sp>
  </cdr:relSizeAnchor>
  <cdr:relSizeAnchor xmlns:cdr="http://schemas.openxmlformats.org/drawingml/2006/chartDrawing">
    <cdr:from>
      <cdr:x>0.37327</cdr:x>
      <cdr:y>0.31684</cdr:y>
    </cdr:from>
    <cdr:to>
      <cdr:x>0.39968</cdr:x>
      <cdr:y>0.60809</cdr:y>
    </cdr:to>
    <cdr:sp macro="" textlink="">
      <cdr:nvSpPr>
        <cdr:cNvPr id="5" name="Left Brace 4">
          <a:extLst xmlns:a="http://schemas.openxmlformats.org/drawingml/2006/main">
            <a:ext uri="{FF2B5EF4-FFF2-40B4-BE49-F238E27FC236}">
              <a16:creationId xmlns:a16="http://schemas.microsoft.com/office/drawing/2014/main" id="{4FB79776-659C-7479-8AC5-2A10398DC661}"/>
            </a:ext>
          </a:extLst>
        </cdr:cNvPr>
        <cdr:cNvSpPr/>
      </cdr:nvSpPr>
      <cdr:spPr>
        <a:xfrm xmlns:a="http://schemas.openxmlformats.org/drawingml/2006/main">
          <a:off x="2071423" y="1494653"/>
          <a:ext cx="146583" cy="1373983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0.09545</cdr:x>
      <cdr:y>0.13235</cdr:y>
    </cdr:from>
    <cdr:to>
      <cdr:x>0.35515</cdr:x>
      <cdr:y>0.18524</cdr:y>
    </cdr:to>
    <cdr:sp macro="" textlink="">
      <cdr:nvSpPr>
        <cdr:cNvPr id="6" name="TextBox 15">
          <a:extLst xmlns:a="http://schemas.openxmlformats.org/drawingml/2006/main">
            <a:ext uri="{FF2B5EF4-FFF2-40B4-BE49-F238E27FC236}">
              <a16:creationId xmlns:a16="http://schemas.microsoft.com/office/drawing/2014/main" id="{1F47AB82-1058-E82C-DFA4-3ED8836EBC12}"/>
            </a:ext>
          </a:extLst>
        </cdr:cNvPr>
        <cdr:cNvSpPr txBox="1"/>
      </cdr:nvSpPr>
      <cdr:spPr>
        <a:xfrm xmlns:a="http://schemas.openxmlformats.org/drawingml/2006/main">
          <a:off x="530941" y="618327"/>
          <a:ext cx="1444626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0.37293</cdr:x>
      <cdr:y>0.64969</cdr:y>
    </cdr:from>
    <cdr:to>
      <cdr:x>0.40526</cdr:x>
      <cdr:y>0.8072</cdr:y>
    </cdr:to>
    <cdr:sp macro="" textlink="">
      <cdr:nvSpPr>
        <cdr:cNvPr id="7" name="Left Brace 6">
          <a:extLst xmlns:a="http://schemas.openxmlformats.org/drawingml/2006/main">
            <a:ext uri="{FF2B5EF4-FFF2-40B4-BE49-F238E27FC236}">
              <a16:creationId xmlns:a16="http://schemas.microsoft.com/office/drawing/2014/main" id="{8CF8536E-3CEF-6A2A-B718-23242FA6D626}"/>
            </a:ext>
          </a:extLst>
        </cdr:cNvPr>
        <cdr:cNvSpPr/>
      </cdr:nvSpPr>
      <cdr:spPr>
        <a:xfrm xmlns:a="http://schemas.openxmlformats.org/drawingml/2006/main">
          <a:off x="2059391" y="3009153"/>
          <a:ext cx="178556" cy="72952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0.68562</cdr:x>
      <cdr:y>0.6615</cdr:y>
    </cdr:from>
    <cdr:to>
      <cdr:x>0.88871</cdr:x>
      <cdr:y>0.80612</cdr:y>
    </cdr:to>
    <cdr:sp macro="" textlink="">
      <cdr:nvSpPr>
        <cdr:cNvPr id="8" name="TextBox 15">
          <a:extLst xmlns:a="http://schemas.openxmlformats.org/drawingml/2006/main">
            <a:ext uri="{FF2B5EF4-FFF2-40B4-BE49-F238E27FC236}">
              <a16:creationId xmlns:a16="http://schemas.microsoft.com/office/drawing/2014/main" id="{D98B6F8B-A9BD-DECE-B2C2-1A1FEAB9A30D}"/>
            </a:ext>
          </a:extLst>
        </cdr:cNvPr>
        <cdr:cNvSpPr txBox="1"/>
      </cdr:nvSpPr>
      <cdr:spPr>
        <a:xfrm xmlns:a="http://schemas.openxmlformats.org/drawingml/2006/main">
          <a:off x="3813809" y="3118281"/>
          <a:ext cx="1129721" cy="6817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 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</cdr:txBody>
    </cdr:sp>
  </cdr:relSizeAnchor>
  <cdr:relSizeAnchor xmlns:cdr="http://schemas.openxmlformats.org/drawingml/2006/chartDrawing">
    <cdr:from>
      <cdr:x>0.65824</cdr:x>
      <cdr:y>0.31265</cdr:y>
    </cdr:from>
    <cdr:to>
      <cdr:x>0.88374</cdr:x>
      <cdr:y>0.62328</cdr:y>
    </cdr:to>
    <cdr:sp macro="" textlink="">
      <cdr:nvSpPr>
        <cdr:cNvPr id="9" name="TextBox 15">
          <a:extLst xmlns:a="http://schemas.openxmlformats.org/drawingml/2006/main">
            <a:ext uri="{FF2B5EF4-FFF2-40B4-BE49-F238E27FC236}">
              <a16:creationId xmlns:a16="http://schemas.microsoft.com/office/drawing/2014/main" id="{B7AFE186-2DF5-8585-143C-D9F712980BC2}"/>
            </a:ext>
          </a:extLst>
        </cdr:cNvPr>
        <cdr:cNvSpPr txBox="1"/>
      </cdr:nvSpPr>
      <cdr:spPr>
        <a:xfrm xmlns:a="http://schemas.openxmlformats.org/drawingml/2006/main">
          <a:off x="3661516" y="1460695"/>
          <a:ext cx="1254367" cy="145127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Cystectomy</a:t>
          </a:r>
        </a:p>
        <a:p xmlns:a="http://schemas.openxmlformats.org/drawingml/2006/main">
          <a:pPr algn="r"/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Metastatic disease</a:t>
          </a:r>
        </a:p>
      </cdr:txBody>
    </cdr:sp>
  </cdr:relSizeAnchor>
  <cdr:relSizeAnchor xmlns:cdr="http://schemas.openxmlformats.org/drawingml/2006/chartDrawing">
    <cdr:from>
      <cdr:x>0.65217</cdr:x>
      <cdr:y>0.05853</cdr:y>
    </cdr:from>
    <cdr:to>
      <cdr:x>0.88812</cdr:x>
      <cdr:y>0.30319</cdr:y>
    </cdr:to>
    <cdr:sp macro="" textlink="">
      <cdr:nvSpPr>
        <cdr:cNvPr id="10" name="TextBox 15">
          <a:extLst xmlns:a="http://schemas.openxmlformats.org/drawingml/2006/main">
            <a:ext uri="{FF2B5EF4-FFF2-40B4-BE49-F238E27FC236}">
              <a16:creationId xmlns:a16="http://schemas.microsoft.com/office/drawing/2014/main" id="{78925323-92EC-0A04-A891-2C36F9C53661}"/>
            </a:ext>
          </a:extLst>
        </cdr:cNvPr>
        <cdr:cNvSpPr txBox="1"/>
      </cdr:nvSpPr>
      <cdr:spPr>
        <a:xfrm xmlns:a="http://schemas.openxmlformats.org/drawingml/2006/main">
          <a:off x="3627778" y="275896"/>
          <a:ext cx="1312453" cy="115330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Progression to 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to metastatic disease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 to metastatic disease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0.23806</cdr:x>
      <cdr:y>0.70243</cdr:y>
    </cdr:from>
    <cdr:to>
      <cdr:x>0.41622</cdr:x>
      <cdr:y>0.75476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B6A001D8-FDAE-A95A-0BB7-DEB57ACFDF5C}"/>
            </a:ext>
          </a:extLst>
        </cdr:cNvPr>
        <cdr:cNvSpPr txBox="1"/>
      </cdr:nvSpPr>
      <cdr:spPr>
        <a:xfrm xmlns:a="http://schemas.openxmlformats.org/drawingml/2006/main">
          <a:off x="1321111" y="3316743"/>
          <a:ext cx="988669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0.43491</cdr:x>
      <cdr:y>0.0463</cdr:y>
    </cdr:from>
    <cdr:to>
      <cdr:x>0.4666</cdr:x>
      <cdr:y>0.29768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7E5F3772-8329-FE02-F94D-83E8B3390F1E}"/>
            </a:ext>
          </a:extLst>
        </cdr:cNvPr>
        <cdr:cNvSpPr/>
      </cdr:nvSpPr>
      <cdr:spPr>
        <a:xfrm xmlns:a="http://schemas.openxmlformats.org/drawingml/2006/main">
          <a:off x="2413486" y="218636"/>
          <a:ext cx="175848" cy="1186962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0.23932</cdr:x>
      <cdr:y>0.45175</cdr:y>
    </cdr:from>
    <cdr:to>
      <cdr:x>0.41075</cdr:x>
      <cdr:y>0.50408</cdr:y>
    </cdr:to>
    <cdr:sp macro="" textlink="">
      <cdr:nvSpPr>
        <cdr:cNvPr id="4" name="TextBox 15">
          <a:extLst xmlns:a="http://schemas.openxmlformats.org/drawingml/2006/main">
            <a:ext uri="{FF2B5EF4-FFF2-40B4-BE49-F238E27FC236}">
              <a16:creationId xmlns:a16="http://schemas.microsoft.com/office/drawing/2014/main" id="{C82F4B7F-2583-BF0D-EF49-F56D32D39612}"/>
            </a:ext>
          </a:extLst>
        </cdr:cNvPr>
        <cdr:cNvSpPr txBox="1"/>
      </cdr:nvSpPr>
      <cdr:spPr>
        <a:xfrm xmlns:a="http://schemas.openxmlformats.org/drawingml/2006/main">
          <a:off x="1328060" y="2133085"/>
          <a:ext cx="951350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Monthly costs</a:t>
          </a:r>
        </a:p>
      </cdr:txBody>
    </cdr:sp>
  </cdr:relSizeAnchor>
  <cdr:relSizeAnchor xmlns:cdr="http://schemas.openxmlformats.org/drawingml/2006/chartDrawing">
    <cdr:from>
      <cdr:x>0.43755</cdr:x>
      <cdr:y>0.3314</cdr:y>
    </cdr:from>
    <cdr:to>
      <cdr:x>0.46269</cdr:x>
      <cdr:y>0.62354</cdr:y>
    </cdr:to>
    <cdr:sp macro="" textlink="">
      <cdr:nvSpPr>
        <cdr:cNvPr id="5" name="Left Brace 4">
          <a:extLst xmlns:a="http://schemas.openxmlformats.org/drawingml/2006/main">
            <a:ext uri="{FF2B5EF4-FFF2-40B4-BE49-F238E27FC236}">
              <a16:creationId xmlns:a16="http://schemas.microsoft.com/office/drawing/2014/main" id="{4FB79776-659C-7479-8AC5-2A10398DC661}"/>
            </a:ext>
          </a:extLst>
        </cdr:cNvPr>
        <cdr:cNvSpPr/>
      </cdr:nvSpPr>
      <cdr:spPr>
        <a:xfrm xmlns:a="http://schemas.openxmlformats.org/drawingml/2006/main">
          <a:off x="2428142" y="1564811"/>
          <a:ext cx="139518" cy="1379440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0.15369</cdr:x>
      <cdr:y>0.13268</cdr:y>
    </cdr:from>
    <cdr:to>
      <cdr:x>0.41339</cdr:x>
      <cdr:y>0.18557</cdr:y>
    </cdr:to>
    <cdr:sp macro="" textlink="">
      <cdr:nvSpPr>
        <cdr:cNvPr id="6" name="TextBox 15">
          <a:extLst xmlns:a="http://schemas.openxmlformats.org/drawingml/2006/main">
            <a:ext uri="{FF2B5EF4-FFF2-40B4-BE49-F238E27FC236}">
              <a16:creationId xmlns:a16="http://schemas.microsoft.com/office/drawing/2014/main" id="{1F47AB82-1058-E82C-DFA4-3ED8836EBC12}"/>
            </a:ext>
          </a:extLst>
        </cdr:cNvPr>
        <cdr:cNvSpPr txBox="1"/>
      </cdr:nvSpPr>
      <cdr:spPr>
        <a:xfrm xmlns:a="http://schemas.openxmlformats.org/drawingml/2006/main">
          <a:off x="854895" y="619876"/>
          <a:ext cx="1444626" cy="2471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0.42974</cdr:x>
      <cdr:y>0.6825</cdr:y>
    </cdr:from>
    <cdr:to>
      <cdr:x>0.46528</cdr:x>
      <cdr:y>0.81263</cdr:y>
    </cdr:to>
    <cdr:sp macro="" textlink="">
      <cdr:nvSpPr>
        <cdr:cNvPr id="7" name="Left Brace 6">
          <a:extLst xmlns:a="http://schemas.openxmlformats.org/drawingml/2006/main">
            <a:ext uri="{FF2B5EF4-FFF2-40B4-BE49-F238E27FC236}">
              <a16:creationId xmlns:a16="http://schemas.microsoft.com/office/drawing/2014/main" id="{8CF8536E-3CEF-6A2A-B718-23242FA6D626}"/>
            </a:ext>
          </a:extLst>
        </cdr:cNvPr>
        <cdr:cNvSpPr/>
      </cdr:nvSpPr>
      <cdr:spPr>
        <a:xfrm xmlns:a="http://schemas.openxmlformats.org/drawingml/2006/main">
          <a:off x="2384804" y="3222674"/>
          <a:ext cx="197204" cy="614432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0.73594</cdr:x>
      <cdr:y>0.68395</cdr:y>
    </cdr:from>
    <cdr:to>
      <cdr:x>0.94472</cdr:x>
      <cdr:y>0.82844</cdr:y>
    </cdr:to>
    <cdr:sp macro="" textlink="">
      <cdr:nvSpPr>
        <cdr:cNvPr id="8" name="TextBox 15">
          <a:extLst xmlns:a="http://schemas.openxmlformats.org/drawingml/2006/main">
            <a:ext uri="{FF2B5EF4-FFF2-40B4-BE49-F238E27FC236}">
              <a16:creationId xmlns:a16="http://schemas.microsoft.com/office/drawing/2014/main" id="{D98B6F8B-A9BD-DECE-B2C2-1A1FEAB9A30D}"/>
            </a:ext>
          </a:extLst>
        </cdr:cNvPr>
        <cdr:cNvSpPr txBox="1"/>
      </cdr:nvSpPr>
      <cdr:spPr>
        <a:xfrm xmlns:a="http://schemas.openxmlformats.org/drawingml/2006/main">
          <a:off x="4084027" y="3229508"/>
          <a:ext cx="1158611" cy="6822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 NMIBC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</cdr:txBody>
    </cdr:sp>
  </cdr:relSizeAnchor>
  <cdr:relSizeAnchor xmlns:cdr="http://schemas.openxmlformats.org/drawingml/2006/chartDrawing">
    <cdr:from>
      <cdr:x>0.76909</cdr:x>
      <cdr:y>0.31509</cdr:y>
    </cdr:from>
    <cdr:to>
      <cdr:x>0.93714</cdr:x>
      <cdr:y>0.61955</cdr:y>
    </cdr:to>
    <cdr:sp macro="" textlink="">
      <cdr:nvSpPr>
        <cdr:cNvPr id="9" name="TextBox 15">
          <a:extLst xmlns:a="http://schemas.openxmlformats.org/drawingml/2006/main">
            <a:ext uri="{FF2B5EF4-FFF2-40B4-BE49-F238E27FC236}">
              <a16:creationId xmlns:a16="http://schemas.microsoft.com/office/drawing/2014/main" id="{B7AFE186-2DF5-8585-143C-D9F712980BC2}"/>
            </a:ext>
          </a:extLst>
        </cdr:cNvPr>
        <cdr:cNvSpPr txBox="1"/>
      </cdr:nvSpPr>
      <cdr:spPr>
        <a:xfrm xmlns:a="http://schemas.openxmlformats.org/drawingml/2006/main">
          <a:off x="4278142" y="1472127"/>
          <a:ext cx="934803" cy="14224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Disease-free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 NMIBC</a:t>
          </a:r>
        </a:p>
        <a:p xmlns:a="http://schemas.openxmlformats.org/drawingml/2006/main">
          <a:pPr algn="r"/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  <a:endParaRPr lang="en-US" sz="800">
            <a:effectLst/>
          </a:endParaRP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Cystectomy</a:t>
          </a:r>
          <a:endParaRPr lang="en-US" sz="800">
            <a:effectLst/>
          </a:endParaRP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</a:t>
          </a:r>
          <a:endParaRPr lang="en-US" sz="800">
            <a:effectLst/>
          </a:endParaRP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Metastatic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disease</a:t>
          </a:r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0.57235</cdr:x>
      <cdr:y>0.04888</cdr:y>
    </cdr:from>
    <cdr:to>
      <cdr:x>0.9437</cdr:x>
      <cdr:y>0.29331</cdr:y>
    </cdr:to>
    <cdr:sp macro="" textlink="">
      <cdr:nvSpPr>
        <cdr:cNvPr id="10" name="TextBox 15">
          <a:extLst xmlns:a="http://schemas.openxmlformats.org/drawingml/2006/main">
            <a:ext uri="{FF2B5EF4-FFF2-40B4-BE49-F238E27FC236}">
              <a16:creationId xmlns:a16="http://schemas.microsoft.com/office/drawing/2014/main" id="{78925323-92EC-0A04-A891-2C36F9C53661}"/>
            </a:ext>
          </a:extLst>
        </cdr:cNvPr>
        <cdr:cNvSpPr txBox="1"/>
      </cdr:nvSpPr>
      <cdr:spPr>
        <a:xfrm xmlns:a="http://schemas.openxmlformats.org/drawingml/2006/main">
          <a:off x="3176220" y="230781"/>
          <a:ext cx="2060761" cy="11541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Progression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to </a:t>
          </a: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Cystectomy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MIBC to metastatic disease</a:t>
          </a:r>
        </a:p>
        <a:p xmlns:a="http://schemas.openxmlformats.org/drawingml/2006/main">
          <a:pPr algn="r"/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P-C to metastatic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disease</a:t>
          </a:r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410248</xdr:colOff>
      <xdr:row>1</xdr:row>
      <xdr:rowOff>307266</xdr:rowOff>
    </xdr:from>
    <xdr:to>
      <xdr:col>23</xdr:col>
      <xdr:colOff>551890</xdr:colOff>
      <xdr:row>30</xdr:row>
      <xdr:rowOff>87407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A5C9A7-E724-4F7E-9933-DF6D462BB5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0.00826</cdr:x>
      <cdr:y>0.48188</cdr:y>
    </cdr:from>
    <cdr:to>
      <cdr:x>0.12075</cdr:x>
      <cdr:y>0.58721</cdr:y>
    </cdr:to>
    <cdr:sp macro="" textlink="">
      <cdr:nvSpPr>
        <cdr:cNvPr id="8" name="TextBox 15">
          <a:extLst xmlns:a="http://schemas.openxmlformats.org/drawingml/2006/main">
            <a:ext uri="{FF2B5EF4-FFF2-40B4-BE49-F238E27FC236}">
              <a16:creationId xmlns:a16="http://schemas.microsoft.com/office/drawing/2014/main" id="{502D4C27-822A-05C4-F023-B889B9B0954F}"/>
            </a:ext>
          </a:extLst>
        </cdr:cNvPr>
        <cdr:cNvSpPr txBox="1"/>
      </cdr:nvSpPr>
      <cdr:spPr>
        <a:xfrm xmlns:a="http://schemas.openxmlformats.org/drawingml/2006/main">
          <a:off x="66596" y="2647997"/>
          <a:ext cx="907394" cy="57881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Population 2</a:t>
          </a:r>
        </a:p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NF for HG Ta/T1</a:t>
          </a:r>
        </a:p>
      </cdr:txBody>
    </cdr:sp>
  </cdr:relSizeAnchor>
  <cdr:relSizeAnchor xmlns:cdr="http://schemas.openxmlformats.org/drawingml/2006/chartDrawing">
    <cdr:from>
      <cdr:x>0.00747</cdr:x>
      <cdr:y>0.14385</cdr:y>
    </cdr:from>
    <cdr:to>
      <cdr:x>0.12653</cdr:x>
      <cdr:y>0.24918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15ADB314-561F-2DEE-C188-C8444D778708}"/>
            </a:ext>
          </a:extLst>
        </cdr:cNvPr>
        <cdr:cNvSpPr txBox="1"/>
      </cdr:nvSpPr>
      <cdr:spPr>
        <a:xfrm xmlns:a="http://schemas.openxmlformats.org/drawingml/2006/main">
          <a:off x="60276" y="790456"/>
          <a:ext cx="960391" cy="57881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Population 1</a:t>
          </a:r>
        </a:p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NF for CIS+/- Ta/T1</a:t>
          </a:r>
        </a:p>
      </cdr:txBody>
    </cdr:sp>
  </cdr:relSizeAnchor>
  <cdr:relSizeAnchor xmlns:cdr="http://schemas.openxmlformats.org/drawingml/2006/chartDrawing">
    <cdr:from>
      <cdr:x>0.13158</cdr:x>
      <cdr:y>0.12827</cdr:y>
    </cdr:from>
    <cdr:to>
      <cdr:x>0.16324</cdr:x>
      <cdr:y>0.27101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8507F74E-6A09-6F89-C519-6AB4A95AD586}"/>
            </a:ext>
          </a:extLst>
        </cdr:cNvPr>
        <cdr:cNvSpPr/>
      </cdr:nvSpPr>
      <cdr:spPr>
        <a:xfrm xmlns:a="http://schemas.openxmlformats.org/drawingml/2006/main">
          <a:off x="1062135" y="670880"/>
          <a:ext cx="255564" cy="746580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</cdr:x>
      <cdr:y>0.31425</cdr:y>
    </cdr:from>
    <cdr:to>
      <cdr:x>0.1247</cdr:x>
      <cdr:y>0.41958</cdr:y>
    </cdr:to>
    <cdr:sp macro="" textlink="">
      <cdr:nvSpPr>
        <cdr:cNvPr id="4" name="TextBox 15">
          <a:extLst xmlns:a="http://schemas.openxmlformats.org/drawingml/2006/main">
            <a:ext uri="{FF2B5EF4-FFF2-40B4-BE49-F238E27FC236}">
              <a16:creationId xmlns:a16="http://schemas.microsoft.com/office/drawing/2014/main" id="{502D4C27-822A-05C4-F023-B889B9B0954F}"/>
            </a:ext>
          </a:extLst>
        </cdr:cNvPr>
        <cdr:cNvSpPr txBox="1"/>
      </cdr:nvSpPr>
      <cdr:spPr>
        <a:xfrm xmlns:a="http://schemas.openxmlformats.org/drawingml/2006/main">
          <a:off x="0" y="1726865"/>
          <a:ext cx="1005871" cy="57881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Population 1</a:t>
          </a:r>
        </a:p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OM for CIS+/- Ta/T1</a:t>
          </a:r>
        </a:p>
      </cdr:txBody>
    </cdr:sp>
  </cdr:relSizeAnchor>
  <cdr:relSizeAnchor xmlns:cdr="http://schemas.openxmlformats.org/drawingml/2006/chartDrawing">
    <cdr:from>
      <cdr:x>0.12856</cdr:x>
      <cdr:y>0.29856</cdr:y>
    </cdr:from>
    <cdr:to>
      <cdr:x>0.16022</cdr:x>
      <cdr:y>0.4413</cdr:y>
    </cdr:to>
    <cdr:sp macro="" textlink="">
      <cdr:nvSpPr>
        <cdr:cNvPr id="5" name="Left Brace 4">
          <a:extLst xmlns:a="http://schemas.openxmlformats.org/drawingml/2006/main">
            <a:ext uri="{FF2B5EF4-FFF2-40B4-BE49-F238E27FC236}">
              <a16:creationId xmlns:a16="http://schemas.microsoft.com/office/drawing/2014/main" id="{41A1614C-7ED9-F6CA-B84F-D89CFD677AD1}"/>
            </a:ext>
          </a:extLst>
        </cdr:cNvPr>
        <cdr:cNvSpPr/>
      </cdr:nvSpPr>
      <cdr:spPr>
        <a:xfrm xmlns:a="http://schemas.openxmlformats.org/drawingml/2006/main">
          <a:off x="1037758" y="1561579"/>
          <a:ext cx="255564" cy="746579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0.0118</cdr:x>
      <cdr:y>0.65223</cdr:y>
    </cdr:from>
    <cdr:to>
      <cdr:x>0.12783</cdr:x>
      <cdr:y>0.75756</cdr:y>
    </cdr:to>
    <cdr:sp macro="" textlink="">
      <cdr:nvSpPr>
        <cdr:cNvPr id="6" name="TextBox 15">
          <a:extLst xmlns:a="http://schemas.openxmlformats.org/drawingml/2006/main">
            <a:ext uri="{FF2B5EF4-FFF2-40B4-BE49-F238E27FC236}">
              <a16:creationId xmlns:a16="http://schemas.microsoft.com/office/drawing/2014/main" id="{502D4C27-822A-05C4-F023-B889B9B0954F}"/>
            </a:ext>
          </a:extLst>
        </cdr:cNvPr>
        <cdr:cNvSpPr txBox="1"/>
      </cdr:nvSpPr>
      <cdr:spPr>
        <a:xfrm xmlns:a="http://schemas.openxmlformats.org/drawingml/2006/main">
          <a:off x="95191" y="3584094"/>
          <a:ext cx="935949" cy="57881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Population 2</a:t>
          </a:r>
        </a:p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NF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for HG Ta/T1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0.13328</cdr:x>
      <cdr:y>0.63483</cdr:y>
    </cdr:from>
    <cdr:to>
      <cdr:x>0.16494</cdr:x>
      <cdr:y>0.77758</cdr:y>
    </cdr:to>
    <cdr:sp macro="" textlink="">
      <cdr:nvSpPr>
        <cdr:cNvPr id="7" name="Left Brace 6">
          <a:extLst xmlns:a="http://schemas.openxmlformats.org/drawingml/2006/main">
            <a:ext uri="{FF2B5EF4-FFF2-40B4-BE49-F238E27FC236}">
              <a16:creationId xmlns:a16="http://schemas.microsoft.com/office/drawing/2014/main" id="{41A1614C-7ED9-F6CA-B84F-D89CFD677AD1}"/>
            </a:ext>
          </a:extLst>
        </cdr:cNvPr>
        <cdr:cNvSpPr/>
      </cdr:nvSpPr>
      <cdr:spPr>
        <a:xfrm xmlns:a="http://schemas.openxmlformats.org/drawingml/2006/main">
          <a:off x="1075858" y="3320381"/>
          <a:ext cx="255564" cy="746632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0.12863</cdr:x>
      <cdr:y>0.46642</cdr:y>
    </cdr:from>
    <cdr:to>
      <cdr:x>0.16029</cdr:x>
      <cdr:y>0.60916</cdr:y>
    </cdr:to>
    <cdr:sp macro="" textlink="">
      <cdr:nvSpPr>
        <cdr:cNvPr id="9" name="Left Brace 8">
          <a:extLst xmlns:a="http://schemas.openxmlformats.org/drawingml/2006/main">
            <a:ext uri="{FF2B5EF4-FFF2-40B4-BE49-F238E27FC236}">
              <a16:creationId xmlns:a16="http://schemas.microsoft.com/office/drawing/2014/main" id="{41A1614C-7ED9-F6CA-B84F-D89CFD677AD1}"/>
            </a:ext>
          </a:extLst>
        </cdr:cNvPr>
        <cdr:cNvSpPr/>
      </cdr:nvSpPr>
      <cdr:spPr>
        <a:xfrm xmlns:a="http://schemas.openxmlformats.org/drawingml/2006/main">
          <a:off x="1038323" y="2439516"/>
          <a:ext cx="255564" cy="746579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0.29656</cdr:x>
      <cdr:y>0.63253</cdr:y>
    </cdr:from>
    <cdr:to>
      <cdr:x>0.49834</cdr:x>
      <cdr:y>0.777</cdr:y>
    </cdr:to>
    <cdr:sp macro="" textlink="">
      <cdr:nvSpPr>
        <cdr:cNvPr id="10" name="TextBox 15">
          <a:extLst xmlns:a="http://schemas.openxmlformats.org/drawingml/2006/main">
            <a:ext uri="{FF2B5EF4-FFF2-40B4-BE49-F238E27FC236}">
              <a16:creationId xmlns:a16="http://schemas.microsoft.com/office/drawing/2014/main" id="{D004904A-28D2-AF73-5DC9-D9C47794AFCA}"/>
            </a:ext>
          </a:extLst>
        </cdr:cNvPr>
        <cdr:cNvSpPr txBox="1"/>
      </cdr:nvSpPr>
      <cdr:spPr>
        <a:xfrm xmlns:a="http://schemas.openxmlformats.org/drawingml/2006/main">
          <a:off x="2393880" y="3308375"/>
          <a:ext cx="1628800" cy="75562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Health state costs</a:t>
          </a: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Utility weights</a:t>
          </a:r>
        </a:p>
      </cdr:txBody>
    </cdr:sp>
  </cdr:relSizeAnchor>
  <cdr:relSizeAnchor xmlns:cdr="http://schemas.openxmlformats.org/drawingml/2006/chartDrawing">
    <cdr:from>
      <cdr:x>0.30129</cdr:x>
      <cdr:y>0.47046</cdr:y>
    </cdr:from>
    <cdr:to>
      <cdr:x>0.50307</cdr:x>
      <cdr:y>0.61493</cdr:y>
    </cdr:to>
    <cdr:sp macro="" textlink="">
      <cdr:nvSpPr>
        <cdr:cNvPr id="11" name="TextBox 15">
          <a:extLst xmlns:a="http://schemas.openxmlformats.org/drawingml/2006/main">
            <a:ext uri="{FF2B5EF4-FFF2-40B4-BE49-F238E27FC236}">
              <a16:creationId xmlns:a16="http://schemas.microsoft.com/office/drawing/2014/main" id="{3FA41D4F-A986-F82C-0D1B-81D34EEDE262}"/>
            </a:ext>
          </a:extLst>
        </cdr:cNvPr>
        <cdr:cNvSpPr txBox="1"/>
      </cdr:nvSpPr>
      <cdr:spPr>
        <a:xfrm xmlns:a="http://schemas.openxmlformats.org/drawingml/2006/main">
          <a:off x="2432060" y="2460646"/>
          <a:ext cx="1628800" cy="75562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Health state costs</a:t>
          </a: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Utility weights</a:t>
          </a:r>
        </a:p>
      </cdr:txBody>
    </cdr:sp>
  </cdr:relSizeAnchor>
  <cdr:relSizeAnchor xmlns:cdr="http://schemas.openxmlformats.org/drawingml/2006/chartDrawing">
    <cdr:from>
      <cdr:x>0.29657</cdr:x>
      <cdr:y>0.13354</cdr:y>
    </cdr:from>
    <cdr:to>
      <cdr:x>0.49835</cdr:x>
      <cdr:y>0.27802</cdr:y>
    </cdr:to>
    <cdr:sp macro="" textlink="">
      <cdr:nvSpPr>
        <cdr:cNvPr id="12" name="TextBox 15">
          <a:extLst xmlns:a="http://schemas.openxmlformats.org/drawingml/2006/main">
            <a:ext uri="{FF2B5EF4-FFF2-40B4-BE49-F238E27FC236}">
              <a16:creationId xmlns:a16="http://schemas.microsoft.com/office/drawing/2014/main" id="{3FA41D4F-A986-F82C-0D1B-81D34EEDE262}"/>
            </a:ext>
          </a:extLst>
        </cdr:cNvPr>
        <cdr:cNvSpPr txBox="1"/>
      </cdr:nvSpPr>
      <cdr:spPr>
        <a:xfrm xmlns:a="http://schemas.openxmlformats.org/drawingml/2006/main">
          <a:off x="2392265" y="733821"/>
          <a:ext cx="1627646" cy="7939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Health state costs</a:t>
          </a: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Utility weights</a:t>
          </a:r>
        </a:p>
      </cdr:txBody>
    </cdr:sp>
  </cdr:relSizeAnchor>
  <cdr:relSizeAnchor xmlns:cdr="http://schemas.openxmlformats.org/drawingml/2006/chartDrawing">
    <cdr:from>
      <cdr:x>0.29775</cdr:x>
      <cdr:y>0.28834</cdr:y>
    </cdr:from>
    <cdr:to>
      <cdr:x>0.49953</cdr:x>
      <cdr:y>0.43282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3FA41D4F-A986-F82C-0D1B-81D34EEDE262}"/>
            </a:ext>
          </a:extLst>
        </cdr:cNvPr>
        <cdr:cNvSpPr txBox="1"/>
      </cdr:nvSpPr>
      <cdr:spPr>
        <a:xfrm xmlns:a="http://schemas.openxmlformats.org/drawingml/2006/main">
          <a:off x="2403485" y="1508113"/>
          <a:ext cx="1628799" cy="75568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Transition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probabilities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Health state costs</a:t>
          </a:r>
        </a:p>
        <a:p xmlns:a="http://schemas.openxmlformats.org/drawingml/2006/main">
          <a:pPr algn="r"/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pPr algn="r"/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Utility weights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28DB6-F6C5-4220-9D69-DA32E4829C25}">
  <sheetPr>
    <tabColor rgb="FF00B0F0"/>
  </sheetPr>
  <dimension ref="A3:B7"/>
  <sheetViews>
    <sheetView tabSelected="1" workbookViewId="0">
      <selection activeCell="G11" sqref="G11"/>
    </sheetView>
  </sheetViews>
  <sheetFormatPr defaultRowHeight="15" x14ac:dyDescent="0.25"/>
  <cols>
    <col min="1" max="1" width="17.5703125" customWidth="1"/>
  </cols>
  <sheetData>
    <row r="3" spans="1:2" x14ac:dyDescent="0.25">
      <c r="A3" t="s">
        <v>19</v>
      </c>
      <c r="B3" s="32">
        <v>100000</v>
      </c>
    </row>
    <row r="4" spans="1:2" x14ac:dyDescent="0.25">
      <c r="A4" t="s">
        <v>20</v>
      </c>
      <c r="B4" s="32">
        <v>150000</v>
      </c>
    </row>
    <row r="6" spans="1:2" x14ac:dyDescent="0.25">
      <c r="A6" t="s">
        <v>21</v>
      </c>
      <c r="B6">
        <v>1000</v>
      </c>
    </row>
    <row r="7" spans="1:2" x14ac:dyDescent="0.25">
      <c r="A7" t="s">
        <v>22</v>
      </c>
      <c r="B7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F575-5829-47D8-A44B-C8D41C42AE2C}">
  <sheetPr>
    <tabColor rgb="FFFFC000"/>
  </sheetPr>
  <dimension ref="A2:P37"/>
  <sheetViews>
    <sheetView workbookViewId="0">
      <selection activeCell="K7" sqref="K7"/>
    </sheetView>
  </sheetViews>
  <sheetFormatPr defaultColWidth="9.140625" defaultRowHeight="12.75" x14ac:dyDescent="0.2"/>
  <cols>
    <col min="1" max="1" width="55" style="16" customWidth="1"/>
    <col min="2" max="5" width="9.140625" style="16"/>
    <col min="6" max="6" width="13.42578125" style="16" bestFit="1" customWidth="1"/>
    <col min="7" max="7" width="14.140625" style="16" bestFit="1" customWidth="1"/>
    <col min="8" max="16" width="9.85546875" style="16" customWidth="1"/>
    <col min="17" max="16384" width="9.140625" style="16"/>
  </cols>
  <sheetData>
    <row r="2" spans="1:16" x14ac:dyDescent="0.2">
      <c r="B2" s="73" t="s">
        <v>45</v>
      </c>
      <c r="C2" s="73"/>
      <c r="D2" s="73"/>
      <c r="E2" s="73" t="s">
        <v>46</v>
      </c>
      <c r="F2" s="73"/>
      <c r="G2" s="73"/>
      <c r="H2" s="73" t="s">
        <v>53</v>
      </c>
      <c r="I2" s="73"/>
      <c r="J2" s="71"/>
      <c r="K2" s="71"/>
      <c r="L2" s="71"/>
      <c r="M2" s="71"/>
      <c r="N2" s="71"/>
      <c r="O2" s="71"/>
      <c r="P2" s="71"/>
    </row>
    <row r="3" spans="1:16" ht="25.5" x14ac:dyDescent="0.2">
      <c r="A3" s="9" t="s">
        <v>61</v>
      </c>
      <c r="B3" s="43" t="s">
        <v>47</v>
      </c>
      <c r="C3" s="43" t="s">
        <v>48</v>
      </c>
      <c r="D3" s="43" t="s">
        <v>49</v>
      </c>
      <c r="E3" s="43" t="s">
        <v>50</v>
      </c>
      <c r="F3" s="43" t="s">
        <v>51</v>
      </c>
      <c r="G3" s="43" t="s">
        <v>52</v>
      </c>
      <c r="H3" s="43" t="s">
        <v>89</v>
      </c>
      <c r="I3" s="43" t="s">
        <v>90</v>
      </c>
      <c r="J3" s="43"/>
      <c r="K3" s="43"/>
      <c r="L3" s="43"/>
      <c r="M3" s="43"/>
      <c r="N3" s="43"/>
      <c r="O3" s="43"/>
      <c r="P3" s="43"/>
    </row>
    <row r="4" spans="1:16" x14ac:dyDescent="0.2">
      <c r="A4" s="16" t="s">
        <v>57</v>
      </c>
      <c r="B4" s="58">
        <v>0.87</v>
      </c>
      <c r="C4" s="58">
        <v>0.84670000000000001</v>
      </c>
      <c r="D4" s="58">
        <v>0.89329999999999998</v>
      </c>
      <c r="E4" s="47">
        <v>151000</v>
      </c>
      <c r="F4" s="47">
        <v>155299.3847</v>
      </c>
      <c r="G4" s="47">
        <v>146351.462</v>
      </c>
      <c r="H4" s="57">
        <v>0.73597993421052621</v>
      </c>
      <c r="I4" s="57">
        <v>0.87</v>
      </c>
      <c r="J4" s="57"/>
      <c r="K4" s="57"/>
      <c r="L4" s="57"/>
      <c r="M4" s="57"/>
      <c r="N4" s="57"/>
      <c r="O4" s="57"/>
      <c r="P4" s="57"/>
    </row>
    <row r="5" spans="1:16" x14ac:dyDescent="0.2">
      <c r="A5" s="16" t="s">
        <v>58</v>
      </c>
      <c r="B5" s="59">
        <v>0.76</v>
      </c>
      <c r="C5" s="58">
        <v>0.70660000000000001</v>
      </c>
      <c r="D5" s="58">
        <v>0.81340000000000001</v>
      </c>
      <c r="E5" s="47">
        <v>151000</v>
      </c>
      <c r="F5" s="47">
        <v>152586.60569999999</v>
      </c>
      <c r="G5" s="47">
        <v>149243.14629999999</v>
      </c>
      <c r="H5" s="57">
        <v>0.64292499999999997</v>
      </c>
      <c r="I5" s="57">
        <v>0.65338235294117653</v>
      </c>
      <c r="J5" s="57"/>
      <c r="K5" s="57"/>
      <c r="L5" s="57"/>
      <c r="M5" s="57"/>
      <c r="N5" s="57"/>
      <c r="O5" s="57"/>
      <c r="P5" s="57"/>
    </row>
    <row r="6" spans="1:16" x14ac:dyDescent="0.2">
      <c r="A6" s="16" t="s">
        <v>59</v>
      </c>
      <c r="B6" s="59">
        <v>0.75</v>
      </c>
      <c r="C6" s="58">
        <v>0.66820000000000002</v>
      </c>
      <c r="D6" s="58">
        <v>0.83179999999999998</v>
      </c>
      <c r="E6" s="47">
        <v>151000</v>
      </c>
      <c r="F6" s="47">
        <v>149780.09049999999</v>
      </c>
      <c r="G6" s="47">
        <v>151757.75349999999</v>
      </c>
      <c r="H6" s="57">
        <v>0.54648624999999995</v>
      </c>
      <c r="I6" s="57">
        <v>0.70735294117647063</v>
      </c>
      <c r="J6" s="57"/>
      <c r="K6" s="57"/>
      <c r="L6" s="57"/>
      <c r="M6" s="57"/>
      <c r="N6" s="57"/>
      <c r="O6" s="57"/>
      <c r="P6" s="57"/>
    </row>
    <row r="9" spans="1:16" x14ac:dyDescent="0.2">
      <c r="B9" s="73" t="s">
        <v>45</v>
      </c>
      <c r="C9" s="73"/>
      <c r="D9" s="73"/>
      <c r="E9" s="73" t="s">
        <v>46</v>
      </c>
      <c r="F9" s="73"/>
      <c r="G9" s="73"/>
      <c r="H9" s="73" t="s">
        <v>53</v>
      </c>
      <c r="I9" s="73"/>
      <c r="J9" s="71"/>
      <c r="K9" s="71"/>
      <c r="L9" s="71"/>
      <c r="M9" s="71"/>
      <c r="N9" s="71"/>
      <c r="O9" s="71"/>
      <c r="P9" s="71"/>
    </row>
    <row r="10" spans="1:16" ht="25.5" x14ac:dyDescent="0.2">
      <c r="A10" s="9" t="s">
        <v>62</v>
      </c>
      <c r="B10" s="43" t="s">
        <v>47</v>
      </c>
      <c r="C10" s="43" t="s">
        <v>48</v>
      </c>
      <c r="D10" s="43" t="s">
        <v>49</v>
      </c>
      <c r="E10" s="43" t="s">
        <v>50</v>
      </c>
      <c r="F10" s="43" t="s">
        <v>51</v>
      </c>
      <c r="G10" s="43" t="s">
        <v>52</v>
      </c>
      <c r="H10" s="43" t="s">
        <v>89</v>
      </c>
      <c r="I10" s="43" t="s">
        <v>90</v>
      </c>
      <c r="J10" s="43"/>
      <c r="K10" s="43"/>
      <c r="L10" s="43"/>
      <c r="M10" s="43"/>
      <c r="N10" s="43"/>
      <c r="O10" s="43"/>
      <c r="P10" s="43"/>
    </row>
    <row r="11" spans="1:16" x14ac:dyDescent="0.2">
      <c r="A11" s="16" t="str">
        <f t="shared" ref="A11:B13" si="0">A4</f>
        <v>Utility weight - Disease free</v>
      </c>
      <c r="B11" s="18">
        <f t="shared" si="0"/>
        <v>0.87</v>
      </c>
      <c r="C11" s="18">
        <f t="shared" ref="C11:D11" si="1">C4</f>
        <v>0.84670000000000001</v>
      </c>
      <c r="D11" s="18">
        <f t="shared" si="1"/>
        <v>0.89329999999999998</v>
      </c>
      <c r="E11" s="47">
        <v>382000</v>
      </c>
      <c r="F11" s="47">
        <v>399640.56800000003</v>
      </c>
      <c r="G11" s="47">
        <v>367358.97610000003</v>
      </c>
      <c r="H11" s="57">
        <f>H4</f>
        <v>0.73597993421052621</v>
      </c>
      <c r="I11" s="57">
        <f>I4</f>
        <v>0.87</v>
      </c>
      <c r="J11" s="57"/>
      <c r="K11" s="57"/>
      <c r="L11" s="57"/>
      <c r="M11" s="57"/>
      <c r="N11" s="57"/>
      <c r="O11" s="57"/>
      <c r="P11" s="57"/>
    </row>
    <row r="12" spans="1:16" x14ac:dyDescent="0.2">
      <c r="A12" s="16" t="str">
        <f t="shared" si="0"/>
        <v>Utility weight - Persistent/recurrent NMIBC</v>
      </c>
      <c r="B12" s="18">
        <f t="shared" si="0"/>
        <v>0.76</v>
      </c>
      <c r="C12" s="18">
        <f t="shared" ref="C12:D12" si="2">C5</f>
        <v>0.70660000000000001</v>
      </c>
      <c r="D12" s="18">
        <f t="shared" si="2"/>
        <v>0.81340000000000001</v>
      </c>
      <c r="E12" s="47">
        <v>382000</v>
      </c>
      <c r="F12" s="47">
        <v>373663.71789999999</v>
      </c>
      <c r="G12" s="47">
        <v>392327.94530000002</v>
      </c>
      <c r="H12" s="57">
        <f>H5</f>
        <v>0.64292499999999997</v>
      </c>
      <c r="I12" s="57">
        <f t="shared" ref="I12:I13" si="3">I5</f>
        <v>0.65338235294117653</v>
      </c>
      <c r="J12" s="57"/>
      <c r="K12" s="57"/>
      <c r="L12" s="57"/>
      <c r="M12" s="57"/>
      <c r="N12" s="57"/>
      <c r="O12" s="57"/>
      <c r="P12" s="57"/>
    </row>
    <row r="13" spans="1:16" x14ac:dyDescent="0.2">
      <c r="A13" s="16" t="str">
        <f t="shared" si="0"/>
        <v>Utility weight - MIBC</v>
      </c>
      <c r="B13" s="18">
        <f t="shared" si="0"/>
        <v>0.75</v>
      </c>
      <c r="C13" s="18">
        <f t="shared" ref="C13:D13" si="4">C6</f>
        <v>0.66820000000000002</v>
      </c>
      <c r="D13" s="18">
        <f t="shared" si="4"/>
        <v>0.83179999999999998</v>
      </c>
      <c r="E13" s="47">
        <v>382000</v>
      </c>
      <c r="F13" s="47">
        <v>383253.75809999998</v>
      </c>
      <c r="G13" s="47">
        <v>381999.99671791075</v>
      </c>
      <c r="H13" s="57">
        <f>H6</f>
        <v>0.54648624999999995</v>
      </c>
      <c r="I13" s="57">
        <f t="shared" si="3"/>
        <v>0.70735294117647063</v>
      </c>
      <c r="J13" s="57"/>
      <c r="K13" s="57"/>
      <c r="L13" s="57"/>
      <c r="M13" s="57"/>
      <c r="N13" s="57"/>
      <c r="O13" s="57"/>
      <c r="P13" s="57"/>
    </row>
    <row r="14" spans="1:16" x14ac:dyDescent="0.2">
      <c r="B14" s="27"/>
      <c r="C14" s="18"/>
      <c r="D14" s="18"/>
      <c r="E14" s="47"/>
      <c r="F14" s="47"/>
      <c r="G14" s="47"/>
      <c r="H14" s="27"/>
      <c r="I14" s="27"/>
      <c r="J14" s="27"/>
      <c r="K14" s="27"/>
      <c r="L14" s="27"/>
      <c r="M14" s="27"/>
      <c r="N14" s="27"/>
      <c r="O14" s="27"/>
      <c r="P14" s="27"/>
    </row>
    <row r="16" spans="1:16" x14ac:dyDescent="0.2">
      <c r="B16" s="73" t="s">
        <v>45</v>
      </c>
      <c r="C16" s="73"/>
      <c r="D16" s="73"/>
      <c r="E16" s="73" t="s">
        <v>46</v>
      </c>
      <c r="F16" s="73"/>
      <c r="G16" s="73"/>
      <c r="H16" s="73" t="s">
        <v>53</v>
      </c>
      <c r="I16" s="73"/>
      <c r="J16" s="71"/>
      <c r="K16" s="71"/>
      <c r="L16" s="71"/>
      <c r="M16" s="71"/>
      <c r="N16" s="71"/>
      <c r="O16" s="71"/>
      <c r="P16" s="71"/>
    </row>
    <row r="17" spans="1:16" ht="25.5" x14ac:dyDescent="0.2">
      <c r="A17" s="9" t="s">
        <v>63</v>
      </c>
      <c r="B17" s="43" t="s">
        <v>47</v>
      </c>
      <c r="C17" s="43" t="s">
        <v>48</v>
      </c>
      <c r="D17" s="43" t="s">
        <v>49</v>
      </c>
      <c r="E17" s="43" t="s">
        <v>50</v>
      </c>
      <c r="F17" s="43" t="s">
        <v>51</v>
      </c>
      <c r="G17" s="43" t="s">
        <v>52</v>
      </c>
      <c r="H17" s="43" t="s">
        <v>89</v>
      </c>
      <c r="I17" s="43" t="s">
        <v>90</v>
      </c>
      <c r="J17" s="43"/>
      <c r="K17" s="43"/>
      <c r="L17" s="43"/>
      <c r="M17" s="43"/>
      <c r="N17" s="43"/>
      <c r="O17" s="43"/>
      <c r="P17" s="43"/>
    </row>
    <row r="18" spans="1:16" x14ac:dyDescent="0.2">
      <c r="A18" s="16" t="str">
        <f>+A11</f>
        <v>Utility weight - Disease free</v>
      </c>
      <c r="B18" s="18">
        <f t="shared" ref="A18:D20" si="5">+B11</f>
        <v>0.87</v>
      </c>
      <c r="C18" s="18">
        <f t="shared" si="5"/>
        <v>0.84670000000000001</v>
      </c>
      <c r="D18" s="18">
        <f t="shared" si="5"/>
        <v>0.89329999999999998</v>
      </c>
      <c r="E18" s="47">
        <v>92999.995857915375</v>
      </c>
      <c r="F18" s="47">
        <v>96753.328320000001</v>
      </c>
      <c r="G18" s="47">
        <v>89764.995670000004</v>
      </c>
      <c r="H18" s="57">
        <f>H11</f>
        <v>0.73597993421052621</v>
      </c>
      <c r="I18" s="57">
        <f>I11</f>
        <v>0.87</v>
      </c>
      <c r="J18" s="57"/>
      <c r="K18" s="57"/>
      <c r="L18" s="57"/>
      <c r="M18" s="57"/>
      <c r="N18" s="57"/>
      <c r="O18" s="57"/>
      <c r="P18" s="57"/>
    </row>
    <row r="19" spans="1:16" x14ac:dyDescent="0.2">
      <c r="A19" s="16" t="str">
        <f t="shared" si="5"/>
        <v>Utility weight - Persistent/recurrent NMIBC</v>
      </c>
      <c r="B19" s="27">
        <f t="shared" si="5"/>
        <v>0.76</v>
      </c>
      <c r="C19" s="18">
        <f t="shared" si="5"/>
        <v>0.70660000000000001</v>
      </c>
      <c r="D19" s="18">
        <f t="shared" si="5"/>
        <v>0.81340000000000001</v>
      </c>
      <c r="E19" s="47">
        <v>92999.995857915375</v>
      </c>
      <c r="F19" s="47">
        <v>91976.714340000006</v>
      </c>
      <c r="G19" s="47">
        <v>93893.943870000003</v>
      </c>
      <c r="H19" s="57">
        <f>H12</f>
        <v>0.64292499999999997</v>
      </c>
      <c r="I19" s="57">
        <f t="shared" ref="I19" si="6">I12</f>
        <v>0.65338235294117653</v>
      </c>
      <c r="J19" s="57"/>
      <c r="K19" s="57"/>
      <c r="L19" s="57"/>
      <c r="M19" s="57"/>
      <c r="N19" s="57"/>
      <c r="O19" s="57"/>
      <c r="P19" s="57"/>
    </row>
    <row r="20" spans="1:16" x14ac:dyDescent="0.2">
      <c r="A20" s="16" t="str">
        <f>+A13</f>
        <v>Utility weight - MIBC</v>
      </c>
      <c r="B20" s="27">
        <f t="shared" si="5"/>
        <v>0.75</v>
      </c>
      <c r="C20" s="18">
        <f t="shared" si="5"/>
        <v>0.66820000000000002</v>
      </c>
      <c r="D20" s="18">
        <f>+D13</f>
        <v>0.83179999999999998</v>
      </c>
      <c r="E20" s="47">
        <v>92999.995857915375</v>
      </c>
      <c r="F20" s="47">
        <v>92999.995857915375</v>
      </c>
      <c r="G20" s="47">
        <v>93385.213870000007</v>
      </c>
      <c r="H20" s="57">
        <f>H13</f>
        <v>0.54648624999999995</v>
      </c>
      <c r="I20" s="57">
        <f t="shared" ref="I20" si="7">I13</f>
        <v>0.70735294117647063</v>
      </c>
      <c r="J20" s="57"/>
      <c r="K20" s="57"/>
      <c r="L20" s="57"/>
      <c r="M20" s="57"/>
      <c r="N20" s="57"/>
      <c r="O20" s="57"/>
      <c r="P20" s="57"/>
    </row>
    <row r="24" spans="1:16" ht="25.5" x14ac:dyDescent="0.2">
      <c r="A24" s="9" t="s">
        <v>64</v>
      </c>
      <c r="B24" s="43" t="s">
        <v>47</v>
      </c>
      <c r="C24" s="43" t="s">
        <v>48</v>
      </c>
      <c r="D24" s="43" t="s">
        <v>49</v>
      </c>
      <c r="E24" s="43" t="s">
        <v>50</v>
      </c>
      <c r="F24" s="43" t="s">
        <v>51</v>
      </c>
      <c r="G24" s="43" t="s">
        <v>52</v>
      </c>
      <c r="H24" s="43" t="s">
        <v>89</v>
      </c>
      <c r="I24" s="43" t="s">
        <v>90</v>
      </c>
      <c r="J24" s="43"/>
      <c r="K24" s="43"/>
      <c r="L24" s="43"/>
      <c r="M24" s="43"/>
      <c r="N24" s="43"/>
      <c r="O24" s="43"/>
      <c r="P24" s="43"/>
    </row>
    <row r="25" spans="1:16" x14ac:dyDescent="0.2">
      <c r="A25" s="16" t="str">
        <f>+A18</f>
        <v>Utility weight - Disease free</v>
      </c>
      <c r="B25" s="18">
        <f>+B18</f>
        <v>0.87</v>
      </c>
      <c r="C25" s="18">
        <f>+C18</f>
        <v>0.84670000000000001</v>
      </c>
      <c r="D25" s="18">
        <f>+D18</f>
        <v>0.89329999999999998</v>
      </c>
      <c r="E25" s="47">
        <v>123000</v>
      </c>
      <c r="F25" s="47">
        <v>128182.7077</v>
      </c>
      <c r="G25" s="47">
        <v>122999.95786416504</v>
      </c>
      <c r="H25" s="57">
        <f>H18</f>
        <v>0.73597993421052621</v>
      </c>
      <c r="I25" s="57">
        <f>I18</f>
        <v>0.87</v>
      </c>
      <c r="J25" s="57"/>
      <c r="K25" s="57"/>
      <c r="L25" s="57"/>
      <c r="M25" s="57"/>
      <c r="N25" s="57"/>
      <c r="O25" s="57"/>
      <c r="P25" s="57"/>
    </row>
    <row r="26" spans="1:16" x14ac:dyDescent="0.2">
      <c r="A26" s="16" t="str">
        <f>+A19</f>
        <v>Utility weight - Persistent/recurrent NMIBC</v>
      </c>
      <c r="B26" s="27">
        <f t="shared" ref="B26:D27" si="8">+B19</f>
        <v>0.76</v>
      </c>
      <c r="C26" s="18">
        <f t="shared" si="8"/>
        <v>0.70660000000000001</v>
      </c>
      <c r="D26" s="18">
        <f t="shared" si="8"/>
        <v>0.81340000000000001</v>
      </c>
      <c r="E26" s="47">
        <v>123000</v>
      </c>
      <c r="F26" s="47">
        <v>120327.95269999999</v>
      </c>
      <c r="G26" s="47">
        <v>125673.3015</v>
      </c>
      <c r="H26" s="57">
        <f>H19</f>
        <v>0.64292499999999997</v>
      </c>
      <c r="I26" s="57">
        <f t="shared" ref="I26" si="9">I19</f>
        <v>0.65338235294117653</v>
      </c>
      <c r="J26" s="57"/>
      <c r="K26" s="57"/>
      <c r="L26" s="57"/>
      <c r="M26" s="57"/>
      <c r="N26" s="57"/>
      <c r="O26" s="57"/>
      <c r="P26" s="57"/>
    </row>
    <row r="27" spans="1:16" x14ac:dyDescent="0.2">
      <c r="A27" s="16" t="str">
        <f>+A20</f>
        <v>Utility weight - MIBC</v>
      </c>
      <c r="B27" s="27">
        <f t="shared" si="8"/>
        <v>0.75</v>
      </c>
      <c r="C27" s="18">
        <f t="shared" si="8"/>
        <v>0.66820000000000002</v>
      </c>
      <c r="D27" s="18">
        <f t="shared" si="8"/>
        <v>0.83179999999999998</v>
      </c>
      <c r="E27" s="47">
        <v>123000</v>
      </c>
      <c r="F27" s="47">
        <v>123000</v>
      </c>
      <c r="G27" s="47">
        <v>123281.37549999999</v>
      </c>
      <c r="H27" s="57">
        <f>H20</f>
        <v>0.54648624999999995</v>
      </c>
      <c r="I27" s="57">
        <f t="shared" ref="I27" si="10">I20</f>
        <v>0.70735294117647063</v>
      </c>
      <c r="J27" s="57"/>
      <c r="K27" s="57"/>
      <c r="L27" s="57"/>
      <c r="M27" s="57"/>
      <c r="N27" s="57"/>
      <c r="O27" s="57"/>
      <c r="P27" s="57"/>
    </row>
    <row r="30" spans="1:16" x14ac:dyDescent="0.2">
      <c r="A30" s="17" t="s">
        <v>60</v>
      </c>
      <c r="B30" s="27" t="s">
        <v>82</v>
      </c>
      <c r="C30" s="21" t="s">
        <v>83</v>
      </c>
    </row>
    <row r="31" spans="1:16" x14ac:dyDescent="0.2">
      <c r="B31" s="27" t="s">
        <v>84</v>
      </c>
      <c r="C31" s="21" t="s">
        <v>85</v>
      </c>
    </row>
    <row r="32" spans="1:16" x14ac:dyDescent="0.2">
      <c r="B32" s="27" t="s">
        <v>92</v>
      </c>
      <c r="C32" s="21" t="s">
        <v>86</v>
      </c>
    </row>
    <row r="33" spans="2:3" x14ac:dyDescent="0.2">
      <c r="B33" s="27" t="s">
        <v>87</v>
      </c>
      <c r="C33" s="21" t="s">
        <v>88</v>
      </c>
    </row>
    <row r="34" spans="2:3" x14ac:dyDescent="0.2">
      <c r="B34" s="27" t="s">
        <v>93</v>
      </c>
      <c r="C34" s="21" t="s">
        <v>91</v>
      </c>
    </row>
    <row r="35" spans="2:3" x14ac:dyDescent="0.2">
      <c r="B35" s="27"/>
    </row>
    <row r="36" spans="2:3" x14ac:dyDescent="0.2">
      <c r="B36" s="27"/>
    </row>
    <row r="37" spans="2:3" x14ac:dyDescent="0.2">
      <c r="B37" s="27"/>
    </row>
  </sheetData>
  <mergeCells count="9">
    <mergeCell ref="B16:D16"/>
    <mergeCell ref="E16:G16"/>
    <mergeCell ref="H16:I16"/>
    <mergeCell ref="B2:D2"/>
    <mergeCell ref="E2:G2"/>
    <mergeCell ref="H2:I2"/>
    <mergeCell ref="B9:D9"/>
    <mergeCell ref="E9:G9"/>
    <mergeCell ref="H9:I9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7B537-BE21-48EF-9454-90509A4B3093}">
  <sheetPr>
    <tabColor rgb="FFFFFF00"/>
  </sheetPr>
  <dimension ref="A1:BH63"/>
  <sheetViews>
    <sheetView workbookViewId="0">
      <selection activeCell="C4" sqref="C4"/>
    </sheetView>
  </sheetViews>
  <sheetFormatPr defaultRowHeight="15" x14ac:dyDescent="0.25"/>
  <cols>
    <col min="1" max="1" width="30.7109375" customWidth="1"/>
    <col min="2" max="2" width="6.5703125" customWidth="1"/>
    <col min="3" max="3" width="6.140625" bestFit="1" customWidth="1"/>
    <col min="4" max="4" width="7.42578125" bestFit="1" customWidth="1"/>
    <col min="5" max="5" width="9.28515625" bestFit="1" customWidth="1"/>
    <col min="6" max="6" width="8.85546875" customWidth="1"/>
    <col min="7" max="7" width="8.5703125" customWidth="1"/>
    <col min="8" max="8" width="8.140625" customWidth="1"/>
    <col min="9" max="9" width="8.28515625" customWidth="1"/>
    <col min="10" max="10" width="8.85546875" customWidth="1"/>
    <col min="11" max="11" width="9.42578125" customWidth="1"/>
    <col min="12" max="14" width="8.140625" customWidth="1"/>
    <col min="15" max="15" width="3.140625" customWidth="1"/>
    <col min="16" max="18" width="8.7109375" customWidth="1"/>
    <col min="19" max="23" width="10.7109375" customWidth="1"/>
    <col min="24" max="24" width="11.42578125" customWidth="1"/>
    <col min="25" max="25" width="9.7109375" customWidth="1"/>
    <col min="26" max="26" width="4" customWidth="1"/>
    <col min="27" max="27" width="50.28515625" hidden="1" customWidth="1"/>
    <col min="28" max="28" width="3.42578125" hidden="1" customWidth="1"/>
    <col min="30" max="30" width="10" bestFit="1" customWidth="1"/>
    <col min="31" max="32" width="10" customWidth="1"/>
    <col min="35" max="35" width="2.7109375" customWidth="1"/>
    <col min="37" max="37" width="10" bestFit="1" customWidth="1"/>
    <col min="38" max="39" width="10" customWidth="1"/>
    <col min="42" max="42" width="3.85546875" customWidth="1"/>
    <col min="44" max="44" width="10" bestFit="1" customWidth="1"/>
    <col min="45" max="46" width="10" customWidth="1"/>
    <col min="49" max="49" width="3" customWidth="1"/>
    <col min="50" max="50" width="3.140625" customWidth="1"/>
    <col min="51" max="51" width="8.7109375" customWidth="1"/>
    <col min="52" max="52" width="10" bestFit="1" customWidth="1"/>
    <col min="57" max="57" width="3.42578125" customWidth="1"/>
    <col min="58" max="58" width="9.140625" customWidth="1"/>
    <col min="59" max="59" width="10" bestFit="1" customWidth="1"/>
    <col min="60" max="60" width="9.5703125" customWidth="1"/>
    <col min="64" max="64" width="4" customWidth="1"/>
    <col min="71" max="71" width="3.42578125" customWidth="1"/>
  </cols>
  <sheetData>
    <row r="1" spans="1:60" ht="39.75" customHeight="1" x14ac:dyDescent="0.25">
      <c r="A1" s="2"/>
      <c r="B1" s="75" t="s">
        <v>42</v>
      </c>
      <c r="C1" s="75"/>
      <c r="D1" s="75"/>
      <c r="E1" s="75" t="s">
        <v>44</v>
      </c>
      <c r="F1" s="75"/>
      <c r="G1" s="75"/>
      <c r="H1" s="75" t="s">
        <v>43</v>
      </c>
      <c r="I1" s="75"/>
      <c r="J1" s="75" t="s">
        <v>30</v>
      </c>
      <c r="K1" s="75"/>
      <c r="L1" s="75" t="s">
        <v>31</v>
      </c>
      <c r="M1" s="75"/>
      <c r="N1" s="75"/>
      <c r="O1" s="2"/>
      <c r="X1" s="5" t="s">
        <v>6</v>
      </c>
      <c r="Y1" s="5" t="s">
        <v>7</v>
      </c>
    </row>
    <row r="2" spans="1:60" ht="36" customHeight="1" x14ac:dyDescent="0.25">
      <c r="A2" s="6"/>
      <c r="B2" s="7" t="s">
        <v>0</v>
      </c>
      <c r="C2" s="7" t="s">
        <v>1</v>
      </c>
      <c r="D2" s="7" t="s">
        <v>2</v>
      </c>
      <c r="E2" s="7" t="s">
        <v>0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28</v>
      </c>
      <c r="K2" s="7" t="s">
        <v>29</v>
      </c>
      <c r="L2" s="7" t="s">
        <v>8</v>
      </c>
      <c r="M2" s="7" t="s">
        <v>9</v>
      </c>
      <c r="N2" s="7" t="s">
        <v>10</v>
      </c>
      <c r="P2" s="24" t="s">
        <v>3</v>
      </c>
      <c r="Q2" s="24" t="s">
        <v>4</v>
      </c>
      <c r="R2" s="24" t="s">
        <v>5</v>
      </c>
      <c r="S2" s="8" t="s">
        <v>8</v>
      </c>
      <c r="T2" s="8" t="s">
        <v>11</v>
      </c>
      <c r="U2" s="8" t="s">
        <v>12</v>
      </c>
      <c r="V2" s="8" t="s">
        <v>13</v>
      </c>
      <c r="W2" s="8" t="s">
        <v>14</v>
      </c>
      <c r="X2" s="8" t="s">
        <v>15</v>
      </c>
      <c r="Y2" s="8" t="s">
        <v>16</v>
      </c>
      <c r="AC2" s="76" t="str">
        <f>+A4</f>
        <v>Utility weight - Disease free</v>
      </c>
      <c r="AD2" s="76"/>
      <c r="AE2" s="76"/>
      <c r="AF2" s="76"/>
      <c r="AG2" s="76"/>
      <c r="AH2" s="76"/>
      <c r="AJ2" s="76" t="str">
        <f>+A5</f>
        <v>Utility weight - Persistent/recurrent NMIBC</v>
      </c>
      <c r="AK2" s="76"/>
      <c r="AL2" s="76"/>
      <c r="AM2" s="76"/>
      <c r="AN2" s="76"/>
      <c r="AO2" s="76"/>
      <c r="AQ2" s="76" t="str">
        <f>+A6</f>
        <v>Utility weight - MIBC</v>
      </c>
      <c r="AR2" s="76"/>
      <c r="AS2" s="76"/>
      <c r="AT2" s="76"/>
      <c r="AU2" s="76"/>
      <c r="AV2" s="76"/>
    </row>
    <row r="3" spans="1:60" x14ac:dyDescent="0.25">
      <c r="A3" s="9" t="str">
        <f>+'Table 5-5 - inputs'!A3</f>
        <v>Analysis (a): NF for CIS+/- Ta/T1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P3" s="21"/>
      <c r="Q3" s="21"/>
      <c r="R3" s="21"/>
      <c r="BH3" s="1"/>
    </row>
    <row r="4" spans="1:60" x14ac:dyDescent="0.25">
      <c r="A4" s="6" t="str">
        <f>+'Table 5-5 - inputs'!A4</f>
        <v>Utility weight - Disease free</v>
      </c>
      <c r="B4" s="10">
        <f>+'Table 5-5 - inputs'!B4</f>
        <v>0.87</v>
      </c>
      <c r="C4" s="10">
        <f>+'Table 5-5 - inputs'!C4</f>
        <v>0.84670000000000001</v>
      </c>
      <c r="D4" s="10">
        <f>+'Table 5-5 - inputs'!D4</f>
        <v>0.89329999999999998</v>
      </c>
      <c r="E4" s="11">
        <f>+'Table 5-5 - inputs'!E4</f>
        <v>151000</v>
      </c>
      <c r="F4" s="11">
        <f>+'Table 5-5 - inputs'!F4</f>
        <v>155299.3847</v>
      </c>
      <c r="G4" s="11">
        <f>+'Table 5-5 - inputs'!G4</f>
        <v>146351.462</v>
      </c>
      <c r="H4" s="10">
        <f>+'Table 5-5 - inputs'!H4</f>
        <v>0.73597993421052621</v>
      </c>
      <c r="I4" s="10">
        <f>+'Table 5-5 - inputs'!I4</f>
        <v>0.87</v>
      </c>
      <c r="J4" s="11">
        <f>+AH5</f>
        <v>170958.10688071954</v>
      </c>
      <c r="K4" s="11">
        <f>+AH6</f>
        <v>151000.00000000003</v>
      </c>
      <c r="L4" s="12">
        <f>+S4</f>
        <v>6.6086446624899126E-2</v>
      </c>
      <c r="M4" s="14" t="str">
        <f t="shared" ref="M4:N6" si="0">+IF(X4,"YES","NO")</f>
        <v>NO</v>
      </c>
      <c r="N4" s="14" t="str">
        <f t="shared" si="0"/>
        <v>NO</v>
      </c>
      <c r="O4" s="6"/>
      <c r="P4" s="44">
        <f>+MIN(E4,J4,K4)</f>
        <v>151000</v>
      </c>
      <c r="Q4" s="44">
        <f>+MEDIAN(E4,J4,K4)</f>
        <v>151000.00000000003</v>
      </c>
      <c r="R4" s="44">
        <f>+MAX(E4,J4,K4)</f>
        <v>170958.10688071954</v>
      </c>
      <c r="S4" s="45">
        <f>+AVERAGE((Q4-P4)/Q4,(R4-Q4)/Q4)</f>
        <v>6.6086446624899126E-2</v>
      </c>
      <c r="T4" s="6" t="b">
        <f>+AND(E4&lt;=Benchmark1,J4&lt;=Benchmark1,K4&lt;=Benchmark1)</f>
        <v>0</v>
      </c>
      <c r="U4" s="45" t="b">
        <f>+AND(E4&gt;Benchmark1,J4&gt;Benchmark1,K4&gt;Benchmark1)</f>
        <v>1</v>
      </c>
      <c r="V4" s="6" t="b">
        <f>+AND(E4&lt;=Benchmark2,J4&lt;=Benchmark2,K4&lt;=Benchmark2)</f>
        <v>0</v>
      </c>
      <c r="W4" s="45" t="b">
        <f>+AND(E4&gt;Benchmark2,J4&gt;Benchmark2,K4&gt;Benchmark2)</f>
        <v>1</v>
      </c>
      <c r="X4" s="11" t="b">
        <f>+AND(NOT(T4),NOT(U4))</f>
        <v>0</v>
      </c>
      <c r="Y4" s="11" t="b">
        <f>+AND(NOT(V4),NOT(W4))</f>
        <v>0</v>
      </c>
      <c r="AA4" s="11" t="s">
        <v>32</v>
      </c>
      <c r="AC4" s="19">
        <f>+B4</f>
        <v>0.87</v>
      </c>
      <c r="AD4" s="20">
        <f>+E4</f>
        <v>151000</v>
      </c>
      <c r="AE4" s="20"/>
      <c r="AF4" s="20" t="s">
        <v>23</v>
      </c>
      <c r="AG4" s="23">
        <f>-AD7/(2*AC7)</f>
        <v>0.57143974164073275</v>
      </c>
      <c r="AH4" s="23"/>
      <c r="AJ4" s="19">
        <f>+B5</f>
        <v>0.76</v>
      </c>
      <c r="AK4" s="20">
        <f>+E5</f>
        <v>151000</v>
      </c>
      <c r="AL4" s="20"/>
      <c r="AM4" s="20" t="s">
        <v>23</v>
      </c>
      <c r="AN4" s="23">
        <f>-AK7/(2*AJ7)</f>
        <v>0.23564514132331349</v>
      </c>
      <c r="AO4" s="23"/>
      <c r="AQ4" s="19">
        <f>+B6</f>
        <v>0.75</v>
      </c>
      <c r="AR4" s="20">
        <f>+E6</f>
        <v>151000</v>
      </c>
      <c r="AS4" s="20"/>
      <c r="AT4" s="20" t="s">
        <v>23</v>
      </c>
      <c r="AU4" s="23">
        <f>-AR7/(2*AQ7)</f>
        <v>0.92501972645599606</v>
      </c>
      <c r="AV4" s="23"/>
      <c r="BH4" s="1"/>
    </row>
    <row r="5" spans="1:60" x14ac:dyDescent="0.25">
      <c r="A5" s="6" t="str">
        <f>+'Table 5-5 - inputs'!A5</f>
        <v>Utility weight - Persistent/recurrent NMIBC</v>
      </c>
      <c r="B5" s="10">
        <f>+'Table 5-5 - inputs'!B5</f>
        <v>0.76</v>
      </c>
      <c r="C5" s="10">
        <f>+'Table 5-5 - inputs'!C5</f>
        <v>0.70660000000000001</v>
      </c>
      <c r="D5" s="10">
        <f>+'Table 5-5 - inputs'!D5</f>
        <v>0.81340000000000001</v>
      </c>
      <c r="E5" s="11">
        <f>+'Table 5-5 - inputs'!E5</f>
        <v>151000</v>
      </c>
      <c r="F5" s="11">
        <f>+'Table 5-5 - inputs'!F5</f>
        <v>152586.60569999999</v>
      </c>
      <c r="G5" s="11">
        <f>+'Table 5-5 - inputs'!G5</f>
        <v>149243.14629999999</v>
      </c>
      <c r="H5" s="10">
        <f>+'Table 5-5 - inputs'!H5</f>
        <v>0.64292499999999997</v>
      </c>
      <c r="I5" s="10">
        <f>+'Table 5-5 - inputs'!I5</f>
        <v>0.65338235294117653</v>
      </c>
      <c r="J5" s="11">
        <f>+AO5</f>
        <v>154255.96208955301</v>
      </c>
      <c r="K5" s="11">
        <f>+AO6</f>
        <v>153998.41644516913</v>
      </c>
      <c r="L5" s="12">
        <f t="shared" ref="L5:L6" si="1">+S5</f>
        <v>1.0571414189548791E-2</v>
      </c>
      <c r="M5" s="14" t="str">
        <f t="shared" si="0"/>
        <v>NO</v>
      </c>
      <c r="N5" s="14" t="str">
        <f t="shared" si="0"/>
        <v>NO</v>
      </c>
      <c r="O5" s="6"/>
      <c r="P5" s="44">
        <f>+MIN(E5,J5,K5)</f>
        <v>151000</v>
      </c>
      <c r="Q5" s="44">
        <f>+MEDIAN(E5,J5,K5)</f>
        <v>153998.41644516913</v>
      </c>
      <c r="R5" s="44">
        <f>+MAX(E5,J5,K5)</f>
        <v>154255.96208955301</v>
      </c>
      <c r="S5" s="45">
        <f t="shared" ref="S5:S6" si="2">+AVERAGE((Q5-P5)/Q5,(R5-Q5)/Q5)</f>
        <v>1.0571414189548791E-2</v>
      </c>
      <c r="T5" s="6" t="b">
        <f>+AND(E5&lt;=Benchmark1,J5&lt;=Benchmark1,K5&lt;=Benchmark1)</f>
        <v>0</v>
      </c>
      <c r="U5" s="45" t="b">
        <f>+AND(E5&gt;Benchmark1,J5&gt;Benchmark1,K5&gt;Benchmark1)</f>
        <v>1</v>
      </c>
      <c r="V5" s="6" t="b">
        <f>+AND(E5&lt;=Benchmark2,J5&lt;=Benchmark2,K5&lt;=Benchmark2)</f>
        <v>0</v>
      </c>
      <c r="W5" s="45" t="b">
        <f>+AND(E5&gt;Benchmark2,J5&gt;Benchmark2,K5&gt;Benchmark2)</f>
        <v>1</v>
      </c>
      <c r="X5" s="11" t="b">
        <f>+AND(NOT(T5),NOT(U5))</f>
        <v>0</v>
      </c>
      <c r="Y5" s="11" t="b">
        <f>+AND(NOT(V5),NOT(W5))</f>
        <v>0</v>
      </c>
      <c r="AA5" s="11" t="s">
        <v>33</v>
      </c>
      <c r="AC5" s="19">
        <f>+C4</f>
        <v>0.84670000000000001</v>
      </c>
      <c r="AD5" s="20">
        <f>+F4</f>
        <v>155299.3847</v>
      </c>
      <c r="AE5" s="20"/>
      <c r="AF5" s="20" t="s">
        <v>24</v>
      </c>
      <c r="AG5" s="23">
        <f>+H4</f>
        <v>0.73597993421052621</v>
      </c>
      <c r="AH5" s="20">
        <f>+AC9*AG5^2+AD9*AG5+AE9</f>
        <v>170958.10688071954</v>
      </c>
      <c r="AJ5" s="19">
        <f>+C5</f>
        <v>0.70660000000000001</v>
      </c>
      <c r="AK5" s="20">
        <f>+F5</f>
        <v>152586.60569999999</v>
      </c>
      <c r="AL5" s="20"/>
      <c r="AM5" s="20" t="s">
        <v>24</v>
      </c>
      <c r="AN5" s="23">
        <f>+H5</f>
        <v>0.64292499999999997</v>
      </c>
      <c r="AO5" s="20">
        <f>+AJ9*AN5^2+AK9*AN5+AL9</f>
        <v>154255.96208955301</v>
      </c>
      <c r="AQ5" s="19">
        <f>+C6</f>
        <v>0.66820000000000002</v>
      </c>
      <c r="AR5" s="20">
        <f>+F6</f>
        <v>149780.09049999999</v>
      </c>
      <c r="AS5" s="20"/>
      <c r="AT5" s="20" t="s">
        <v>24</v>
      </c>
      <c r="AU5" s="23">
        <f>+H6</f>
        <v>0.54648624999999995</v>
      </c>
      <c r="AV5" s="20">
        <f>+AQ9*AU5^2+AR9*AU5+AS9</f>
        <v>147109.50270710277</v>
      </c>
      <c r="BH5" s="1"/>
    </row>
    <row r="6" spans="1:60" x14ac:dyDescent="0.25">
      <c r="A6" s="6" t="str">
        <f>+'Table 5-5 - inputs'!A6</f>
        <v>Utility weight - MIBC</v>
      </c>
      <c r="B6" s="10">
        <f>+'Table 5-5 - inputs'!B6</f>
        <v>0.75</v>
      </c>
      <c r="C6" s="10">
        <f>+'Table 5-5 - inputs'!C6</f>
        <v>0.66820000000000002</v>
      </c>
      <c r="D6" s="10">
        <f>+'Table 5-5 - inputs'!D6</f>
        <v>0.83179999999999998</v>
      </c>
      <c r="E6" s="11">
        <f>+'Table 5-5 - inputs'!E6</f>
        <v>151000</v>
      </c>
      <c r="F6" s="11">
        <f>+'Table 5-5 - inputs'!F6</f>
        <v>149780.09049999999</v>
      </c>
      <c r="G6" s="11">
        <f>+'Table 5-5 - inputs'!G6</f>
        <v>151757.75349999999</v>
      </c>
      <c r="H6" s="10">
        <f>+'Table 5-5 - inputs'!H6</f>
        <v>0.54648624999999995</v>
      </c>
      <c r="I6" s="10">
        <f>+'Table 5-5 - inputs'!I6</f>
        <v>0.70735294117647063</v>
      </c>
      <c r="J6" s="11">
        <f>+AV5</f>
        <v>147109.50270710277</v>
      </c>
      <c r="K6" s="11">
        <f>+AV6</f>
        <v>150421.65489791264</v>
      </c>
      <c r="L6" s="12">
        <f t="shared" si="1"/>
        <v>1.2931972113781122E-2</v>
      </c>
      <c r="M6" s="14" t="str">
        <f t="shared" si="0"/>
        <v>NO</v>
      </c>
      <c r="N6" s="14" t="str">
        <f t="shared" si="0"/>
        <v>YES</v>
      </c>
      <c r="O6" s="6"/>
      <c r="P6" s="44">
        <f>+MIN(E6,J6,K6)</f>
        <v>147109.50270710277</v>
      </c>
      <c r="Q6" s="44">
        <f>+MEDIAN(E6,J6,K6)</f>
        <v>150421.65489791264</v>
      </c>
      <c r="R6" s="44">
        <f>+MAX(E6,J6,K6)</f>
        <v>151000</v>
      </c>
      <c r="S6" s="45">
        <f t="shared" si="2"/>
        <v>1.2931972113781122E-2</v>
      </c>
      <c r="T6" s="6" t="b">
        <f>+AND(E6&lt;=Benchmark1,J6&lt;=Benchmark1,K6&lt;=Benchmark1)</f>
        <v>0</v>
      </c>
      <c r="U6" s="45" t="b">
        <f>+AND(E6&gt;Benchmark1,J6&gt;Benchmark1,K6&gt;Benchmark1)</f>
        <v>1</v>
      </c>
      <c r="V6" s="6" t="b">
        <f>+AND(E6&lt;=Benchmark2,J6&lt;=Benchmark2,K6&lt;=Benchmark2)</f>
        <v>0</v>
      </c>
      <c r="W6" s="45" t="b">
        <f>+AND(E6&gt;Benchmark2,J6&gt;Benchmark2,K6&gt;Benchmark2)</f>
        <v>0</v>
      </c>
      <c r="X6" s="11" t="b">
        <f>+AND(NOT(T6),NOT(U6))</f>
        <v>0</v>
      </c>
      <c r="Y6" s="11" t="b">
        <f>+AND(NOT(V6),NOT(W6))</f>
        <v>1</v>
      </c>
      <c r="AA6" s="11" t="s">
        <v>34</v>
      </c>
      <c r="AC6" s="19">
        <f>+D4</f>
        <v>0.89329999999999998</v>
      </c>
      <c r="AD6" s="20">
        <f>+G4</f>
        <v>146351.462</v>
      </c>
      <c r="AE6" s="20"/>
      <c r="AF6" s="20" t="s">
        <v>25</v>
      </c>
      <c r="AG6" s="23">
        <f>+I4</f>
        <v>0.87</v>
      </c>
      <c r="AH6" s="20">
        <f>+AC9*AG6^2+AD9*AG6+AE9</f>
        <v>151000.00000000003</v>
      </c>
      <c r="AJ6" s="19">
        <f>+D5</f>
        <v>0.81340000000000001</v>
      </c>
      <c r="AK6" s="20">
        <f>+G5</f>
        <v>149243.14629999999</v>
      </c>
      <c r="AL6" s="20"/>
      <c r="AM6" s="20" t="s">
        <v>25</v>
      </c>
      <c r="AN6" s="23">
        <f>+I5</f>
        <v>0.65338235294117653</v>
      </c>
      <c r="AO6" s="20">
        <f>+AJ9*AN6^2+AK9*AN6+AL9</f>
        <v>153998.41644516913</v>
      </c>
      <c r="AQ6" s="19">
        <f>+D6</f>
        <v>0.83179999999999998</v>
      </c>
      <c r="AR6" s="20">
        <f>+G6</f>
        <v>151757.75349999999</v>
      </c>
      <c r="AS6" s="20"/>
      <c r="AT6" s="20" t="s">
        <v>25</v>
      </c>
      <c r="AU6" s="23">
        <f>+I6</f>
        <v>0.70735294117647063</v>
      </c>
      <c r="AV6" s="20">
        <f>+AQ9*AU6^2+AR9*AU6+AS9</f>
        <v>150421.65489791264</v>
      </c>
      <c r="BH6" s="1"/>
    </row>
    <row r="7" spans="1:60" x14ac:dyDescent="0.25">
      <c r="A7" s="6"/>
      <c r="B7" s="10"/>
      <c r="C7" s="10"/>
      <c r="D7" s="10"/>
      <c r="E7" s="11"/>
      <c r="F7" s="11"/>
      <c r="G7" s="11"/>
      <c r="H7" s="10"/>
      <c r="I7" s="10"/>
      <c r="J7" s="11"/>
      <c r="K7" s="11"/>
      <c r="L7" s="12"/>
      <c r="M7" s="14"/>
      <c r="N7" s="14"/>
      <c r="O7" s="6"/>
      <c r="P7" s="44"/>
      <c r="Q7" s="44"/>
      <c r="R7" s="44"/>
      <c r="S7" s="45"/>
      <c r="T7" s="6"/>
      <c r="U7" s="45"/>
      <c r="V7" s="6"/>
      <c r="W7" s="45"/>
      <c r="X7" s="11"/>
      <c r="Y7" s="11"/>
      <c r="AA7" s="11" t="s">
        <v>35</v>
      </c>
      <c r="AC7" s="22" cm="1">
        <f t="array" ref="AC7:AE7">+LINEST(AD4:AD6,AC4:AC6^{1,2})</f>
        <v>-321569.10239646258</v>
      </c>
      <c r="AD7" s="22">
        <v>367514.72958615382</v>
      </c>
      <c r="AE7" s="22">
        <v>74657.838863928715</v>
      </c>
      <c r="AG7" s="21">
        <f>+OR(AG4=MIN(AG4:AG6,AC4:AC6),AG4=MAX(AG4:AG6,AC4:AC6))*1</f>
        <v>1</v>
      </c>
      <c r="AI7" s="4"/>
      <c r="AJ7" s="22" cm="1">
        <f t="array" ref="AJ7:AL7">+LINEST(AK4:AK6,AJ4:AJ6^{1,2})</f>
        <v>-29851.730280972784</v>
      </c>
      <c r="AK7" s="22">
        <v>14068.830401610538</v>
      </c>
      <c r="AL7" s="22">
        <v>157550.04830506587</v>
      </c>
      <c r="AM7" s="22"/>
      <c r="AN7" s="21">
        <f>+OR(AN4=MIN(AN4:AN6,AJ4:AJ6),AN4=MAX(AN4:AN6,AJ4:AJ6))*1</f>
        <v>1</v>
      </c>
      <c r="AQ7" s="22" cm="1">
        <f t="array" ref="AQ7:AS7">+LINEST(AR4:AR6,AQ4:AQ6^{1,2})</f>
        <v>-34534.406178826008</v>
      </c>
      <c r="AR7" s="22">
        <v>63890.013913715789</v>
      </c>
      <c r="AS7" s="22">
        <v>122508.09304030279</v>
      </c>
      <c r="AT7" s="22"/>
      <c r="AU7" s="21">
        <f>+OR(AU4=MIN(AU4:AU6,AQ4:AQ6),AU4=MAX(AU4:AU6,AQ4:AQ6))*1</f>
        <v>1</v>
      </c>
      <c r="BH7" s="1"/>
    </row>
    <row r="8" spans="1:60" x14ac:dyDescent="0.25">
      <c r="A8" s="6"/>
      <c r="B8" s="10"/>
      <c r="C8" s="10"/>
      <c r="D8" s="14"/>
      <c r="E8" s="6"/>
      <c r="F8" s="6"/>
      <c r="G8" s="6"/>
      <c r="H8" s="10"/>
      <c r="I8" s="10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AA8" s="11"/>
      <c r="AD8" s="22" cm="1">
        <f t="array" ref="AD8:AE8">+LINEST(AD4:AD6,AC4:AC6^{1})</f>
        <v>-192015.50858369097</v>
      </c>
      <c r="AE8" s="22">
        <v>317937.1080344778</v>
      </c>
      <c r="AG8" s="21">
        <f>+NOT(AG7)*1</f>
        <v>0</v>
      </c>
      <c r="AK8" s="22" cm="1">
        <f t="array" ref="AK8:AL8">+LINEST(AK4:AK6,AJ4:AJ6^{1})</f>
        <v>-31305.799625468106</v>
      </c>
      <c r="AL8" s="22">
        <v>174735.65838202243</v>
      </c>
      <c r="AM8" s="22"/>
      <c r="AN8" s="21">
        <f>+NOT(AN7)*1</f>
        <v>0</v>
      </c>
      <c r="AR8" s="22" cm="1">
        <f t="array" ref="AR8:AS8">+LINEST(AR4:AR6,AQ4:AQ6^{1})</f>
        <v>12088.404645476778</v>
      </c>
      <c r="AS8" s="22">
        <v>141779.64451589243</v>
      </c>
      <c r="AT8" s="22"/>
      <c r="AU8" s="21">
        <f>+NOT(AU7)*1</f>
        <v>0</v>
      </c>
      <c r="BH8" s="1"/>
    </row>
    <row r="9" spans="1:60" x14ac:dyDescent="0.25">
      <c r="A9" s="6"/>
      <c r="B9" s="10"/>
      <c r="C9" s="10"/>
      <c r="D9" s="14"/>
      <c r="E9" s="6"/>
      <c r="F9" s="6"/>
      <c r="G9" s="6"/>
      <c r="H9" s="10"/>
      <c r="I9" s="10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AA9" s="11"/>
      <c r="AC9" s="22">
        <f>+SUMPRODUCT(AC7:AC8,AG7:AG8)</f>
        <v>-321569.10239646258</v>
      </c>
      <c r="AD9" s="22">
        <f>+SUMPRODUCT(AD7:AD8,AG7:AG8)</f>
        <v>367514.72958615382</v>
      </c>
      <c r="AE9" s="22">
        <f>+SUMPRODUCT(AE7:AE8,AG7:AG8)</f>
        <v>74657.838863928715</v>
      </c>
      <c r="AJ9" s="22">
        <f>+SUMPRODUCT(AJ7:AJ8,AN7:AN8)</f>
        <v>-29851.730280972784</v>
      </c>
      <c r="AK9" s="22">
        <f>+SUMPRODUCT(AK7:AK8,AN7:AN8)</f>
        <v>14068.830401610538</v>
      </c>
      <c r="AL9" s="22">
        <f>+SUMPRODUCT(AL7:AL8,AN7:AN8)</f>
        <v>157550.04830506587</v>
      </c>
      <c r="AQ9" s="22">
        <f>+SUMPRODUCT(AQ7:AQ8,AU7:AU8)</f>
        <v>-34534.406178826008</v>
      </c>
      <c r="AR9" s="22">
        <f>+SUMPRODUCT(AR7:AR8,AU7:AU8)</f>
        <v>63890.013913715789</v>
      </c>
      <c r="AS9" s="22">
        <f>+SUMPRODUCT(AS7:AS8,AU7:AU8)</f>
        <v>122508.09304030279</v>
      </c>
      <c r="AV9" s="3"/>
      <c r="BH9" s="1"/>
    </row>
    <row r="10" spans="1:60" x14ac:dyDescent="0.25">
      <c r="A10" s="6"/>
      <c r="B10" s="10"/>
      <c r="C10" s="10"/>
      <c r="D10" s="14"/>
      <c r="E10" s="6"/>
      <c r="F10" s="6"/>
      <c r="G10" s="6"/>
      <c r="H10" s="10"/>
      <c r="I10" s="10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AA10" s="11"/>
      <c r="AC10" s="22"/>
      <c r="AD10" s="22"/>
      <c r="AE10" s="22"/>
      <c r="AJ10" s="22"/>
      <c r="AK10" s="22"/>
      <c r="AL10" s="22"/>
      <c r="AQ10" s="22"/>
      <c r="AR10" s="22"/>
      <c r="AS10" s="22"/>
      <c r="AV10" s="3"/>
      <c r="BH10" s="1"/>
    </row>
    <row r="11" spans="1:60" x14ac:dyDescent="0.25">
      <c r="A11" s="9" t="str">
        <f>+'Table 5-5 - inputs'!A10</f>
        <v>Analysis (b): OM for CIS+/- Ta/T1</v>
      </c>
      <c r="B11" s="10"/>
      <c r="C11" s="10"/>
      <c r="D11" s="14"/>
      <c r="E11" s="6"/>
      <c r="F11" s="6"/>
      <c r="G11" s="6"/>
      <c r="H11" s="10"/>
      <c r="I11" s="10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AA11" s="11"/>
      <c r="AC11" s="74" t="str">
        <f>+A12</f>
        <v>Utility weight - Disease free</v>
      </c>
      <c r="AD11" s="74"/>
      <c r="AE11" s="74"/>
      <c r="AF11" s="74"/>
      <c r="AG11" s="74"/>
      <c r="AH11" s="74"/>
      <c r="AJ11" s="74" t="str">
        <f>+A13</f>
        <v>Utility weight - Persistent/recurrent NMIBC</v>
      </c>
      <c r="AK11" s="74"/>
      <c r="AL11" s="74"/>
      <c r="AM11" s="74"/>
      <c r="AN11" s="74"/>
      <c r="AO11" s="74"/>
      <c r="AQ11" s="74" t="str">
        <f>+A14</f>
        <v>Utility weight - MIBC</v>
      </c>
      <c r="AR11" s="74"/>
      <c r="AS11" s="74"/>
      <c r="AT11" s="74"/>
      <c r="AU11" s="74"/>
      <c r="AV11" s="74"/>
      <c r="BH11" s="1"/>
    </row>
    <row r="12" spans="1:60" x14ac:dyDescent="0.25">
      <c r="A12" s="6" t="str">
        <f>+'Table 5-5 - inputs'!A4</f>
        <v>Utility weight - Disease free</v>
      </c>
      <c r="B12" s="10">
        <f>+'Table 5-5 - inputs'!B11</f>
        <v>0.87</v>
      </c>
      <c r="C12" s="10">
        <f>+'Table 5-5 - inputs'!C11</f>
        <v>0.84670000000000001</v>
      </c>
      <c r="D12" s="10">
        <f>+'Table 5-5 - inputs'!D11</f>
        <v>0.89329999999999998</v>
      </c>
      <c r="E12" s="11">
        <f>+'Table 5-5 - inputs'!E11</f>
        <v>382000</v>
      </c>
      <c r="F12" s="11">
        <f>+'Table 5-5 - inputs'!F11</f>
        <v>399640.56800000003</v>
      </c>
      <c r="G12" s="11">
        <f>+'Table 5-5 - inputs'!G11</f>
        <v>367358.97610000003</v>
      </c>
      <c r="H12" s="10">
        <f>+'Table 5-5 - inputs'!H11</f>
        <v>0.73597993421052621</v>
      </c>
      <c r="I12" s="10">
        <f>+'Table 5-5 - inputs'!I11</f>
        <v>0.87</v>
      </c>
      <c r="J12" s="11">
        <f>+AH13</f>
        <v>524460.37359934021</v>
      </c>
      <c r="K12" s="11">
        <f>+AH14</f>
        <v>382000</v>
      </c>
      <c r="L12" s="12">
        <f t="shared" ref="L12:L14" si="3">+S12</f>
        <v>0.18646645759075944</v>
      </c>
      <c r="M12" s="14" t="str">
        <f t="shared" ref="M12:N14" si="4">+IF(X12,"YES","NO")</f>
        <v>NO</v>
      </c>
      <c r="N12" s="14" t="str">
        <f t="shared" si="4"/>
        <v>NO</v>
      </c>
      <c r="O12" s="6"/>
      <c r="P12" s="44">
        <f>+MIN(E12,J12,K12)</f>
        <v>382000</v>
      </c>
      <c r="Q12" s="44">
        <f>+MEDIAN(E12,J12,K12)</f>
        <v>382000</v>
      </c>
      <c r="R12" s="44">
        <f>+MAX(E12,J12,K12)</f>
        <v>524460.37359934021</v>
      </c>
      <c r="S12" s="45">
        <f t="shared" ref="S12:S14" si="5">+AVERAGE((Q12-P12)/Q12,(R12-Q12)/Q12)</f>
        <v>0.18646645759075944</v>
      </c>
      <c r="T12" s="6" t="b">
        <f>+AND(E12&lt;=Benchmark1,J12&lt;=Benchmark1,K12&lt;=Benchmark1)</f>
        <v>0</v>
      </c>
      <c r="U12" s="45" t="b">
        <f>+AND(E12&gt;Benchmark1,J12&gt;Benchmark1,K12&gt;Benchmark1)</f>
        <v>1</v>
      </c>
      <c r="V12" s="6" t="b">
        <f>+AND(E12&lt;=Benchmark2,J12&lt;=Benchmark2,K12&lt;=Benchmark2)</f>
        <v>0</v>
      </c>
      <c r="W12" s="45" t="b">
        <f>+AND(E12&gt;Benchmark2,J12&gt;Benchmark2,K12&gt;Benchmark2)</f>
        <v>1</v>
      </c>
      <c r="X12" s="11" t="b">
        <f>+AND(NOT(T12),NOT(U12))</f>
        <v>0</v>
      </c>
      <c r="Y12" s="11" t="b">
        <f>+AND(NOT(V12),NOT(W12))</f>
        <v>0</v>
      </c>
      <c r="AA12" s="11" t="s">
        <v>17</v>
      </c>
      <c r="AC12" s="19">
        <f>+B12</f>
        <v>0.87</v>
      </c>
      <c r="AD12" s="20">
        <f>+E12</f>
        <v>382000</v>
      </c>
      <c r="AE12" s="20"/>
      <c r="AF12" s="20" t="s">
        <v>23</v>
      </c>
      <c r="AG12" s="23">
        <f>-AD15/(2*AC15)</f>
        <v>0.99537923534278516</v>
      </c>
      <c r="AH12" s="23"/>
      <c r="AJ12" s="19">
        <f>+B13</f>
        <v>0.76</v>
      </c>
      <c r="AK12" s="20">
        <f>+E13</f>
        <v>382000</v>
      </c>
      <c r="AL12" s="20"/>
      <c r="AM12" s="20" t="s">
        <v>23</v>
      </c>
      <c r="AN12" s="23">
        <f>-AK15/(2*AJ15)</f>
        <v>0.50978958712497313</v>
      </c>
      <c r="AO12" s="23"/>
      <c r="AQ12" s="19">
        <f>+B14</f>
        <v>0.75</v>
      </c>
      <c r="AR12" s="20">
        <f>+E14</f>
        <v>382000</v>
      </c>
      <c r="AS12" s="20"/>
      <c r="AT12" s="20" t="s">
        <v>23</v>
      </c>
      <c r="AU12" s="23">
        <f>-AR15/(2*AQ15)</f>
        <v>0.79090021413668532</v>
      </c>
      <c r="AV12" s="23"/>
    </row>
    <row r="13" spans="1:60" x14ac:dyDescent="0.25">
      <c r="A13" s="6" t="str">
        <f>+'Table 5-5 - inputs'!A5</f>
        <v>Utility weight - Persistent/recurrent NMIBC</v>
      </c>
      <c r="B13" s="10">
        <f>+'Table 5-5 - inputs'!B12</f>
        <v>0.76</v>
      </c>
      <c r="C13" s="10">
        <f>+'Table 5-5 - inputs'!C12</f>
        <v>0.70660000000000001</v>
      </c>
      <c r="D13" s="10">
        <f>+'Table 5-5 - inputs'!D12</f>
        <v>0.81340000000000001</v>
      </c>
      <c r="E13" s="11">
        <f>+'Table 5-5 - inputs'!E12</f>
        <v>382000</v>
      </c>
      <c r="F13" s="11">
        <f>+'Table 5-5 - inputs'!F12</f>
        <v>373663.71789999999</v>
      </c>
      <c r="G13" s="11">
        <f>+'Table 5-5 - inputs'!G12</f>
        <v>392327.94530000002</v>
      </c>
      <c r="H13" s="10">
        <f>+'Table 5-5 - inputs'!H12</f>
        <v>0.64292499999999997</v>
      </c>
      <c r="I13" s="10">
        <f>+'Table 5-5 - inputs'!I12</f>
        <v>0.65338235294117653</v>
      </c>
      <c r="J13" s="11">
        <f>+AO13</f>
        <v>366326.77766847075</v>
      </c>
      <c r="K13" s="11">
        <f>+AO14</f>
        <v>367337.37591400684</v>
      </c>
      <c r="L13" s="12">
        <f t="shared" si="3"/>
        <v>2.1333552422389941E-2</v>
      </c>
      <c r="M13" s="14" t="str">
        <f t="shared" si="4"/>
        <v>NO</v>
      </c>
      <c r="N13" s="14" t="str">
        <f t="shared" si="4"/>
        <v>NO</v>
      </c>
      <c r="O13" s="6"/>
      <c r="P13" s="44">
        <f>+MIN(E13,J13,K13)</f>
        <v>366326.77766847075</v>
      </c>
      <c r="Q13" s="44">
        <f>+MEDIAN(E13,J13,K13)</f>
        <v>367337.37591400684</v>
      </c>
      <c r="R13" s="44">
        <f>+MAX(E13,J13,K13)</f>
        <v>382000</v>
      </c>
      <c r="S13" s="45">
        <f t="shared" si="5"/>
        <v>2.1333552422389941E-2</v>
      </c>
      <c r="T13" s="6" t="b">
        <f>+AND(E13&lt;=Benchmark1,J13&lt;=Benchmark1,K13&lt;=Benchmark1)</f>
        <v>0</v>
      </c>
      <c r="U13" s="45" t="b">
        <f>+AND(E13&gt;Benchmark1,J13&gt;Benchmark1,K13&gt;Benchmark1)</f>
        <v>1</v>
      </c>
      <c r="V13" s="6" t="b">
        <f>+AND(E13&lt;=Benchmark2,J13&lt;=Benchmark2,K13&lt;=Benchmark2)</f>
        <v>0</v>
      </c>
      <c r="W13" s="45" t="b">
        <f>+AND(E13&gt;Benchmark2,J13&gt;Benchmark2,K13&gt;Benchmark2)</f>
        <v>1</v>
      </c>
      <c r="X13" s="11" t="b">
        <f>+AND(NOT(T13),NOT(U13))</f>
        <v>0</v>
      </c>
      <c r="Y13" s="11" t="b">
        <f>+AND(NOT(V13),NOT(W13))</f>
        <v>0</v>
      </c>
      <c r="AA13" s="11" t="s">
        <v>33</v>
      </c>
      <c r="AC13" s="19">
        <f>+C12</f>
        <v>0.84670000000000001</v>
      </c>
      <c r="AD13" s="20">
        <f>+F12</f>
        <v>399640.56800000003</v>
      </c>
      <c r="AE13" s="20"/>
      <c r="AF13" s="20" t="s">
        <v>24</v>
      </c>
      <c r="AG13" s="23">
        <f>+H12</f>
        <v>0.73597993421052621</v>
      </c>
      <c r="AH13" s="20">
        <f>+AC17*AG13^2+AD17*AG13+AE17</f>
        <v>524460.37359934021</v>
      </c>
      <c r="AJ13" s="19">
        <f>+C13</f>
        <v>0.70660000000000001</v>
      </c>
      <c r="AK13" s="20">
        <f>+F13</f>
        <v>373663.71789999999</v>
      </c>
      <c r="AL13" s="20"/>
      <c r="AM13" s="20" t="s">
        <v>24</v>
      </c>
      <c r="AN13" s="23">
        <f>+H13</f>
        <v>0.64292499999999997</v>
      </c>
      <c r="AO13" s="20">
        <f>+AJ17*AN13^2+AK17*AN13+AL17</f>
        <v>366326.77766847075</v>
      </c>
      <c r="AQ13" s="19">
        <f>+C14</f>
        <v>0.66820000000000002</v>
      </c>
      <c r="AR13" s="20">
        <f>+F14</f>
        <v>383253.75809999998</v>
      </c>
      <c r="AS13" s="20"/>
      <c r="AT13" s="20" t="s">
        <v>24</v>
      </c>
      <c r="AU13" s="23">
        <f>+H14</f>
        <v>0.54648624999999995</v>
      </c>
      <c r="AV13" s="20">
        <f>+AQ17*AU13^2+AR17*AU13+AS17</f>
        <v>383977.56179631763</v>
      </c>
    </row>
    <row r="14" spans="1:60" x14ac:dyDescent="0.25">
      <c r="A14" s="6" t="str">
        <f>+'Table 5-5 - inputs'!A6</f>
        <v>Utility weight - MIBC</v>
      </c>
      <c r="B14" s="10">
        <f>+'Table 5-5 - inputs'!B13</f>
        <v>0.75</v>
      </c>
      <c r="C14" s="10">
        <f>+'Table 5-5 - inputs'!C13</f>
        <v>0.66820000000000002</v>
      </c>
      <c r="D14" s="10">
        <f>+'Table 5-5 - inputs'!D13</f>
        <v>0.83179999999999998</v>
      </c>
      <c r="E14" s="11">
        <f>+'Table 5-5 - inputs'!E13</f>
        <v>382000</v>
      </c>
      <c r="F14" s="11">
        <f>+'Table 5-5 - inputs'!F13</f>
        <v>383253.75809999998</v>
      </c>
      <c r="G14" s="11">
        <f>+'Table 5-5 - inputs'!G13</f>
        <v>381999.99671791075</v>
      </c>
      <c r="H14" s="10">
        <f>+'Table 5-5 - inputs'!H13</f>
        <v>0.54648624999999995</v>
      </c>
      <c r="I14" s="10">
        <f>+'Table 5-5 - inputs'!I13</f>
        <v>0.70735294117647063</v>
      </c>
      <c r="J14" s="11">
        <f>+AV13</f>
        <v>383977.56179631763</v>
      </c>
      <c r="K14" s="11">
        <f>+AV14</f>
        <v>382744.74733995128</v>
      </c>
      <c r="L14" s="12">
        <f t="shared" si="3"/>
        <v>2.5833950825733696E-3</v>
      </c>
      <c r="M14" s="14" t="str">
        <f t="shared" si="4"/>
        <v>NO</v>
      </c>
      <c r="N14" s="14" t="str">
        <f t="shared" si="4"/>
        <v>NO</v>
      </c>
      <c r="O14" s="6"/>
      <c r="P14" s="44">
        <f>+MIN(E14,J14,K14)</f>
        <v>382000</v>
      </c>
      <c r="Q14" s="44">
        <f>+MEDIAN(E14,J14,K14)</f>
        <v>382744.74733995128</v>
      </c>
      <c r="R14" s="44">
        <f>+MAX(E14,J14,K14)</f>
        <v>383977.56179631763</v>
      </c>
      <c r="S14" s="45">
        <f t="shared" si="5"/>
        <v>2.5833950825733696E-3</v>
      </c>
      <c r="T14" s="6" t="b">
        <f>+AND(E14&lt;=Benchmark1,J14&lt;=Benchmark1,K14&lt;=Benchmark1)</f>
        <v>0</v>
      </c>
      <c r="U14" s="45" t="b">
        <f>+AND(E14&gt;Benchmark1,J14&gt;Benchmark1,K14&gt;Benchmark1)</f>
        <v>1</v>
      </c>
      <c r="V14" s="6" t="b">
        <f>+AND(E14&lt;=Benchmark2,J14&lt;=Benchmark2,K14&lt;=Benchmark2)</f>
        <v>0</v>
      </c>
      <c r="W14" s="45" t="b">
        <f>+AND(E14&gt;Benchmark2,J14&gt;Benchmark2,K14&gt;Benchmark2)</f>
        <v>1</v>
      </c>
      <c r="X14" s="11" t="b">
        <f>+AND(NOT(T14),NOT(U14))</f>
        <v>0</v>
      </c>
      <c r="Y14" s="11" t="b">
        <f>+AND(NOT(V14),NOT(W14))</f>
        <v>0</v>
      </c>
      <c r="AA14" s="11" t="s">
        <v>18</v>
      </c>
      <c r="AC14" s="19">
        <f>+D12</f>
        <v>0.89329999999999998</v>
      </c>
      <c r="AD14" s="20">
        <f>+G12</f>
        <v>367358.97610000003</v>
      </c>
      <c r="AE14" s="20"/>
      <c r="AF14" s="20" t="s">
        <v>25</v>
      </c>
      <c r="AG14" s="23">
        <f>+I12</f>
        <v>0.87</v>
      </c>
      <c r="AH14" s="20">
        <f>+AC17*AG14^2+AD17*AG14+AE17</f>
        <v>382000</v>
      </c>
      <c r="AJ14" s="19">
        <f>+D13</f>
        <v>0.81340000000000001</v>
      </c>
      <c r="AK14" s="20">
        <f>+G13</f>
        <v>392327.94530000002</v>
      </c>
      <c r="AL14" s="20"/>
      <c r="AM14" s="20" t="s">
        <v>25</v>
      </c>
      <c r="AN14" s="23">
        <f>+I13</f>
        <v>0.65338235294117653</v>
      </c>
      <c r="AO14" s="20">
        <f>+AJ17*AN14^2+AK17*AN14+AL17</f>
        <v>367337.37591400684</v>
      </c>
      <c r="AQ14" s="19">
        <f>+D14</f>
        <v>0.83179999999999998</v>
      </c>
      <c r="AR14" s="20">
        <f>+G14</f>
        <v>381999.99671791075</v>
      </c>
      <c r="AS14" s="20"/>
      <c r="AT14" s="20" t="s">
        <v>25</v>
      </c>
      <c r="AU14" s="23">
        <f>+I14</f>
        <v>0.70735294117647063</v>
      </c>
      <c r="AV14" s="20">
        <f>+AQ17*AU14^2+AR17*AU14+AS17</f>
        <v>382744.74733995128</v>
      </c>
    </row>
    <row r="15" spans="1:60" x14ac:dyDescent="0.25">
      <c r="A15" s="6"/>
      <c r="B15" s="10"/>
      <c r="C15" s="10"/>
      <c r="D15" s="10"/>
      <c r="E15" s="11"/>
      <c r="F15" s="11"/>
      <c r="G15" s="11"/>
      <c r="H15" s="10"/>
      <c r="I15" s="10"/>
      <c r="J15" s="11"/>
      <c r="K15" s="11"/>
      <c r="L15" s="12"/>
      <c r="M15" s="14"/>
      <c r="N15" s="14"/>
      <c r="O15" s="6"/>
      <c r="P15" s="44"/>
      <c r="Q15" s="44"/>
      <c r="R15" s="44"/>
      <c r="S15" s="45"/>
      <c r="T15" s="6"/>
      <c r="U15" s="45"/>
      <c r="V15" s="6"/>
      <c r="W15" s="45"/>
      <c r="X15" s="11"/>
      <c r="Y15" s="11"/>
      <c r="AA15" s="11" t="s">
        <v>36</v>
      </c>
      <c r="AC15" s="22" cm="1">
        <f t="array" ref="AC15:AE15">+LINEST(AD12:AD14,AC12:AC14^{1,2})</f>
        <v>2762570.7786110402</v>
      </c>
      <c r="AD15" s="22">
        <v>-5499611.17838836</v>
      </c>
      <c r="AE15" s="22">
        <v>3075671.9028671766</v>
      </c>
      <c r="AG15" s="21">
        <f>+OR(AG12=MIN(AG12:AG14,AC12:AC14),AG12=MAX(AG12:AG14,AC12:AC14))*1</f>
        <v>1</v>
      </c>
      <c r="AJ15" s="22" cm="1">
        <f t="array" ref="AJ15:AL15">+LINEST(AK12:AK14,AJ12:AJ14^{1,2})</f>
        <v>349223.44260685629</v>
      </c>
      <c r="AK15" s="22">
        <v>-356060.94924182206</v>
      </c>
      <c r="AL15" s="22">
        <v>450894.86097406462</v>
      </c>
      <c r="AM15" s="22"/>
      <c r="AN15" s="21">
        <f>+OR(AN12=MIN(AN12:AN14,AJ12:AJ14),AN12=MAX(AN12:AN14,AJ12:AJ14))*1</f>
        <v>1</v>
      </c>
      <c r="AQ15" s="22" cm="1">
        <f t="array" ref="AQ15:AS15">+LINEST(AR12:AR14,AQ12:AQ14^{1,2})</f>
        <v>93686.28370157996</v>
      </c>
      <c r="AR15" s="22">
        <v>-148193.00368249969</v>
      </c>
      <c r="AS15" s="22">
        <v>440446.218179736</v>
      </c>
      <c r="AT15" s="22"/>
      <c r="AU15" s="21">
        <f>+OR(AU12=MIN(AU12:AU14,AQ12:AQ14),AU12=MAX(AU12:AU14,AQ12:AQ14))*1</f>
        <v>0</v>
      </c>
    </row>
    <row r="16" spans="1:60" x14ac:dyDescent="0.25">
      <c r="A16" s="6"/>
      <c r="B16" s="10"/>
      <c r="C16" s="10"/>
      <c r="D16" s="10"/>
      <c r="E16" s="11"/>
      <c r="F16" s="11"/>
      <c r="G16" s="11"/>
      <c r="H16" s="10"/>
      <c r="I16" s="10"/>
      <c r="J16" s="11"/>
      <c r="K16" s="11"/>
      <c r="L16" s="12"/>
      <c r="M16" s="24"/>
      <c r="N16" s="24"/>
      <c r="P16" s="25"/>
      <c r="Q16" s="25"/>
      <c r="R16" s="25"/>
      <c r="S16" s="13"/>
      <c r="U16" s="13"/>
      <c r="W16" s="13"/>
      <c r="X16" s="11"/>
      <c r="Y16" s="11"/>
      <c r="AA16" s="11"/>
      <c r="AD16" s="22" cm="1">
        <f t="array" ref="AD16:AE16">+LINEST(AD12:AD14,AC12:AC14^{1})</f>
        <v>-692738.02360515064</v>
      </c>
      <c r="AE16" s="22">
        <v>985681.92856981442</v>
      </c>
      <c r="AG16" s="21">
        <f>+NOT(AG15)*1</f>
        <v>0</v>
      </c>
      <c r="AK16" s="22" cm="1">
        <f t="array" ref="AK16:AL16">+LINEST(AK12:AK14,AJ12:AJ14^{1})</f>
        <v>174758.68352059956</v>
      </c>
      <c r="AL16" s="22">
        <v>249847.28825767766</v>
      </c>
      <c r="AM16" s="22"/>
      <c r="AN16" s="21">
        <f>+NOT(AN15)*1</f>
        <v>0</v>
      </c>
      <c r="AR16" s="22" cm="1">
        <f t="array" ref="AR16:AS16">+LINEST(AR12:AR14,AQ12:AQ14^{1})</f>
        <v>-7663.5781301297638</v>
      </c>
      <c r="AS16" s="22">
        <v>388165.60187023424</v>
      </c>
      <c r="AT16" s="22"/>
      <c r="AU16" s="21">
        <f>+NOT(AU15)*1</f>
        <v>1</v>
      </c>
    </row>
    <row r="17" spans="1:60" x14ac:dyDescent="0.25">
      <c r="A17" s="6"/>
      <c r="B17" s="10"/>
      <c r="C17" s="10"/>
      <c r="D17" s="10"/>
      <c r="E17" s="11"/>
      <c r="F17" s="11"/>
      <c r="G17" s="11"/>
      <c r="H17" s="10"/>
      <c r="I17" s="10"/>
      <c r="J17" s="11"/>
      <c r="K17" s="11"/>
      <c r="L17" s="12"/>
      <c r="M17" s="24"/>
      <c r="N17" s="24"/>
      <c r="P17" s="25"/>
      <c r="Q17" s="25"/>
      <c r="R17" s="25"/>
      <c r="S17" s="13"/>
      <c r="U17" s="13"/>
      <c r="W17" s="13"/>
      <c r="X17" s="11"/>
      <c r="Y17" s="11"/>
      <c r="AA17" s="11"/>
      <c r="AC17" s="22">
        <f>+SUMPRODUCT(AC15:AC16,AG15:AG16)</f>
        <v>2762570.7786110402</v>
      </c>
      <c r="AD17" s="22">
        <f>+SUMPRODUCT(AD15:AD16,AG15:AG16)</f>
        <v>-5499611.17838836</v>
      </c>
      <c r="AE17" s="22">
        <f>+SUMPRODUCT(AE15:AE16,AG15:AG16)</f>
        <v>3075671.9028671766</v>
      </c>
      <c r="AJ17" s="22">
        <f>+SUMPRODUCT(AJ15:AJ16,AN15:AN16)</f>
        <v>349223.44260685629</v>
      </c>
      <c r="AK17" s="22">
        <f>+SUMPRODUCT(AK15:AK16,AN15:AN16)</f>
        <v>-356060.94924182206</v>
      </c>
      <c r="AL17" s="22">
        <f>+SUMPRODUCT(AL15:AL16,AN15:AN16)</f>
        <v>450894.86097406462</v>
      </c>
      <c r="AQ17" s="22">
        <f>+SUMPRODUCT(AQ15:AQ16,AU15:AU16)</f>
        <v>0</v>
      </c>
      <c r="AR17" s="22">
        <f>+SUMPRODUCT(AR15:AR16,AU15:AU16)</f>
        <v>-7663.5781301297638</v>
      </c>
      <c r="AS17" s="22">
        <f>+SUMPRODUCT(AS15:AS16,AU15:AU16)</f>
        <v>388165.60187023424</v>
      </c>
      <c r="AV17" s="3"/>
    </row>
    <row r="18" spans="1:60" x14ac:dyDescent="0.25">
      <c r="A18" s="6"/>
      <c r="B18" s="10"/>
      <c r="C18" s="10"/>
      <c r="D18" s="14"/>
      <c r="E18" s="6"/>
      <c r="F18" s="6"/>
      <c r="G18" s="6"/>
      <c r="H18" s="10"/>
      <c r="I18" s="10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AA18" s="11"/>
      <c r="AC18" s="22"/>
      <c r="AD18" s="22"/>
      <c r="AE18" s="22"/>
      <c r="AJ18" s="22"/>
      <c r="AK18" s="22"/>
      <c r="AL18" s="22"/>
      <c r="AQ18" s="22"/>
      <c r="AR18" s="22"/>
      <c r="AS18" s="22"/>
      <c r="AV18" s="3"/>
      <c r="BH18" s="1"/>
    </row>
    <row r="19" spans="1:60" x14ac:dyDescent="0.25">
      <c r="A19" s="9" t="str">
        <f>+'Table 5-5 - inputs'!A17</f>
        <v>Analysis (c): NF for HG Ta/T1</v>
      </c>
      <c r="B19" s="10"/>
      <c r="C19" s="10"/>
      <c r="D19" s="14"/>
      <c r="E19" s="6"/>
      <c r="F19" s="6"/>
      <c r="G19" s="6"/>
      <c r="H19" s="10"/>
      <c r="I19" s="10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AA19" s="11"/>
      <c r="AC19" s="74" t="str">
        <f>+A20</f>
        <v>Utility weight - Disease free</v>
      </c>
      <c r="AD19" s="74"/>
      <c r="AE19" s="74"/>
      <c r="AF19" s="74"/>
      <c r="AG19" s="74"/>
      <c r="AH19" s="74"/>
      <c r="AJ19" s="74" t="str">
        <f>+A21</f>
        <v>Utility weight - Persistent/recurrent NMIBC</v>
      </c>
      <c r="AK19" s="74"/>
      <c r="AL19" s="74"/>
      <c r="AM19" s="74"/>
      <c r="AN19" s="74"/>
      <c r="AO19" s="74"/>
      <c r="AQ19" s="74" t="str">
        <f>+A22</f>
        <v>Utility weight - MIBC</v>
      </c>
      <c r="AR19" s="74"/>
      <c r="AS19" s="74"/>
      <c r="AT19" s="74"/>
      <c r="AU19" s="74"/>
      <c r="AV19" s="74"/>
      <c r="BH19" s="1"/>
    </row>
    <row r="20" spans="1:60" x14ac:dyDescent="0.25">
      <c r="A20" s="6" t="str">
        <f>+'Table 5-5 - inputs'!A11</f>
        <v>Utility weight - Disease free</v>
      </c>
      <c r="B20" s="10">
        <f>+'Table 5-5 - inputs'!B18</f>
        <v>0.87</v>
      </c>
      <c r="C20" s="10">
        <f>+'Table 5-5 - inputs'!C18</f>
        <v>0.84670000000000001</v>
      </c>
      <c r="D20" s="10">
        <f>+'Table 5-5 - inputs'!D18</f>
        <v>0.89329999999999998</v>
      </c>
      <c r="E20" s="11">
        <f>+'Table 5-5 - inputs'!E18</f>
        <v>92999.995857915375</v>
      </c>
      <c r="F20" s="11">
        <f>+'Table 5-5 - inputs'!F18</f>
        <v>96753.328320000001</v>
      </c>
      <c r="G20" s="11">
        <f>+'Table 5-5 - inputs'!G18</f>
        <v>89764.995670000004</v>
      </c>
      <c r="H20" s="10">
        <f>+'Table 5-5 - inputs'!H18</f>
        <v>0.73597993421052621</v>
      </c>
      <c r="I20" s="10">
        <f>+'Table 5-5 - inputs'!I18</f>
        <v>0.87</v>
      </c>
      <c r="J20" s="11">
        <f>+AH21</f>
        <v>121672.65643272083</v>
      </c>
      <c r="K20" s="11">
        <f>+AH22</f>
        <v>92999.995857915434</v>
      </c>
      <c r="L20" s="12">
        <f t="shared" ref="L20" si="6">+S20</f>
        <v>0.15415409597765622</v>
      </c>
      <c r="M20" s="14" t="str">
        <f t="shared" ref="M20" si="7">+IF(X20,"YES","NO")</f>
        <v>YES</v>
      </c>
      <c r="N20" s="14" t="str">
        <f t="shared" ref="N20" si="8">+IF(Y20,"YES","NO")</f>
        <v>NO</v>
      </c>
      <c r="O20" s="6"/>
      <c r="P20" s="44">
        <f>+MIN(E20,J20,K20)</f>
        <v>92999.995857915375</v>
      </c>
      <c r="Q20" s="44">
        <f>+MEDIAN(E20,J20,K20)</f>
        <v>92999.995857915434</v>
      </c>
      <c r="R20" s="44">
        <f>+MAX(E20,J20,K20)</f>
        <v>121672.65643272083</v>
      </c>
      <c r="S20" s="45">
        <f t="shared" ref="S20:S22" si="9">+AVERAGE((Q20-P20)/Q20,(R20-Q20)/Q20)</f>
        <v>0.15415409597765622</v>
      </c>
      <c r="T20" s="6" t="b">
        <f>+AND(E20&lt;=Benchmark1,J20&lt;=Benchmark1,K20&lt;=Benchmark1)</f>
        <v>0</v>
      </c>
      <c r="U20" s="45" t="b">
        <f>+AND(E20&gt;Benchmark1,J20&gt;Benchmark1,K20&gt;Benchmark1)</f>
        <v>0</v>
      </c>
      <c r="V20" s="6" t="b">
        <f>+AND(E20&lt;=Benchmark2,J20&lt;=Benchmark2,K20&lt;=Benchmark2)</f>
        <v>1</v>
      </c>
      <c r="W20" s="45" t="b">
        <f>+AND(E20&gt;Benchmark2,J20&gt;Benchmark2,K20&gt;Benchmark2)</f>
        <v>0</v>
      </c>
      <c r="X20" s="11" t="b">
        <f>+AND(NOT(T20),NOT(U20))</f>
        <v>1</v>
      </c>
      <c r="Y20" s="11" t="b">
        <f>+AND(NOT(V20),NOT(W20))</f>
        <v>0</v>
      </c>
      <c r="AA20" s="11" t="s">
        <v>17</v>
      </c>
      <c r="AC20" s="19">
        <f>+B20</f>
        <v>0.87</v>
      </c>
      <c r="AD20" s="20">
        <f>+E20</f>
        <v>92999.995857915375</v>
      </c>
      <c r="AE20" s="20"/>
      <c r="AF20" s="20" t="s">
        <v>23</v>
      </c>
      <c r="AG20" s="23">
        <f>-AD23/(2*AC23)</f>
        <v>1.0270692766584482</v>
      </c>
      <c r="AH20" s="23"/>
      <c r="AJ20" s="19">
        <f>+B21</f>
        <v>0.76</v>
      </c>
      <c r="AK20" s="20">
        <f>+E21</f>
        <v>92999.995857915375</v>
      </c>
      <c r="AL20" s="20"/>
      <c r="AM20" s="20" t="s">
        <v>23</v>
      </c>
      <c r="AN20" s="23">
        <f>-AK23/(2*AJ23)</f>
        <v>1.1557986611604876</v>
      </c>
      <c r="AO20" s="23"/>
      <c r="AQ20" s="19">
        <f>+B22</f>
        <v>0.75</v>
      </c>
      <c r="AR20" s="20">
        <f>+E22</f>
        <v>92999.995857915375</v>
      </c>
      <c r="AS20" s="20"/>
      <c r="AT20" s="20" t="s">
        <v>23</v>
      </c>
      <c r="AU20" s="23">
        <f>-AR23/(2*AQ23)</f>
        <v>0.70909999999999973</v>
      </c>
      <c r="AV20" s="23"/>
    </row>
    <row r="21" spans="1:60" x14ac:dyDescent="0.25">
      <c r="A21" s="6" t="str">
        <f>+'Table 5-5 - inputs'!A12</f>
        <v>Utility weight - Persistent/recurrent NMIBC</v>
      </c>
      <c r="B21" s="10">
        <f>+'Table 5-5 - inputs'!B19</f>
        <v>0.76</v>
      </c>
      <c r="C21" s="10">
        <f>+'Table 5-5 - inputs'!C19</f>
        <v>0.70660000000000001</v>
      </c>
      <c r="D21" s="10">
        <f>+'Table 5-5 - inputs'!D19</f>
        <v>0.81340000000000001</v>
      </c>
      <c r="E21" s="11">
        <f>+'Table 5-5 - inputs'!E19</f>
        <v>92999.995857915375</v>
      </c>
      <c r="F21" s="11">
        <f>+'Table 5-5 - inputs'!F19</f>
        <v>91976.714340000006</v>
      </c>
      <c r="G21" s="11">
        <f>+'Table 5-5 - inputs'!G19</f>
        <v>93893.943870000003</v>
      </c>
      <c r="H21" s="10">
        <f>+'Table 5-5 - inputs'!H19</f>
        <v>0.64292499999999997</v>
      </c>
      <c r="I21" s="10">
        <f>+'Table 5-5 - inputs'!I19</f>
        <v>0.65338235294117653</v>
      </c>
      <c r="J21" s="11">
        <f>+AO21</f>
        <v>90587.480944386116</v>
      </c>
      <c r="K21" s="11">
        <f>+AO22</f>
        <v>90828.255395724394</v>
      </c>
      <c r="L21" s="12">
        <f t="shared" ref="L21:L22" si="10">+S21</f>
        <v>1.3280641046215807E-2</v>
      </c>
      <c r="M21" s="14" t="str">
        <f t="shared" ref="M21:M22" si="11">+IF(X21,"YES","NO")</f>
        <v>NO</v>
      </c>
      <c r="N21" s="14" t="str">
        <f t="shared" ref="N21:N22" si="12">+IF(Y21,"YES","NO")</f>
        <v>NO</v>
      </c>
      <c r="O21" s="6"/>
      <c r="P21" s="44">
        <f>+MIN(E21,J21,K21)</f>
        <v>90587.480944386116</v>
      </c>
      <c r="Q21" s="44">
        <f>+MEDIAN(E21,J21,K21)</f>
        <v>90828.255395724394</v>
      </c>
      <c r="R21" s="44">
        <f>+MAX(E21,J21,K21)</f>
        <v>92999.995857915375</v>
      </c>
      <c r="S21" s="45">
        <f t="shared" si="9"/>
        <v>1.3280641046215807E-2</v>
      </c>
      <c r="T21" s="6" t="b">
        <f>+AND(E21&lt;=Benchmark1,J21&lt;=Benchmark1,K21&lt;=Benchmark1)</f>
        <v>1</v>
      </c>
      <c r="U21" s="45" t="b">
        <f>+AND(E21&gt;Benchmark1,J21&gt;Benchmark1,K21&gt;Benchmark1)</f>
        <v>0</v>
      </c>
      <c r="V21" s="6" t="b">
        <f>+AND(E21&lt;=Benchmark2,J21&lt;=Benchmark2,K21&lt;=Benchmark2)</f>
        <v>1</v>
      </c>
      <c r="W21" s="45" t="b">
        <f>+AND(E21&gt;Benchmark2,J21&gt;Benchmark2,K21&gt;Benchmark2)</f>
        <v>0</v>
      </c>
      <c r="X21" s="11" t="b">
        <f>+AND(NOT(T21),NOT(U21))</f>
        <v>0</v>
      </c>
      <c r="Y21" s="11" t="b">
        <f>+AND(NOT(V21),NOT(W21))</f>
        <v>0</v>
      </c>
      <c r="AA21" s="11" t="s">
        <v>33</v>
      </c>
      <c r="AC21" s="19">
        <f>+C20</f>
        <v>0.84670000000000001</v>
      </c>
      <c r="AD21" s="20">
        <f>+F20</f>
        <v>96753.328320000001</v>
      </c>
      <c r="AE21" s="20"/>
      <c r="AF21" s="20" t="s">
        <v>24</v>
      </c>
      <c r="AG21" s="23">
        <f>+H20</f>
        <v>0.73597993421052621</v>
      </c>
      <c r="AH21" s="20">
        <f>+AC25*AG21^2+AD25*AG21+AE25</f>
        <v>121672.65643272083</v>
      </c>
      <c r="AJ21" s="19">
        <f>+C21</f>
        <v>0.70660000000000001</v>
      </c>
      <c r="AK21" s="20">
        <f>+F21</f>
        <v>91976.714340000006</v>
      </c>
      <c r="AL21" s="20"/>
      <c r="AM21" s="20" t="s">
        <v>24</v>
      </c>
      <c r="AN21" s="23">
        <f>+H21</f>
        <v>0.64292499999999997</v>
      </c>
      <c r="AO21" s="20">
        <f>+AJ25*AN21^2+AK25*AN21+AL25</f>
        <v>90587.480944386116</v>
      </c>
      <c r="AQ21" s="19">
        <f>+C22</f>
        <v>0.66820000000000002</v>
      </c>
      <c r="AR21" s="20">
        <f>+F22</f>
        <v>92999.995857915375</v>
      </c>
      <c r="AS21" s="20"/>
      <c r="AT21" s="20" t="s">
        <v>24</v>
      </c>
      <c r="AU21" s="23">
        <f>+H22</f>
        <v>0.54648624999999995</v>
      </c>
      <c r="AV21" s="20">
        <f>+AQ25*AU21^2+AR25*AU21+AS25</f>
        <v>92649.201603955255</v>
      </c>
    </row>
    <row r="22" spans="1:60" x14ac:dyDescent="0.25">
      <c r="A22" s="6" t="str">
        <f>+'Table 5-5 - inputs'!A13</f>
        <v>Utility weight - MIBC</v>
      </c>
      <c r="B22" s="10">
        <f>+'Table 5-5 - inputs'!B20</f>
        <v>0.75</v>
      </c>
      <c r="C22" s="10">
        <f>+'Table 5-5 - inputs'!C20</f>
        <v>0.66820000000000002</v>
      </c>
      <c r="D22" s="10">
        <f>+'Table 5-5 - inputs'!D20</f>
        <v>0.83179999999999998</v>
      </c>
      <c r="E22" s="11">
        <f>+'Table 5-5 - inputs'!E20</f>
        <v>92999.995857915375</v>
      </c>
      <c r="F22" s="11">
        <f>+'Table 5-5 - inputs'!F20</f>
        <v>92999.995857915375</v>
      </c>
      <c r="G22" s="11">
        <f>+'Table 5-5 - inputs'!G20</f>
        <v>93385.213870000007</v>
      </c>
      <c r="H22" s="10">
        <f>+'Table 5-5 - inputs'!H20</f>
        <v>0.54648624999999995</v>
      </c>
      <c r="I22" s="10">
        <f>+'Table 5-5 - inputs'!I20</f>
        <v>0.70735294117647063</v>
      </c>
      <c r="J22" s="11">
        <f>+AV21</f>
        <v>92649.201603955255</v>
      </c>
      <c r="K22" s="11">
        <f>+AV22</f>
        <v>93027.983675994576</v>
      </c>
      <c r="L22" s="12">
        <f t="shared" si="10"/>
        <v>2.0364628436006665E-3</v>
      </c>
      <c r="M22" s="14" t="str">
        <f t="shared" si="11"/>
        <v>NO</v>
      </c>
      <c r="N22" s="14" t="str">
        <f t="shared" si="12"/>
        <v>NO</v>
      </c>
      <c r="O22" s="6"/>
      <c r="P22" s="44">
        <f>+MIN(E22,J22,K22)</f>
        <v>92649.201603955255</v>
      </c>
      <c r="Q22" s="44">
        <f>+MEDIAN(E22,J22,K22)</f>
        <v>92999.995857915375</v>
      </c>
      <c r="R22" s="44">
        <f>+MAX(E22,J22,K22)</f>
        <v>93027.983675994576</v>
      </c>
      <c r="S22" s="45">
        <f t="shared" si="9"/>
        <v>2.0364628436006665E-3</v>
      </c>
      <c r="T22" s="6" t="b">
        <f>+AND(E22&lt;=Benchmark1,J22&lt;=Benchmark1,K22&lt;=Benchmark1)</f>
        <v>1</v>
      </c>
      <c r="U22" s="45" t="b">
        <f>+AND(E22&gt;Benchmark1,J22&gt;Benchmark1,K22&gt;Benchmark1)</f>
        <v>0</v>
      </c>
      <c r="V22" s="6" t="b">
        <f>+AND(E22&lt;=Benchmark2,J22&lt;=Benchmark2,K22&lt;=Benchmark2)</f>
        <v>1</v>
      </c>
      <c r="W22" s="45" t="b">
        <f>+AND(E22&gt;Benchmark2,J22&gt;Benchmark2,K22&gt;Benchmark2)</f>
        <v>0</v>
      </c>
      <c r="X22" s="11" t="b">
        <f>+AND(NOT(T22),NOT(U22))</f>
        <v>0</v>
      </c>
      <c r="Y22" s="11" t="b">
        <f>+AND(NOT(V22),NOT(W22))</f>
        <v>0</v>
      </c>
      <c r="AA22" s="11" t="s">
        <v>18</v>
      </c>
      <c r="AC22" s="19">
        <f>+D20</f>
        <v>0.89329999999999998</v>
      </c>
      <c r="AD22" s="20">
        <f>+G20</f>
        <v>89764.995670000004</v>
      </c>
      <c r="AE22" s="20"/>
      <c r="AF22" s="20" t="s">
        <v>25</v>
      </c>
      <c r="AG22" s="23">
        <f>+I20</f>
        <v>0.87</v>
      </c>
      <c r="AH22" s="20">
        <f>+AC25*AG22^2+AD25*AG22+AE25</f>
        <v>92999.995857915434</v>
      </c>
      <c r="AJ22" s="19">
        <f>+D21</f>
        <v>0.81340000000000001</v>
      </c>
      <c r="AK22" s="20">
        <f>+G21</f>
        <v>93893.943870000003</v>
      </c>
      <c r="AL22" s="20"/>
      <c r="AM22" s="20" t="s">
        <v>25</v>
      </c>
      <c r="AN22" s="23">
        <f>+I21</f>
        <v>0.65338235294117653</v>
      </c>
      <c r="AO22" s="20">
        <f>+AJ25*AN22^2+AK25*AN22+AL25</f>
        <v>90828.255395724394</v>
      </c>
      <c r="AQ22" s="19">
        <f>+D22</f>
        <v>0.83179999999999998</v>
      </c>
      <c r="AR22" s="20">
        <f>+G22</f>
        <v>93385.213870000007</v>
      </c>
      <c r="AS22" s="20"/>
      <c r="AT22" s="20" t="s">
        <v>25</v>
      </c>
      <c r="AU22" s="23">
        <f>+I22</f>
        <v>0.70735294117647063</v>
      </c>
      <c r="AV22" s="20">
        <f>+AQ25*AU22^2+AR25*AU22+AS25</f>
        <v>93027.983675994576</v>
      </c>
    </row>
    <row r="23" spans="1:60" x14ac:dyDescent="0.25">
      <c r="A23" s="6"/>
      <c r="B23" s="10"/>
      <c r="C23" s="10"/>
      <c r="D23" s="10"/>
      <c r="E23" s="11"/>
      <c r="F23" s="11"/>
      <c r="G23" s="11"/>
      <c r="H23" s="10"/>
      <c r="I23" s="10"/>
      <c r="J23" s="11"/>
      <c r="K23" s="11"/>
      <c r="L23" s="12"/>
      <c r="M23" s="14"/>
      <c r="N23" s="14"/>
      <c r="O23" s="6"/>
      <c r="P23" s="44"/>
      <c r="Q23" s="44"/>
      <c r="R23" s="44"/>
      <c r="S23" s="45"/>
      <c r="T23" s="6"/>
      <c r="U23" s="45"/>
      <c r="V23" s="6"/>
      <c r="W23" s="45"/>
      <c r="X23" s="11"/>
      <c r="Y23" s="11"/>
      <c r="AA23" s="11" t="s">
        <v>36</v>
      </c>
      <c r="AC23" s="22" cm="1">
        <f t="array" ref="AC23:AE23">+LINEST(AD20:AD22,AC20:AC22^{1,2})</f>
        <v>477382.41095737292</v>
      </c>
      <c r="AD23" s="22">
        <v>-980609.61502291018</v>
      </c>
      <c r="AE23" s="22">
        <v>584799.61407421168</v>
      </c>
      <c r="AG23" s="21">
        <f>+OR(AG20=MIN(AG20:AG22,AC20:AC22),AG20=MAX(AG20:AG22,AC20:AC22))*1</f>
        <v>1</v>
      </c>
      <c r="AJ23" s="22" cm="1">
        <f t="array" ref="AJ23:AL23">+LINEST(AK20:AK22,AJ20:AJ22^{1,2})</f>
        <v>-22677.675698695151</v>
      </c>
      <c r="AK23" s="22">
        <v>52421.65442156716</v>
      </c>
      <c r="AL23" s="22">
        <v>66258.163981090649</v>
      </c>
      <c r="AM23" s="22"/>
      <c r="AN23" s="21">
        <f>+OR(AN20=MIN(AN20:AN22,AJ20:AJ22),AN20=MAX(AN20:AN22,AJ20:AJ22))*1</f>
        <v>1</v>
      </c>
      <c r="AQ23" s="22" cm="1">
        <f t="array" ref="AQ23:AS23">+LINEST(AR20:AR22,AQ20:AQ22^{1,2})</f>
        <v>28785.248480448307</v>
      </c>
      <c r="AR23" s="22">
        <v>-40823.239394971773</v>
      </c>
      <c r="AS23" s="22">
        <v>107425.72313389202</v>
      </c>
      <c r="AT23" s="22"/>
      <c r="AU23" s="21">
        <f>+OR(AU20=MIN(AU20:AU22,AQ20:AQ22),AU20=MAX(AU20:AU22,AQ20:AQ22))*1</f>
        <v>0</v>
      </c>
    </row>
    <row r="24" spans="1:60" x14ac:dyDescent="0.25">
      <c r="A24" s="6"/>
      <c r="B24" s="10"/>
      <c r="C24" s="10"/>
      <c r="D24" s="10"/>
      <c r="E24" s="11"/>
      <c r="F24" s="11"/>
      <c r="G24" s="11"/>
      <c r="H24" s="10"/>
      <c r="I24" s="10"/>
      <c r="J24" s="11"/>
      <c r="K24" s="11"/>
      <c r="L24" s="12"/>
      <c r="M24" s="24"/>
      <c r="N24" s="24"/>
      <c r="P24" s="25"/>
      <c r="Q24" s="25"/>
      <c r="R24" s="25"/>
      <c r="S24" s="13"/>
      <c r="U24" s="13"/>
      <c r="W24" s="13"/>
      <c r="X24" s="11"/>
      <c r="Y24" s="11"/>
      <c r="AA24" s="11"/>
      <c r="AD24" s="22" cm="1">
        <f t="array" ref="AD24:AE24">+LINEST(AD20:AD22,AC20:AC22^{1})</f>
        <v>-149964.21995708157</v>
      </c>
      <c r="AE24" s="22">
        <v>223641.64464529941</v>
      </c>
      <c r="AG24" s="21">
        <f>+NOT(AG23)*1</f>
        <v>0</v>
      </c>
      <c r="AK24" s="22" cm="1">
        <f t="array" ref="AK24:AL24">+LINEST(AK20:AK22,AJ20:AJ22^{1})</f>
        <v>17951.587359550536</v>
      </c>
      <c r="AL24" s="22">
        <v>79313.678296046724</v>
      </c>
      <c r="AM24" s="22"/>
      <c r="AN24" s="21">
        <f>+NOT(AN23)*1</f>
        <v>0</v>
      </c>
      <c r="AR24" s="22" cm="1">
        <f t="array" ref="AR24:AS24">+LINEST(AR20:AR22,AQ20:AQ22^{1})</f>
        <v>2354.6333257006813</v>
      </c>
      <c r="AS24" s="22">
        <v>91362.426867668066</v>
      </c>
      <c r="AT24" s="22"/>
      <c r="AU24" s="21">
        <f>+NOT(AU23)*1</f>
        <v>1</v>
      </c>
    </row>
    <row r="25" spans="1:60" x14ac:dyDescent="0.25">
      <c r="A25" s="6"/>
      <c r="B25" s="10"/>
      <c r="C25" s="10"/>
      <c r="D25" s="10"/>
      <c r="E25" s="11"/>
      <c r="F25" s="11"/>
      <c r="G25" s="11"/>
      <c r="H25" s="10"/>
      <c r="I25" s="10"/>
      <c r="J25" s="11"/>
      <c r="K25" s="11"/>
      <c r="L25" s="12"/>
      <c r="M25" s="24"/>
      <c r="N25" s="24"/>
      <c r="P25" s="25"/>
      <c r="Q25" s="25"/>
      <c r="R25" s="25"/>
      <c r="S25" s="13"/>
      <c r="U25" s="13"/>
      <c r="W25" s="13"/>
      <c r="X25" s="11"/>
      <c r="Y25" s="11"/>
      <c r="AA25" s="11"/>
      <c r="AC25" s="22">
        <f>+SUMPRODUCT(AC23:AC24,AG23:AG24)</f>
        <v>477382.41095737292</v>
      </c>
      <c r="AD25" s="22">
        <f>+SUMPRODUCT(AD23:AD24,AG23:AG24)</f>
        <v>-980609.61502291018</v>
      </c>
      <c r="AE25" s="22">
        <f>+SUMPRODUCT(AE23:AE24,AG23:AG24)</f>
        <v>584799.61407421168</v>
      </c>
      <c r="AJ25" s="22">
        <f>+SUMPRODUCT(AJ23:AJ24,AN23:AN24)</f>
        <v>-22677.675698695151</v>
      </c>
      <c r="AK25" s="22">
        <f>+SUMPRODUCT(AK23:AK24,AN23:AN24)</f>
        <v>52421.65442156716</v>
      </c>
      <c r="AL25" s="22">
        <f>+SUMPRODUCT(AL23:AL24,AN23:AN24)</f>
        <v>66258.163981090649</v>
      </c>
      <c r="AQ25" s="22">
        <f>+SUMPRODUCT(AQ23:AQ24,AU23:AU24)</f>
        <v>0</v>
      </c>
      <c r="AR25" s="22">
        <f>+SUMPRODUCT(AR23:AR24,AU23:AU24)</f>
        <v>2354.6333257006813</v>
      </c>
      <c r="AS25" s="22">
        <f>+SUMPRODUCT(AS23:AS24,AU23:AU24)</f>
        <v>91362.426867668066</v>
      </c>
      <c r="AV25" s="3"/>
    </row>
    <row r="26" spans="1:60" x14ac:dyDescent="0.25">
      <c r="A26" s="6"/>
      <c r="B26" s="10"/>
      <c r="C26" s="10"/>
      <c r="D26" s="14"/>
      <c r="E26" s="6"/>
      <c r="F26" s="6"/>
      <c r="G26" s="6"/>
      <c r="H26" s="10"/>
      <c r="I26" s="10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AA26" s="11"/>
      <c r="AC26" s="22"/>
      <c r="AD26" s="22"/>
      <c r="AE26" s="22"/>
      <c r="AJ26" s="22"/>
      <c r="AK26" s="22"/>
      <c r="AL26" s="22"/>
      <c r="AQ26" s="22"/>
      <c r="AR26" s="22"/>
      <c r="AS26" s="22"/>
      <c r="AV26" s="3"/>
      <c r="BH26" s="1"/>
    </row>
    <row r="27" spans="1:60" x14ac:dyDescent="0.25">
      <c r="A27" s="9" t="str">
        <f>+'Table 5-5 - inputs'!A24</f>
        <v>Analysis (d): OM for HG Ta/T1</v>
      </c>
      <c r="B27" s="10"/>
      <c r="C27" s="10"/>
      <c r="D27" s="14"/>
      <c r="E27" s="6"/>
      <c r="F27" s="6"/>
      <c r="G27" s="6"/>
      <c r="H27" s="10"/>
      <c r="I27" s="10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AA27" s="11"/>
      <c r="AC27" s="74" t="str">
        <f>+A28</f>
        <v>Utility weight - Disease free</v>
      </c>
      <c r="AD27" s="74"/>
      <c r="AE27" s="74"/>
      <c r="AF27" s="74"/>
      <c r="AG27" s="74"/>
      <c r="AH27" s="74"/>
      <c r="AJ27" s="74" t="str">
        <f>+A29</f>
        <v>Utility weight - Persistent/recurrent NMIBC</v>
      </c>
      <c r="AK27" s="74"/>
      <c r="AL27" s="74"/>
      <c r="AM27" s="74"/>
      <c r="AN27" s="74"/>
      <c r="AO27" s="74"/>
      <c r="AQ27" s="74" t="str">
        <f>+A30</f>
        <v>Utility weight - MIBC</v>
      </c>
      <c r="AR27" s="74"/>
      <c r="AS27" s="74"/>
      <c r="AT27" s="74"/>
      <c r="AU27" s="74"/>
      <c r="AV27" s="74"/>
      <c r="BH27" s="1"/>
    </row>
    <row r="28" spans="1:60" x14ac:dyDescent="0.25">
      <c r="A28" s="6" t="str">
        <f>+'Table 5-5 - inputs'!A25</f>
        <v>Utility weight - Disease free</v>
      </c>
      <c r="B28" s="10">
        <f>+'Table 5-5 - inputs'!B25</f>
        <v>0.87</v>
      </c>
      <c r="C28" s="10">
        <f>+'Table 5-5 - inputs'!C25</f>
        <v>0.84670000000000001</v>
      </c>
      <c r="D28" s="10">
        <f>+'Table 5-5 - inputs'!D25</f>
        <v>0.89329999999999998</v>
      </c>
      <c r="E28" s="11">
        <f>+'Table 5-5 - inputs'!E25</f>
        <v>123000</v>
      </c>
      <c r="F28" s="11">
        <f>+'Table 5-5 - inputs'!F25</f>
        <v>128182.7077</v>
      </c>
      <c r="G28" s="11">
        <f>+'Table 5-5 - inputs'!G25</f>
        <v>122999.95786416504</v>
      </c>
      <c r="H28" s="10">
        <f>+'Table 5-5 - inputs'!H25</f>
        <v>0.73597993421052621</v>
      </c>
      <c r="I28" s="10">
        <f>+'Table 5-5 - inputs'!I25</f>
        <v>0.87</v>
      </c>
      <c r="J28" s="11">
        <f>+AH29</f>
        <v>139632.97308438516</v>
      </c>
      <c r="K28" s="11">
        <f>+AH30</f>
        <v>124727.55518805502</v>
      </c>
      <c r="L28" s="12">
        <f t="shared" ref="L28" si="13">+S28</f>
        <v>6.6677219237189347E-2</v>
      </c>
      <c r="M28" s="14" t="str">
        <f t="shared" ref="M28" si="14">+IF(X28,"YES","NO")</f>
        <v>NO</v>
      </c>
      <c r="N28" s="14" t="str">
        <f t="shared" ref="N28" si="15">+IF(Y28,"YES","NO")</f>
        <v>NO</v>
      </c>
      <c r="O28" s="6"/>
      <c r="P28" s="44">
        <f>+MIN(E28,J28,K28)</f>
        <v>123000</v>
      </c>
      <c r="Q28" s="44">
        <f>+MEDIAN(E28,J28,K28)</f>
        <v>124727.55518805502</v>
      </c>
      <c r="R28" s="44">
        <f>+MAX(E28,J28,K28)</f>
        <v>139632.97308438516</v>
      </c>
      <c r="S28" s="45">
        <f t="shared" ref="S28:S30" si="16">+AVERAGE((Q28-P28)/Q28,(R28-Q28)/Q28)</f>
        <v>6.6677219237189347E-2</v>
      </c>
      <c r="T28" s="6" t="b">
        <f>+AND(E28&lt;=Benchmark1,J28&lt;=Benchmark1,K28&lt;=Benchmark1)</f>
        <v>0</v>
      </c>
      <c r="U28" s="45" t="b">
        <f>+AND(E28&gt;Benchmark1,J28&gt;Benchmark1,K28&gt;Benchmark1)</f>
        <v>1</v>
      </c>
      <c r="V28" s="6" t="b">
        <f>+AND(E28&lt;=Benchmark2,J28&lt;=Benchmark2,K28&lt;=Benchmark2)</f>
        <v>1</v>
      </c>
      <c r="W28" s="45" t="b">
        <f>+AND(E28&gt;Benchmark2,J28&gt;Benchmark2,K28&gt;Benchmark2)</f>
        <v>0</v>
      </c>
      <c r="X28" s="11" t="b">
        <f>+AND(NOT(T28),NOT(U28))</f>
        <v>0</v>
      </c>
      <c r="Y28" s="11" t="b">
        <f>+AND(NOT(V28),NOT(W28))</f>
        <v>0</v>
      </c>
      <c r="AA28" s="11" t="s">
        <v>17</v>
      </c>
      <c r="AC28" s="19">
        <f>+B28</f>
        <v>0.87</v>
      </c>
      <c r="AD28" s="20">
        <f>+E28</f>
        <v>123000</v>
      </c>
      <c r="AE28" s="20"/>
      <c r="AF28" s="20" t="s">
        <v>23</v>
      </c>
      <c r="AG28" s="23">
        <f>-AD31/(2*AC31)</f>
        <v>0.88165018943243334</v>
      </c>
      <c r="AH28" s="23"/>
      <c r="AJ28" s="19">
        <f>+B29</f>
        <v>0.76</v>
      </c>
      <c r="AK28" s="20">
        <f>+E29</f>
        <v>123000</v>
      </c>
      <c r="AL28" s="20"/>
      <c r="AM28" s="20" t="s">
        <v>23</v>
      </c>
      <c r="AN28" s="23">
        <f>-AK31/(2*AJ31)</f>
        <v>-113.03430151538049</v>
      </c>
      <c r="AO28" s="23"/>
      <c r="AQ28" s="19">
        <f>+B30</f>
        <v>0.75</v>
      </c>
      <c r="AR28" s="20">
        <f>+E30</f>
        <v>123000</v>
      </c>
      <c r="AS28" s="20"/>
      <c r="AT28" s="20" t="s">
        <v>23</v>
      </c>
      <c r="AU28" s="23">
        <f>-AR31/(2*AQ31)</f>
        <v>0.70909999999999973</v>
      </c>
      <c r="AV28" s="23"/>
    </row>
    <row r="29" spans="1:60" x14ac:dyDescent="0.25">
      <c r="A29" s="6" t="str">
        <f>+'Table 5-5 - inputs'!A26</f>
        <v>Utility weight - Persistent/recurrent NMIBC</v>
      </c>
      <c r="B29" s="10">
        <f>+'Table 5-5 - inputs'!B26</f>
        <v>0.76</v>
      </c>
      <c r="C29" s="10">
        <f>+'Table 5-5 - inputs'!C26</f>
        <v>0.70660000000000001</v>
      </c>
      <c r="D29" s="10">
        <f>+'Table 5-5 - inputs'!D26</f>
        <v>0.81340000000000001</v>
      </c>
      <c r="E29" s="11">
        <f>+'Table 5-5 - inputs'!E26</f>
        <v>123000</v>
      </c>
      <c r="F29" s="11">
        <f>+'Table 5-5 - inputs'!F26</f>
        <v>120327.95269999999</v>
      </c>
      <c r="G29" s="11">
        <f>+'Table 5-5 - inputs'!G26</f>
        <v>125673.3015</v>
      </c>
      <c r="H29" s="10">
        <f>+'Table 5-5 - inputs'!H26</f>
        <v>0.64292499999999997</v>
      </c>
      <c r="I29" s="10">
        <f>+'Table 5-5 - inputs'!I26</f>
        <v>0.65338235294117653</v>
      </c>
      <c r="J29" s="11">
        <f>+AO29</f>
        <v>117143.40087662204</v>
      </c>
      <c r="K29" s="11">
        <f>+AO30</f>
        <v>117666.27782123646</v>
      </c>
      <c r="L29" s="12">
        <f t="shared" ref="L29:L30" si="17">+S29</f>
        <v>2.4886480782011115E-2</v>
      </c>
      <c r="M29" s="14" t="str">
        <f t="shared" ref="M29:M30" si="18">+IF(X29,"YES","NO")</f>
        <v>NO</v>
      </c>
      <c r="N29" s="14" t="str">
        <f t="shared" ref="N29:N30" si="19">+IF(Y29,"YES","NO")</f>
        <v>NO</v>
      </c>
      <c r="O29" s="6"/>
      <c r="P29" s="44">
        <f>+MIN(E29,J29,K29)</f>
        <v>117143.40087662204</v>
      </c>
      <c r="Q29" s="44">
        <f>+MEDIAN(E29,J29,K29)</f>
        <v>117666.27782123646</v>
      </c>
      <c r="R29" s="44">
        <f>+MAX(E29,J29,K29)</f>
        <v>123000</v>
      </c>
      <c r="S29" s="45">
        <f t="shared" si="16"/>
        <v>2.4886480782011115E-2</v>
      </c>
      <c r="T29" s="6" t="b">
        <f>+AND(E29&lt;=Benchmark1,J29&lt;=Benchmark1,K29&lt;=Benchmark1)</f>
        <v>0</v>
      </c>
      <c r="U29" s="45" t="b">
        <f>+AND(E29&gt;Benchmark1,J29&gt;Benchmark1,K29&gt;Benchmark1)</f>
        <v>1</v>
      </c>
      <c r="V29" s="6" t="b">
        <f>+AND(E29&lt;=Benchmark2,J29&lt;=Benchmark2,K29&lt;=Benchmark2)</f>
        <v>1</v>
      </c>
      <c r="W29" s="45" t="b">
        <f>+AND(E29&gt;Benchmark2,J29&gt;Benchmark2,K29&gt;Benchmark2)</f>
        <v>0</v>
      </c>
      <c r="X29" s="11" t="b">
        <f>+AND(NOT(T29),NOT(U29))</f>
        <v>0</v>
      </c>
      <c r="Y29" s="11" t="b">
        <f>+AND(NOT(V29),NOT(W29))</f>
        <v>0</v>
      </c>
      <c r="AA29" s="11" t="s">
        <v>33</v>
      </c>
      <c r="AC29" s="19">
        <f>+C28</f>
        <v>0.84670000000000001</v>
      </c>
      <c r="AD29" s="20">
        <f>+F28</f>
        <v>128182.7077</v>
      </c>
      <c r="AE29" s="20"/>
      <c r="AF29" s="20" t="s">
        <v>24</v>
      </c>
      <c r="AG29" s="23">
        <f>+H28</f>
        <v>0.73597993421052621</v>
      </c>
      <c r="AH29" s="20">
        <f>+AC33*AG29^2+AD33*AG29+AE33</f>
        <v>139632.97308438516</v>
      </c>
      <c r="AJ29" s="19">
        <f>+C29</f>
        <v>0.70660000000000001</v>
      </c>
      <c r="AK29" s="20">
        <f>+F29</f>
        <v>120327.95269999999</v>
      </c>
      <c r="AL29" s="20"/>
      <c r="AM29" s="20" t="s">
        <v>24</v>
      </c>
      <c r="AN29" s="23">
        <f>+H29</f>
        <v>0.64292499999999997</v>
      </c>
      <c r="AO29" s="20">
        <f>+AJ33*AN29^2+AK33*AN29+AL33</f>
        <v>117143.40087662204</v>
      </c>
      <c r="AQ29" s="19">
        <f>+C30</f>
        <v>0.66820000000000002</v>
      </c>
      <c r="AR29" s="20">
        <f>+F30</f>
        <v>123000</v>
      </c>
      <c r="AS29" s="20"/>
      <c r="AT29" s="20" t="s">
        <v>24</v>
      </c>
      <c r="AU29" s="23">
        <f>+H30</f>
        <v>0.54648624999999995</v>
      </c>
      <c r="AV29" s="20">
        <f>+AQ33*AU29^2+AR33*AU29+AS33</f>
        <v>122743.76870886436</v>
      </c>
    </row>
    <row r="30" spans="1:60" x14ac:dyDescent="0.25">
      <c r="A30" s="6" t="str">
        <f>+'Table 5-5 - inputs'!A27</f>
        <v>Utility weight - MIBC</v>
      </c>
      <c r="B30" s="10">
        <f>+'Table 5-5 - inputs'!B27</f>
        <v>0.75</v>
      </c>
      <c r="C30" s="10">
        <f>+'Table 5-5 - inputs'!C27</f>
        <v>0.66820000000000002</v>
      </c>
      <c r="D30" s="10">
        <f>+'Table 5-5 - inputs'!D27</f>
        <v>0.83179999999999998</v>
      </c>
      <c r="E30" s="11">
        <f>+'Table 5-5 - inputs'!E27</f>
        <v>123000</v>
      </c>
      <c r="F30" s="11">
        <f>+'Table 5-5 - inputs'!F27</f>
        <v>123000</v>
      </c>
      <c r="G30" s="11">
        <f>+'Table 5-5 - inputs'!G27</f>
        <v>123281.37549999999</v>
      </c>
      <c r="H30" s="10">
        <f>+'Table 5-5 - inputs'!H27</f>
        <v>0.54648624999999995</v>
      </c>
      <c r="I30" s="10">
        <f>+'Table 5-5 - inputs'!I27</f>
        <v>0.70735294117647063</v>
      </c>
      <c r="J30" s="11">
        <f>+AV29</f>
        <v>122743.76870886436</v>
      </c>
      <c r="K30" s="11">
        <f>+AV30</f>
        <v>123020.44319335779</v>
      </c>
      <c r="L30" s="12">
        <f t="shared" si="17"/>
        <v>1.1246930263960535E-3</v>
      </c>
      <c r="M30" s="14" t="str">
        <f t="shared" si="18"/>
        <v>NO</v>
      </c>
      <c r="N30" s="14" t="str">
        <f t="shared" si="19"/>
        <v>NO</v>
      </c>
      <c r="O30" s="6"/>
      <c r="P30" s="44">
        <f>+MIN(E30,J30,K30)</f>
        <v>122743.76870886436</v>
      </c>
      <c r="Q30" s="44">
        <f>+MEDIAN(E30,J30,K30)</f>
        <v>123000</v>
      </c>
      <c r="R30" s="44">
        <f>+MAX(E30,J30,K30)</f>
        <v>123020.44319335779</v>
      </c>
      <c r="S30" s="45">
        <f t="shared" si="16"/>
        <v>1.1246930263960535E-3</v>
      </c>
      <c r="T30" s="6" t="b">
        <f>+AND(E30&lt;=Benchmark1,J30&lt;=Benchmark1,K30&lt;=Benchmark1)</f>
        <v>0</v>
      </c>
      <c r="U30" s="45" t="b">
        <f>+AND(E30&gt;Benchmark1,J30&gt;Benchmark1,K30&gt;Benchmark1)</f>
        <v>1</v>
      </c>
      <c r="V30" s="6" t="b">
        <f>+AND(E30&lt;=Benchmark2,J30&lt;=Benchmark2,K30&lt;=Benchmark2)</f>
        <v>1</v>
      </c>
      <c r="W30" s="45" t="b">
        <f>+AND(E30&gt;Benchmark2,J30&gt;Benchmark2,K30&gt;Benchmark2)</f>
        <v>0</v>
      </c>
      <c r="X30" s="11" t="b">
        <f>+AND(NOT(T30),NOT(U30))</f>
        <v>0</v>
      </c>
      <c r="Y30" s="11" t="b">
        <f>+AND(NOT(V30),NOT(W30))</f>
        <v>0</v>
      </c>
      <c r="AA30" s="11" t="s">
        <v>18</v>
      </c>
      <c r="AC30" s="19">
        <f>+D28</f>
        <v>0.89329999999999998</v>
      </c>
      <c r="AD30" s="20">
        <f>+G28</f>
        <v>122999.95786416504</v>
      </c>
      <c r="AE30" s="20"/>
      <c r="AF30" s="20" t="s">
        <v>25</v>
      </c>
      <c r="AG30" s="23">
        <f>+I28</f>
        <v>0.87</v>
      </c>
      <c r="AH30" s="20">
        <f>+AC33*AG30^2+AD33*AG30+AE33</f>
        <v>124727.55518805502</v>
      </c>
      <c r="AJ30" s="19">
        <f>+D29</f>
        <v>0.81340000000000001</v>
      </c>
      <c r="AK30" s="20">
        <f>+G29</f>
        <v>125673.3015</v>
      </c>
      <c r="AL30" s="20"/>
      <c r="AM30" s="20" t="s">
        <v>25</v>
      </c>
      <c r="AN30" s="23">
        <f>+I29</f>
        <v>0.65338235294117653</v>
      </c>
      <c r="AO30" s="20">
        <f>+AJ33*AN30^2+AK33*AN30+AL33</f>
        <v>117666.27782123646</v>
      </c>
      <c r="AQ30" s="19">
        <f>+D30</f>
        <v>0.83179999999999998</v>
      </c>
      <c r="AR30" s="20">
        <f>+G30</f>
        <v>123281.37549999999</v>
      </c>
      <c r="AS30" s="20"/>
      <c r="AT30" s="20" t="s">
        <v>25</v>
      </c>
      <c r="AU30" s="23">
        <f>+I30</f>
        <v>0.70735294117647063</v>
      </c>
      <c r="AV30" s="20">
        <f>+AQ33*AU30^2+AR33*AU30+AS33</f>
        <v>123020.44319335779</v>
      </c>
    </row>
    <row r="31" spans="1:60" x14ac:dyDescent="0.25">
      <c r="A31" s="6"/>
      <c r="B31" s="10"/>
      <c r="C31" s="10"/>
      <c r="D31" s="10"/>
      <c r="E31" s="11"/>
      <c r="F31" s="11"/>
      <c r="G31" s="11"/>
      <c r="H31" s="10"/>
      <c r="I31" s="10"/>
      <c r="J31" s="11"/>
      <c r="K31" s="11"/>
      <c r="L31" s="12"/>
      <c r="M31" s="14"/>
      <c r="N31" s="14"/>
      <c r="O31" s="6"/>
      <c r="P31" s="44"/>
      <c r="Q31" s="44"/>
      <c r="R31" s="44"/>
      <c r="S31" s="45"/>
      <c r="T31" s="6"/>
      <c r="U31" s="45"/>
      <c r="V31" s="6"/>
      <c r="W31" s="45"/>
      <c r="X31" s="11"/>
      <c r="Y31" s="11"/>
      <c r="AA31" s="11" t="s">
        <v>36</v>
      </c>
      <c r="AC31" s="22" cm="1">
        <f t="array" ref="AC31:AE31">+LINEST(AD28:AD30,AC28:AC30^{1,2})</f>
        <v>4773218.8511166694</v>
      </c>
      <c r="AD31" s="22">
        <v>-8416618.6085789464</v>
      </c>
      <c r="AE31" s="22">
        <v>3832608.8410534761</v>
      </c>
      <c r="AG31" s="21">
        <f>+OR(AG28=MIN(AG28:AG30,AC28:AC30),AG28=MAX(AG28:AG30,AC28:AC30))*1</f>
        <v>0</v>
      </c>
      <c r="AJ31" s="22" cm="1">
        <f t="array" ref="AJ31:AL31">+LINEST(AK28:AK30,AJ28:AJ30^{1,2})</f>
        <v>219.91471334897659</v>
      </c>
      <c r="AK31" s="22">
        <v>49715.81203271338</v>
      </c>
      <c r="AL31" s="22">
        <v>85088.960116707443</v>
      </c>
      <c r="AM31" s="22"/>
      <c r="AN31" s="21">
        <f>+OR(AN28=MIN(AN28:AN30,AJ28:AJ30),AN28=MAX(AN28:AN30,AJ28:AJ30))*1</f>
        <v>1</v>
      </c>
      <c r="AQ31" s="22" cm="1">
        <f t="array" ref="AQ31:AS31">+LINEST(AR28:AR30,AQ28:AQ30^{1,2})</f>
        <v>21025.661910198523</v>
      </c>
      <c r="AR31" s="22">
        <v>-29818.593721043533</v>
      </c>
      <c r="AS31" s="22">
        <v>133537.01046629599</v>
      </c>
      <c r="AT31" s="22"/>
      <c r="AU31" s="21">
        <f>+OR(AU28=MIN(AU28:AU30,AQ28:AQ30),AU28=MAX(AU28:AU30,AQ28:AQ30))*1</f>
        <v>0</v>
      </c>
    </row>
    <row r="32" spans="1:60" x14ac:dyDescent="0.25">
      <c r="A32" s="6"/>
      <c r="B32" s="10"/>
      <c r="C32" s="10"/>
      <c r="D32" s="10"/>
      <c r="E32" s="11"/>
      <c r="F32" s="11"/>
      <c r="G32" s="11"/>
      <c r="H32" s="10"/>
      <c r="I32" s="10"/>
      <c r="J32" s="11"/>
      <c r="K32" s="11"/>
      <c r="L32" s="12"/>
      <c r="M32" s="24"/>
      <c r="N32" s="24"/>
      <c r="P32" s="25"/>
      <c r="Q32" s="25"/>
      <c r="R32" s="25"/>
      <c r="S32" s="13"/>
      <c r="U32" s="13"/>
      <c r="W32" s="13"/>
      <c r="X32" s="11"/>
      <c r="Y32" s="11"/>
      <c r="AA32" s="11"/>
      <c r="AD32" s="22" cm="1">
        <f t="array" ref="AD32:AE32">+LINEST(AD28:AD30,AC28:AC30^{1})</f>
        <v>-111217.80763594329</v>
      </c>
      <c r="AE32" s="22">
        <v>221487.04783132568</v>
      </c>
      <c r="AG32" s="21">
        <f>+NOT(AG31)*1</f>
        <v>1</v>
      </c>
      <c r="AK32" s="22" cm="1">
        <f t="array" ref="AK32:AL32">+LINEST(AK28:AK30,AJ28:AJ30^{1})</f>
        <v>50050.082397003818</v>
      </c>
      <c r="AL32" s="22">
        <v>84962.355444943736</v>
      </c>
      <c r="AM32" s="22"/>
      <c r="AN32" s="21">
        <f>+NOT(AN31)*1</f>
        <v>0</v>
      </c>
      <c r="AR32" s="22" cm="1">
        <f t="array" ref="AR32:AS32">+LINEST(AR28:AR30,AQ28:AQ30^{1})</f>
        <v>1719.8991442542458</v>
      </c>
      <c r="AS32" s="22">
        <v>121803.86747514264</v>
      </c>
      <c r="AT32" s="22"/>
      <c r="AU32" s="21">
        <f>+NOT(AU31)*1</f>
        <v>1</v>
      </c>
    </row>
    <row r="33" spans="1:48" x14ac:dyDescent="0.25">
      <c r="A33" s="6"/>
      <c r="B33" s="10"/>
      <c r="C33" s="10"/>
      <c r="D33" s="10"/>
      <c r="E33" s="11"/>
      <c r="F33" s="11"/>
      <c r="G33" s="11"/>
      <c r="H33" s="10"/>
      <c r="I33" s="10"/>
      <c r="J33" s="11"/>
      <c r="K33" s="11"/>
      <c r="L33" s="12"/>
      <c r="M33" s="24"/>
      <c r="N33" s="24"/>
      <c r="P33" s="25"/>
      <c r="Q33" s="25"/>
      <c r="R33" s="25"/>
      <c r="S33" s="13"/>
      <c r="U33" s="13"/>
      <c r="W33" s="13"/>
      <c r="X33" s="11"/>
      <c r="Y33" s="11"/>
      <c r="AA33" s="11"/>
      <c r="AC33" s="22">
        <f>+SUMPRODUCT(AC31:AC32,AG31:AG32)</f>
        <v>0</v>
      </c>
      <c r="AD33" s="22">
        <f>+SUMPRODUCT(AD31:AD32,AG31:AG32)</f>
        <v>-111217.80763594329</v>
      </c>
      <c r="AE33" s="22">
        <f>+SUMPRODUCT(AE31:AE32,AG31:AG32)</f>
        <v>221487.04783132568</v>
      </c>
      <c r="AJ33" s="22">
        <f>+SUMPRODUCT(AJ31:AJ32,AN31:AN32)</f>
        <v>219.91471334897659</v>
      </c>
      <c r="AK33" s="22">
        <f>+SUMPRODUCT(AK31:AK32,AN31:AN32)</f>
        <v>49715.81203271338</v>
      </c>
      <c r="AL33" s="22">
        <f>+SUMPRODUCT(AL31:AL32,AN31:AN32)</f>
        <v>85088.960116707443</v>
      </c>
      <c r="AQ33" s="22">
        <f>+SUMPRODUCT(AQ31:AQ32,AU31:AU32)</f>
        <v>0</v>
      </c>
      <c r="AR33" s="22">
        <f>+SUMPRODUCT(AR31:AR32,AU31:AU32)</f>
        <v>1719.8991442542458</v>
      </c>
      <c r="AS33" s="22">
        <f>+SUMPRODUCT(AS31:AS32,AU31:AU32)</f>
        <v>121803.86747514264</v>
      </c>
      <c r="AV33" s="3"/>
    </row>
    <row r="36" spans="1:48" x14ac:dyDescent="0.25">
      <c r="B36" s="15"/>
      <c r="C36" s="15"/>
      <c r="F36" s="15"/>
      <c r="G36" s="15"/>
    </row>
    <row r="58" spans="1:9" x14ac:dyDescent="0.25">
      <c r="A58" s="2"/>
    </row>
    <row r="59" spans="1:9" x14ac:dyDescent="0.25">
      <c r="B59" s="15"/>
      <c r="C59" s="15"/>
      <c r="D59" s="1"/>
      <c r="E59" s="1"/>
      <c r="F59" s="15"/>
      <c r="G59" s="15"/>
      <c r="H59" s="13"/>
      <c r="I59" s="13"/>
    </row>
    <row r="62" spans="1:9" x14ac:dyDescent="0.25">
      <c r="A62" s="2"/>
    </row>
    <row r="63" spans="1:9" x14ac:dyDescent="0.25">
      <c r="B63" s="15"/>
      <c r="C63" s="15"/>
      <c r="D63" s="1"/>
      <c r="E63" s="1"/>
      <c r="F63" s="15"/>
      <c r="G63" s="15"/>
      <c r="H63" s="13"/>
      <c r="I63" s="13"/>
    </row>
  </sheetData>
  <mergeCells count="17">
    <mergeCell ref="AC2:AH2"/>
    <mergeCell ref="AJ2:AO2"/>
    <mergeCell ref="AQ2:AV2"/>
    <mergeCell ref="AC11:AH11"/>
    <mergeCell ref="AJ11:AO11"/>
    <mergeCell ref="AQ11:AV11"/>
    <mergeCell ref="B1:D1"/>
    <mergeCell ref="E1:G1"/>
    <mergeCell ref="H1:I1"/>
    <mergeCell ref="J1:K1"/>
    <mergeCell ref="L1:N1"/>
    <mergeCell ref="AC19:AH19"/>
    <mergeCell ref="AJ19:AO19"/>
    <mergeCell ref="AQ19:AV19"/>
    <mergeCell ref="AC27:AH27"/>
    <mergeCell ref="AJ27:AO27"/>
    <mergeCell ref="AQ27:AV27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650B2-7292-485A-897C-9331646BDD1F}">
  <sheetPr>
    <tabColor rgb="FF92D050"/>
  </sheetPr>
  <dimension ref="A1:U22"/>
  <sheetViews>
    <sheetView workbookViewId="0">
      <selection activeCell="B4" sqref="B4"/>
    </sheetView>
  </sheetViews>
  <sheetFormatPr defaultRowHeight="15" x14ac:dyDescent="0.25"/>
  <cols>
    <col min="1" max="1" width="31.140625" customWidth="1"/>
    <col min="2" max="2" width="6.28515625" customWidth="1"/>
    <col min="3" max="3" width="7" customWidth="1"/>
    <col min="4" max="4" width="6.5703125" customWidth="1"/>
    <col min="5" max="5" width="5.42578125" customWidth="1"/>
    <col min="6" max="7" width="5.28515625" customWidth="1"/>
    <col min="8" max="8" width="6.85546875" customWidth="1"/>
    <col min="9" max="9" width="7" customWidth="1"/>
    <col min="10" max="10" width="5.5703125" customWidth="1"/>
    <col min="11" max="11" width="5.42578125" customWidth="1"/>
  </cols>
  <sheetData>
    <row r="1" spans="1:21" ht="39.75" customHeight="1" x14ac:dyDescent="0.25">
      <c r="A1" s="34"/>
      <c r="B1" s="80" t="str">
        <f>+'Table 5-5'!B1</f>
        <v>Utility weight assumptions from ICER (i)</v>
      </c>
      <c r="C1" s="80"/>
      <c r="D1" s="80"/>
      <c r="E1" s="80" t="str">
        <f>+'Table 5-5'!E1</f>
        <v>CE ratios from ICER ($000/QALY) (ii)</v>
      </c>
      <c r="F1" s="80"/>
      <c r="G1" s="80"/>
      <c r="H1" s="80" t="str">
        <f>+'Table 5-5'!H1</f>
        <v>Expert group utility weight assumptions (iii)</v>
      </c>
      <c r="I1" s="80"/>
      <c r="J1" s="80" t="str">
        <f>+'Table 5-5'!J1</f>
        <v>Expert group imputed CE ratios (iv)</v>
      </c>
      <c r="K1" s="80"/>
      <c r="L1" s="80" t="str">
        <f>+'Table 5-5'!L1</f>
        <v>Influence measures (v)</v>
      </c>
      <c r="M1" s="80"/>
      <c r="N1" s="80"/>
      <c r="O1" s="2"/>
    </row>
    <row r="2" spans="1:21" ht="36" customHeight="1" x14ac:dyDescent="0.25">
      <c r="A2" s="35"/>
      <c r="B2" s="36" t="str">
        <f>+'Table 5-5'!B2</f>
        <v>Base case</v>
      </c>
      <c r="C2" s="36" t="str">
        <f>+'Table 5-5'!C2</f>
        <v>Lower bound</v>
      </c>
      <c r="D2" s="36" t="str">
        <f>+'Table 5-5'!D2</f>
        <v>Upper bound</v>
      </c>
      <c r="E2" s="36" t="str">
        <f>+'Table 5-5'!E2</f>
        <v>Base case</v>
      </c>
      <c r="F2" s="36" t="str">
        <f>+'Table 5-5'!F2</f>
        <v>Lower bound assumption</v>
      </c>
      <c r="G2" s="36" t="str">
        <f>+'Table 5-5'!G2</f>
        <v>Upper bound assumption</v>
      </c>
      <c r="H2" s="36" t="str">
        <f>+'Table 5-5'!H2</f>
        <v>Expert Group 1</v>
      </c>
      <c r="I2" s="36" t="str">
        <f>+'Table 5-5'!I2</f>
        <v>Expert Group 2</v>
      </c>
      <c r="J2" s="36" t="str">
        <f>+'Table 5-5'!J2</f>
        <v>Expert Group 1</v>
      </c>
      <c r="K2" s="36" t="str">
        <f>+'Table 5-5'!K2</f>
        <v>Expert Group 2</v>
      </c>
      <c r="L2" s="36" t="str">
        <f>+'Table 5-5'!L2</f>
        <v>Avg pct deviation</v>
      </c>
      <c r="M2" s="36" t="str">
        <f>+'Table 5-5'!M2</f>
        <v>Cross $100K benchmark</v>
      </c>
      <c r="N2" s="36" t="str">
        <f>+'Table 5-5'!N2</f>
        <v>Cross $150K benchmark</v>
      </c>
    </row>
    <row r="3" spans="1:21" x14ac:dyDescent="0.25">
      <c r="A3" s="77" t="str">
        <f>+'Table 5-5'!A3</f>
        <v>Analysis (a): NF for CIS+/- Ta/T1</v>
      </c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9"/>
      <c r="U3" s="1"/>
    </row>
    <row r="4" spans="1:21" x14ac:dyDescent="0.25">
      <c r="A4" s="35" t="str">
        <f>+'Table 5-5'!A4</f>
        <v>Utility weight - Disease free</v>
      </c>
      <c r="B4" s="37">
        <f>+'Table 5-5'!B4</f>
        <v>0.87</v>
      </c>
      <c r="C4" s="37">
        <f>+'Table 5-5'!C4</f>
        <v>0.84670000000000001</v>
      </c>
      <c r="D4" s="37">
        <f>+'Table 5-5'!D4</f>
        <v>0.89329999999999998</v>
      </c>
      <c r="E4" s="38">
        <f>+ROUND('Table 5-5'!E4/CE_Scale,RoundPlace)</f>
        <v>151</v>
      </c>
      <c r="F4" s="38">
        <f>+ROUND('Table 5-5'!F4/CE_Scale,RoundPlace)</f>
        <v>155</v>
      </c>
      <c r="G4" s="38">
        <f>+ROUND('Table 5-5'!G4/CE_Scale,RoundPlace)</f>
        <v>146</v>
      </c>
      <c r="H4" s="37">
        <f>+'Table 5-5'!H4</f>
        <v>0.73597993421052621</v>
      </c>
      <c r="I4" s="37">
        <f>+'Table 5-5'!I4</f>
        <v>0.87</v>
      </c>
      <c r="J4" s="38">
        <f>+ROUND('Table 5-5'!J4/CE_Scale,RoundPlace)</f>
        <v>171</v>
      </c>
      <c r="K4" s="38">
        <f>+ROUND('Table 5-5'!K4/CE_Scale,RoundPlace)</f>
        <v>151</v>
      </c>
      <c r="L4" s="39">
        <f>+'Table 5-5'!L4</f>
        <v>6.6086446624899126E-2</v>
      </c>
      <c r="M4" s="40" t="str">
        <f>+'Table 5-5'!M4</f>
        <v>NO</v>
      </c>
      <c r="N4" s="40" t="str">
        <f>+'Table 5-5'!N4</f>
        <v>NO</v>
      </c>
      <c r="U4" s="1"/>
    </row>
    <row r="5" spans="1:21" x14ac:dyDescent="0.25">
      <c r="A5" s="35" t="str">
        <f>+'Table 5-5'!A5</f>
        <v>Utility weight - Persistent/recurrent NMIBC</v>
      </c>
      <c r="B5" s="37">
        <f>+'Table 5-5'!B5</f>
        <v>0.76</v>
      </c>
      <c r="C5" s="37">
        <f>+'Table 5-5'!C5</f>
        <v>0.70660000000000001</v>
      </c>
      <c r="D5" s="37">
        <f>+'Table 5-5'!D5</f>
        <v>0.81340000000000001</v>
      </c>
      <c r="E5" s="38">
        <f>+ROUND('Table 5-5'!E5/CE_Scale,RoundPlace)</f>
        <v>151</v>
      </c>
      <c r="F5" s="38">
        <f>+ROUND('Table 5-5'!F5/CE_Scale,RoundPlace)</f>
        <v>153</v>
      </c>
      <c r="G5" s="38">
        <f>+ROUND('Table 5-5'!G5/CE_Scale,RoundPlace)</f>
        <v>149</v>
      </c>
      <c r="H5" s="37">
        <f>+'Table 5-5'!H5</f>
        <v>0.64292499999999997</v>
      </c>
      <c r="I5" s="37">
        <f>+'Table 5-5'!I5</f>
        <v>0.65338235294117653</v>
      </c>
      <c r="J5" s="38">
        <f>+ROUND('Table 5-5'!J5/CE_Scale,RoundPlace)</f>
        <v>154</v>
      </c>
      <c r="K5" s="38">
        <f>+ROUND('Table 5-5'!K5/CE_Scale,RoundPlace)</f>
        <v>154</v>
      </c>
      <c r="L5" s="39">
        <f>+'Table 5-5'!L5</f>
        <v>1.0571414189548791E-2</v>
      </c>
      <c r="M5" s="40" t="str">
        <f>+'Table 5-5'!M5</f>
        <v>NO</v>
      </c>
      <c r="N5" s="40" t="str">
        <f>+'Table 5-5'!N5</f>
        <v>NO</v>
      </c>
      <c r="U5" s="1"/>
    </row>
    <row r="6" spans="1:21" x14ac:dyDescent="0.25">
      <c r="A6" s="35" t="str">
        <f>+'Table 5-5'!A6</f>
        <v>Utility weight - MIBC</v>
      </c>
      <c r="B6" s="37">
        <f>+'Table 5-5'!B6</f>
        <v>0.75</v>
      </c>
      <c r="C6" s="37">
        <f>+'Table 5-5'!C6</f>
        <v>0.66820000000000002</v>
      </c>
      <c r="D6" s="37">
        <f>+'Table 5-5'!D6</f>
        <v>0.83179999999999998</v>
      </c>
      <c r="E6" s="38">
        <f>+ROUND('Table 5-5'!E6/CE_Scale,RoundPlace)</f>
        <v>151</v>
      </c>
      <c r="F6" s="38">
        <f>+ROUND('Table 5-5'!F6/CE_Scale,RoundPlace)</f>
        <v>150</v>
      </c>
      <c r="G6" s="38">
        <f>+ROUND('Table 5-5'!G6/CE_Scale,RoundPlace)</f>
        <v>152</v>
      </c>
      <c r="H6" s="37">
        <f>+'Table 5-5'!H6</f>
        <v>0.54648624999999995</v>
      </c>
      <c r="I6" s="37">
        <f>+'Table 5-5'!I6</f>
        <v>0.70735294117647063</v>
      </c>
      <c r="J6" s="38">
        <f>+ROUND('Table 5-5'!J6/CE_Scale,RoundPlace)</f>
        <v>147</v>
      </c>
      <c r="K6" s="38">
        <f>+ROUND('Table 5-5'!K6/CE_Scale,RoundPlace)</f>
        <v>150</v>
      </c>
      <c r="L6" s="39">
        <f>+'Table 5-5'!L6</f>
        <v>1.2931972113781122E-2</v>
      </c>
      <c r="M6" s="40" t="str">
        <f>+'Table 5-5'!M6</f>
        <v>NO</v>
      </c>
      <c r="N6" s="40" t="str">
        <f>+'Table 5-5'!N6</f>
        <v>YES</v>
      </c>
      <c r="U6" s="1"/>
    </row>
    <row r="7" spans="1:21" x14ac:dyDescent="0.25">
      <c r="A7" s="35"/>
      <c r="B7" s="37"/>
      <c r="C7" s="37"/>
      <c r="D7" s="37"/>
      <c r="E7" s="38"/>
      <c r="F7" s="38"/>
      <c r="G7" s="38"/>
      <c r="H7" s="37"/>
      <c r="I7" s="37"/>
      <c r="J7" s="38"/>
      <c r="K7" s="38"/>
      <c r="L7" s="39"/>
      <c r="M7" s="40"/>
      <c r="N7" s="40"/>
      <c r="U7" s="1"/>
    </row>
    <row r="8" spans="1:21" x14ac:dyDescent="0.25">
      <c r="A8" s="77" t="str">
        <f>+'Table 5-5'!A11</f>
        <v>Analysis (b): OM for CIS+/- Ta/T1</v>
      </c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9"/>
    </row>
    <row r="9" spans="1:21" x14ac:dyDescent="0.25">
      <c r="A9" s="35" t="str">
        <f>+'Table 5-5'!A12</f>
        <v>Utility weight - Disease free</v>
      </c>
      <c r="B9" s="37">
        <f>+'Table 5-5'!B12</f>
        <v>0.87</v>
      </c>
      <c r="C9" s="37">
        <f>+'Table 5-5'!C12</f>
        <v>0.84670000000000001</v>
      </c>
      <c r="D9" s="37">
        <f>+'Table 5-5'!D12</f>
        <v>0.89329999999999998</v>
      </c>
      <c r="E9" s="38">
        <f>+ROUND('Table 5-5'!E12/CE_Scale,RoundPlace)</f>
        <v>382</v>
      </c>
      <c r="F9" s="38">
        <f>+ROUND('Table 5-5'!F12/CE_Scale,RoundPlace)</f>
        <v>400</v>
      </c>
      <c r="G9" s="38">
        <f>+ROUND('Table 5-5'!G12/CE_Scale,RoundPlace)</f>
        <v>367</v>
      </c>
      <c r="H9" s="37">
        <f>+'Table 5-5'!H12</f>
        <v>0.73597993421052621</v>
      </c>
      <c r="I9" s="37">
        <f>+'Table 5-5'!I12</f>
        <v>0.87</v>
      </c>
      <c r="J9" s="38">
        <f>+ROUND('Table 5-5'!J12/CE_Scale,RoundPlace)</f>
        <v>524</v>
      </c>
      <c r="K9" s="38">
        <f>+ROUND('Table 5-5'!K12/CE_Scale,RoundPlace)</f>
        <v>382</v>
      </c>
      <c r="L9" s="39">
        <f>+'Table 5-5'!L12</f>
        <v>0.18646645759075944</v>
      </c>
      <c r="M9" s="40" t="str">
        <f>+'Table 5-5'!M12</f>
        <v>NO</v>
      </c>
      <c r="N9" s="40" t="str">
        <f>+'Table 5-5'!N12</f>
        <v>NO</v>
      </c>
    </row>
    <row r="10" spans="1:21" x14ac:dyDescent="0.25">
      <c r="A10" s="35" t="str">
        <f>+'Table 5-5'!A13</f>
        <v>Utility weight - Persistent/recurrent NMIBC</v>
      </c>
      <c r="B10" s="37">
        <f>+'Table 5-5'!B13</f>
        <v>0.76</v>
      </c>
      <c r="C10" s="37">
        <f>+'Table 5-5'!C13</f>
        <v>0.70660000000000001</v>
      </c>
      <c r="D10" s="37">
        <f>+'Table 5-5'!D13</f>
        <v>0.81340000000000001</v>
      </c>
      <c r="E10" s="38">
        <f>+ROUND('Table 5-5'!E13/CE_Scale,RoundPlace)</f>
        <v>382</v>
      </c>
      <c r="F10" s="38">
        <f>+ROUND('Table 5-5'!F13/CE_Scale,RoundPlace)</f>
        <v>374</v>
      </c>
      <c r="G10" s="38">
        <f>+ROUND('Table 5-5'!G13/CE_Scale,RoundPlace)</f>
        <v>392</v>
      </c>
      <c r="H10" s="37">
        <f>+'Table 5-5'!H13</f>
        <v>0.64292499999999997</v>
      </c>
      <c r="I10" s="37">
        <f>+'Table 5-5'!I13</f>
        <v>0.65338235294117653</v>
      </c>
      <c r="J10" s="38">
        <f>+ROUND('Table 5-5'!J13/CE_Scale,RoundPlace)</f>
        <v>366</v>
      </c>
      <c r="K10" s="38">
        <f>+ROUND('Table 5-5'!K13/CE_Scale,RoundPlace)</f>
        <v>367</v>
      </c>
      <c r="L10" s="39">
        <f>+'Table 5-5'!L13</f>
        <v>2.1333552422389941E-2</v>
      </c>
      <c r="M10" s="40" t="str">
        <f>+'Table 5-5'!M13</f>
        <v>NO</v>
      </c>
      <c r="N10" s="40" t="str">
        <f>+'Table 5-5'!N13</f>
        <v>NO</v>
      </c>
    </row>
    <row r="11" spans="1:21" x14ac:dyDescent="0.25">
      <c r="A11" s="35" t="str">
        <f>+'Table 5-5'!A14</f>
        <v>Utility weight - MIBC</v>
      </c>
      <c r="B11" s="37">
        <f>+'Table 5-5'!B14</f>
        <v>0.75</v>
      </c>
      <c r="C11" s="37">
        <f>+'Table 5-5'!C14</f>
        <v>0.66820000000000002</v>
      </c>
      <c r="D11" s="37">
        <f>+'Table 5-5'!D14</f>
        <v>0.83179999999999998</v>
      </c>
      <c r="E11" s="38">
        <f>+ROUND('Table 5-5'!E14/CE_Scale,RoundPlace)</f>
        <v>382</v>
      </c>
      <c r="F11" s="38">
        <f>+ROUND('Table 5-5'!F14/CE_Scale,RoundPlace)</f>
        <v>383</v>
      </c>
      <c r="G11" s="38">
        <f>+ROUND('Table 5-5'!G14/CE_Scale,RoundPlace)</f>
        <v>382</v>
      </c>
      <c r="H11" s="37">
        <f>+'Table 5-5'!H14</f>
        <v>0.54648624999999995</v>
      </c>
      <c r="I11" s="37">
        <f>+'Table 5-5'!I14</f>
        <v>0.70735294117647063</v>
      </c>
      <c r="J11" s="38">
        <f>+ROUND('Table 5-5'!J14/CE_Scale,RoundPlace)</f>
        <v>384</v>
      </c>
      <c r="K11" s="38">
        <f>+ROUND('Table 5-5'!K14/CE_Scale,RoundPlace)</f>
        <v>383</v>
      </c>
      <c r="L11" s="39">
        <f>+'Table 5-5'!L14</f>
        <v>2.5833950825733696E-3</v>
      </c>
      <c r="M11" s="40" t="str">
        <f>+'Table 5-5'!M14</f>
        <v>NO</v>
      </c>
      <c r="N11" s="40" t="str">
        <f>+'Table 5-5'!N14</f>
        <v>NO</v>
      </c>
    </row>
    <row r="12" spans="1:21" x14ac:dyDescent="0.25">
      <c r="A12" s="35"/>
      <c r="B12" s="37"/>
      <c r="C12" s="37"/>
      <c r="D12" s="37"/>
      <c r="E12" s="38"/>
      <c r="F12" s="38"/>
      <c r="G12" s="38"/>
      <c r="H12" s="37"/>
      <c r="I12" s="37"/>
      <c r="J12" s="38"/>
      <c r="K12" s="38"/>
      <c r="L12" s="39"/>
      <c r="M12" s="40"/>
      <c r="N12" s="40"/>
    </row>
    <row r="13" spans="1:21" x14ac:dyDescent="0.25">
      <c r="A13" s="77" t="str">
        <f>+'Table 5-5'!A19</f>
        <v>Analysis (c): NF for HG Ta/T1</v>
      </c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9"/>
    </row>
    <row r="14" spans="1:21" x14ac:dyDescent="0.25">
      <c r="A14" s="35" t="str">
        <f>+'Table 5-5'!A20</f>
        <v>Utility weight - Disease free</v>
      </c>
      <c r="B14" s="37">
        <f>+'Table 5-5'!B20</f>
        <v>0.87</v>
      </c>
      <c r="C14" s="37">
        <f>+'Table 5-5'!C20</f>
        <v>0.84670000000000001</v>
      </c>
      <c r="D14" s="37">
        <f>+'Table 5-5'!D20</f>
        <v>0.89329999999999998</v>
      </c>
      <c r="E14" s="38">
        <f>+ROUND('Table 5-5'!E20/CE_Scale,RoundPlace)</f>
        <v>93</v>
      </c>
      <c r="F14" s="38">
        <f>+ROUND('Table 5-5'!F20/CE_Scale,RoundPlace)</f>
        <v>97</v>
      </c>
      <c r="G14" s="38">
        <f>+ROUND('Table 5-5'!G20/CE_Scale,RoundPlace)</f>
        <v>90</v>
      </c>
      <c r="H14" s="37">
        <f>+'Table 5-5'!H20</f>
        <v>0.73597993421052621</v>
      </c>
      <c r="I14" s="37">
        <f>+'Table 5-5'!I20</f>
        <v>0.87</v>
      </c>
      <c r="J14" s="38">
        <f>+ROUND('Table 5-5'!J20/CE_Scale,RoundPlace)</f>
        <v>122</v>
      </c>
      <c r="K14" s="38">
        <f>+ROUND('Table 5-5'!K20/CE_Scale,RoundPlace)</f>
        <v>93</v>
      </c>
      <c r="L14" s="39">
        <f>+'Table 5-5'!L20</f>
        <v>0.15415409597765622</v>
      </c>
      <c r="M14" s="40" t="str">
        <f>+'Table 5-5'!M20</f>
        <v>YES</v>
      </c>
      <c r="N14" s="40" t="str">
        <f>+'Table 5-5'!N20</f>
        <v>NO</v>
      </c>
    </row>
    <row r="15" spans="1:21" x14ac:dyDescent="0.25">
      <c r="A15" s="35" t="str">
        <f>+'Table 5-5'!A21</f>
        <v>Utility weight - Persistent/recurrent NMIBC</v>
      </c>
      <c r="B15" s="37">
        <f>+'Table 5-5'!B21</f>
        <v>0.76</v>
      </c>
      <c r="C15" s="37">
        <f>+'Table 5-5'!C21</f>
        <v>0.70660000000000001</v>
      </c>
      <c r="D15" s="37">
        <f>+'Table 5-5'!D21</f>
        <v>0.81340000000000001</v>
      </c>
      <c r="E15" s="38">
        <f>+ROUND('Table 5-5'!E21/CE_Scale,RoundPlace)</f>
        <v>93</v>
      </c>
      <c r="F15" s="38">
        <f>+ROUND('Table 5-5'!F21/CE_Scale,RoundPlace)</f>
        <v>92</v>
      </c>
      <c r="G15" s="38">
        <f>+ROUND('Table 5-5'!G21/CE_Scale,RoundPlace)</f>
        <v>94</v>
      </c>
      <c r="H15" s="37">
        <f>+'Table 5-5'!H21</f>
        <v>0.64292499999999997</v>
      </c>
      <c r="I15" s="37">
        <f>+'Table 5-5'!I21</f>
        <v>0.65338235294117653</v>
      </c>
      <c r="J15" s="38">
        <f>+ROUND('Table 5-5'!J21/CE_Scale,RoundPlace)</f>
        <v>91</v>
      </c>
      <c r="K15" s="38">
        <f>+ROUND('Table 5-5'!K21/CE_Scale,RoundPlace)</f>
        <v>91</v>
      </c>
      <c r="L15" s="39">
        <f>+'Table 5-5'!L21</f>
        <v>1.3280641046215807E-2</v>
      </c>
      <c r="M15" s="40" t="str">
        <f>+'Table 5-5'!M21</f>
        <v>NO</v>
      </c>
      <c r="N15" s="40" t="str">
        <f>+'Table 5-5'!N21</f>
        <v>NO</v>
      </c>
    </row>
    <row r="16" spans="1:21" x14ac:dyDescent="0.25">
      <c r="A16" s="35" t="str">
        <f>+'Table 5-5'!A22</f>
        <v>Utility weight - MIBC</v>
      </c>
      <c r="B16" s="37">
        <f>+'Table 5-5'!B22</f>
        <v>0.75</v>
      </c>
      <c r="C16" s="37">
        <f>+'Table 5-5'!C22</f>
        <v>0.66820000000000002</v>
      </c>
      <c r="D16" s="37">
        <f>+'Table 5-5'!D22</f>
        <v>0.83179999999999998</v>
      </c>
      <c r="E16" s="38">
        <f>+ROUND('Table 5-5'!E22/CE_Scale,RoundPlace)</f>
        <v>93</v>
      </c>
      <c r="F16" s="38">
        <f>+ROUND('Table 5-5'!F22/CE_Scale,RoundPlace)</f>
        <v>93</v>
      </c>
      <c r="G16" s="38">
        <f>+ROUND('Table 5-5'!G22/CE_Scale,RoundPlace)</f>
        <v>93</v>
      </c>
      <c r="H16" s="37">
        <f>+'Table 5-5'!H22</f>
        <v>0.54648624999999995</v>
      </c>
      <c r="I16" s="37">
        <f>+'Table 5-5'!I22</f>
        <v>0.70735294117647063</v>
      </c>
      <c r="J16" s="38">
        <f>+ROUND('Table 5-5'!J22/CE_Scale,RoundPlace)</f>
        <v>93</v>
      </c>
      <c r="K16" s="38">
        <f>+ROUND('Table 5-5'!K22/CE_Scale,RoundPlace)</f>
        <v>93</v>
      </c>
      <c r="L16" s="39">
        <f>+'Table 5-5'!L22</f>
        <v>2.0364628436006665E-3</v>
      </c>
      <c r="M16" s="40" t="str">
        <f>+'Table 5-5'!M22</f>
        <v>NO</v>
      </c>
      <c r="N16" s="40" t="str">
        <f>+'Table 5-5'!N22</f>
        <v>NO</v>
      </c>
    </row>
    <row r="17" spans="1:14" x14ac:dyDescent="0.25">
      <c r="A17" s="35"/>
      <c r="B17" s="37"/>
      <c r="C17" s="37"/>
      <c r="D17" s="37"/>
      <c r="E17" s="38"/>
      <c r="F17" s="38"/>
      <c r="G17" s="38"/>
      <c r="H17" s="37"/>
      <c r="I17" s="37"/>
      <c r="J17" s="38"/>
      <c r="K17" s="38"/>
      <c r="L17" s="39"/>
      <c r="M17" s="40"/>
      <c r="N17" s="40"/>
    </row>
    <row r="18" spans="1:14" x14ac:dyDescent="0.25">
      <c r="A18" s="77" t="str">
        <f>+'Table 5-5'!A27</f>
        <v>Analysis (d): OM for HG Ta/T1</v>
      </c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9"/>
    </row>
    <row r="19" spans="1:14" x14ac:dyDescent="0.25">
      <c r="A19" s="35" t="str">
        <f>+'Table 5-5'!A28</f>
        <v>Utility weight - Disease free</v>
      </c>
      <c r="B19" s="37">
        <f>+'Table 5-5'!B28</f>
        <v>0.87</v>
      </c>
      <c r="C19" s="37">
        <f>+'Table 5-5'!C28</f>
        <v>0.84670000000000001</v>
      </c>
      <c r="D19" s="37">
        <f>+'Table 5-5'!D28</f>
        <v>0.89329999999999998</v>
      </c>
      <c r="E19" s="38">
        <f>+ROUND('Table 5-5'!E28/CE_Scale,RoundPlace)</f>
        <v>123</v>
      </c>
      <c r="F19" s="38">
        <f>+ROUND('Table 5-5'!F28/CE_Scale,RoundPlace)</f>
        <v>128</v>
      </c>
      <c r="G19" s="38">
        <f>+ROUND('Table 5-5'!G28/CE_Scale,RoundPlace)</f>
        <v>123</v>
      </c>
      <c r="H19" s="37">
        <f>+'Table 5-5'!H28</f>
        <v>0.73597993421052621</v>
      </c>
      <c r="I19" s="37">
        <f>+'Table 5-5'!I28</f>
        <v>0.87</v>
      </c>
      <c r="J19" s="38">
        <f>+ROUND('Table 5-5'!J28/CE_Scale,RoundPlace)</f>
        <v>140</v>
      </c>
      <c r="K19" s="38">
        <f>+ROUND('Table 5-5'!K28/CE_Scale,RoundPlace)</f>
        <v>125</v>
      </c>
      <c r="L19" s="39">
        <f>+'Table 5-5'!L28</f>
        <v>6.6677219237189347E-2</v>
      </c>
      <c r="M19" s="40" t="str">
        <f>+'Table 5-5'!M28</f>
        <v>NO</v>
      </c>
      <c r="N19" s="40" t="str">
        <f>+'Table 5-5'!N28</f>
        <v>NO</v>
      </c>
    </row>
    <row r="20" spans="1:14" x14ac:dyDescent="0.25">
      <c r="A20" s="35" t="str">
        <f>+'Table 5-5'!A29</f>
        <v>Utility weight - Persistent/recurrent NMIBC</v>
      </c>
      <c r="B20" s="37">
        <f>+'Table 5-5'!B29</f>
        <v>0.76</v>
      </c>
      <c r="C20" s="37">
        <f>+'Table 5-5'!C29</f>
        <v>0.70660000000000001</v>
      </c>
      <c r="D20" s="37">
        <f>+'Table 5-5'!D29</f>
        <v>0.81340000000000001</v>
      </c>
      <c r="E20" s="38">
        <f>+ROUND('Table 5-5'!E29/CE_Scale,RoundPlace)</f>
        <v>123</v>
      </c>
      <c r="F20" s="38">
        <f>+ROUND('Table 5-5'!F29/CE_Scale,RoundPlace)</f>
        <v>120</v>
      </c>
      <c r="G20" s="38">
        <f>+ROUND('Table 5-5'!G29/CE_Scale,RoundPlace)</f>
        <v>126</v>
      </c>
      <c r="H20" s="37">
        <f>+'Table 5-5'!H29</f>
        <v>0.64292499999999997</v>
      </c>
      <c r="I20" s="37">
        <f>+'Table 5-5'!I29</f>
        <v>0.65338235294117653</v>
      </c>
      <c r="J20" s="38">
        <f>+ROUND('Table 5-5'!J29/CE_Scale,RoundPlace)</f>
        <v>117</v>
      </c>
      <c r="K20" s="38">
        <f>+ROUND('Table 5-5'!K29/CE_Scale,RoundPlace)</f>
        <v>118</v>
      </c>
      <c r="L20" s="39">
        <f>+'Table 5-5'!L29</f>
        <v>2.4886480782011115E-2</v>
      </c>
      <c r="M20" s="40" t="str">
        <f>+'Table 5-5'!M29</f>
        <v>NO</v>
      </c>
      <c r="N20" s="40" t="str">
        <f>+'Table 5-5'!N29</f>
        <v>NO</v>
      </c>
    </row>
    <row r="21" spans="1:14" x14ac:dyDescent="0.25">
      <c r="A21" s="35" t="str">
        <f>+'Table 5-5'!A30</f>
        <v>Utility weight - MIBC</v>
      </c>
      <c r="B21" s="37">
        <f>+'Table 5-5'!B30</f>
        <v>0.75</v>
      </c>
      <c r="C21" s="37">
        <f>+'Table 5-5'!C30</f>
        <v>0.66820000000000002</v>
      </c>
      <c r="D21" s="37">
        <f>+'Table 5-5'!D30</f>
        <v>0.83179999999999998</v>
      </c>
      <c r="E21" s="38">
        <f>+ROUND('Table 5-5'!E30/CE_Scale,RoundPlace)</f>
        <v>123</v>
      </c>
      <c r="F21" s="38">
        <f>+ROUND('Table 5-5'!F30/CE_Scale,RoundPlace)</f>
        <v>123</v>
      </c>
      <c r="G21" s="38">
        <f>+ROUND('Table 5-5'!G30/CE_Scale,RoundPlace)</f>
        <v>123</v>
      </c>
      <c r="H21" s="37">
        <f>+'Table 5-5'!H30</f>
        <v>0.54648624999999995</v>
      </c>
      <c r="I21" s="37">
        <f>+'Table 5-5'!I30</f>
        <v>0.70735294117647063</v>
      </c>
      <c r="J21" s="38">
        <f>+ROUND('Table 5-5'!J30/CE_Scale,RoundPlace)</f>
        <v>123</v>
      </c>
      <c r="K21" s="38">
        <f>+ROUND('Table 5-5'!K30/CE_Scale,RoundPlace)</f>
        <v>123</v>
      </c>
      <c r="L21" s="39">
        <f>+'Table 5-5'!L30</f>
        <v>1.1246930263960535E-3</v>
      </c>
      <c r="M21" s="40" t="str">
        <f>+'Table 5-5'!M30</f>
        <v>NO</v>
      </c>
      <c r="N21" s="40" t="str">
        <f>+'Table 5-5'!N30</f>
        <v>NO</v>
      </c>
    </row>
    <row r="22" spans="1:14" x14ac:dyDescent="0.25">
      <c r="A22" s="35"/>
      <c r="B22" s="37"/>
      <c r="C22" s="37"/>
      <c r="D22" s="37"/>
      <c r="E22" s="38"/>
      <c r="F22" s="38"/>
      <c r="G22" s="38"/>
      <c r="H22" s="37"/>
      <c r="I22" s="37"/>
      <c r="J22" s="38"/>
      <c r="K22" s="38"/>
      <c r="L22" s="39"/>
      <c r="M22" s="40"/>
      <c r="N22" s="40"/>
    </row>
  </sheetData>
  <mergeCells count="9">
    <mergeCell ref="A3:N3"/>
    <mergeCell ref="A8:N8"/>
    <mergeCell ref="A13:N13"/>
    <mergeCell ref="A18:N18"/>
    <mergeCell ref="B1:D1"/>
    <mergeCell ref="E1:G1"/>
    <mergeCell ref="H1:I1"/>
    <mergeCell ref="J1:K1"/>
    <mergeCell ref="L1:N1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D844-476E-4CFD-AEFD-625B417692D0}">
  <sheetPr>
    <tabColor rgb="FFFFC000"/>
  </sheetPr>
  <dimension ref="A2:P55"/>
  <sheetViews>
    <sheetView topLeftCell="A19" workbookViewId="0">
      <selection activeCell="E44" sqref="E44"/>
    </sheetView>
  </sheetViews>
  <sheetFormatPr defaultColWidth="9.140625" defaultRowHeight="12.75" x14ac:dyDescent="0.2"/>
  <cols>
    <col min="1" max="1" width="55" style="16" customWidth="1"/>
    <col min="2" max="4" width="9.140625" style="16"/>
    <col min="5" max="5" width="9.7109375" style="16" bestFit="1" customWidth="1"/>
    <col min="6" max="6" width="13.42578125" style="16" bestFit="1" customWidth="1"/>
    <col min="7" max="7" width="14.140625" style="16" bestFit="1" customWidth="1"/>
    <col min="8" max="16" width="9.85546875" style="16" customWidth="1"/>
    <col min="17" max="16384" width="9.140625" style="16"/>
  </cols>
  <sheetData>
    <row r="2" spans="1:16" x14ac:dyDescent="0.2">
      <c r="B2" s="73" t="s">
        <v>45</v>
      </c>
      <c r="C2" s="73"/>
      <c r="D2" s="73"/>
      <c r="E2" s="73" t="s">
        <v>46</v>
      </c>
      <c r="F2" s="73"/>
      <c r="G2" s="73"/>
      <c r="H2" s="73" t="s">
        <v>53</v>
      </c>
      <c r="I2" s="73"/>
      <c r="J2" s="71"/>
      <c r="K2" s="71"/>
      <c r="L2" s="71"/>
      <c r="M2" s="71"/>
      <c r="N2" s="71"/>
      <c r="O2" s="71"/>
      <c r="P2" s="71"/>
    </row>
    <row r="3" spans="1:16" ht="25.5" x14ac:dyDescent="0.2">
      <c r="A3" s="17" t="str">
        <f>+'Table 5-5 - inputs'!A3</f>
        <v>Analysis (a): NF for CIS+/- Ta/T1</v>
      </c>
      <c r="B3" s="43" t="s">
        <v>47</v>
      </c>
      <c r="C3" s="43" t="s">
        <v>48</v>
      </c>
      <c r="D3" s="43" t="s">
        <v>49</v>
      </c>
      <c r="E3" s="43" t="s">
        <v>50</v>
      </c>
      <c r="F3" s="43" t="s">
        <v>51</v>
      </c>
      <c r="G3" s="43" t="s">
        <v>52</v>
      </c>
      <c r="H3" s="43" t="s">
        <v>89</v>
      </c>
      <c r="I3" s="43" t="s">
        <v>90</v>
      </c>
      <c r="J3" s="43"/>
      <c r="K3" s="43"/>
      <c r="L3" s="43"/>
      <c r="M3" s="43"/>
      <c r="N3" s="43"/>
      <c r="O3" s="43"/>
      <c r="P3" s="43"/>
    </row>
    <row r="4" spans="1:16" x14ac:dyDescent="0.2">
      <c r="A4" s="16" t="s">
        <v>65</v>
      </c>
      <c r="B4" s="47">
        <v>1211</v>
      </c>
      <c r="C4" s="47">
        <v>908</v>
      </c>
      <c r="D4" s="47">
        <v>1514</v>
      </c>
      <c r="E4" s="47">
        <v>151000</v>
      </c>
      <c r="F4" s="47">
        <v>148212.65109999999</v>
      </c>
      <c r="G4" s="47">
        <v>151603.09080000001</v>
      </c>
      <c r="H4" s="27">
        <v>1211</v>
      </c>
      <c r="I4" s="27">
        <v>1682</v>
      </c>
      <c r="J4" s="27"/>
      <c r="K4" s="27"/>
      <c r="L4" s="27"/>
      <c r="M4" s="27"/>
      <c r="N4" s="27"/>
      <c r="O4" s="27"/>
      <c r="P4" s="27"/>
    </row>
    <row r="5" spans="1:16" x14ac:dyDescent="0.2">
      <c r="A5" s="16" t="s">
        <v>66</v>
      </c>
      <c r="B5" s="47">
        <v>1458</v>
      </c>
      <c r="C5" s="47">
        <v>1093</v>
      </c>
      <c r="D5" s="47">
        <v>1822</v>
      </c>
      <c r="E5" s="47">
        <v>151000</v>
      </c>
      <c r="F5" s="47">
        <v>149593.51949999999</v>
      </c>
      <c r="G5" s="47">
        <v>151000.00931444039</v>
      </c>
      <c r="H5" s="27">
        <v>1458</v>
      </c>
      <c r="I5" s="27">
        <v>2025</v>
      </c>
      <c r="J5" s="27"/>
      <c r="K5" s="27"/>
      <c r="L5" s="27"/>
      <c r="M5" s="27"/>
      <c r="N5" s="27"/>
      <c r="O5" s="27"/>
      <c r="P5" s="27"/>
    </row>
    <row r="6" spans="1:16" x14ac:dyDescent="0.2">
      <c r="A6" s="16" t="s">
        <v>67</v>
      </c>
      <c r="B6" s="47">
        <v>7027</v>
      </c>
      <c r="C6" s="47">
        <v>5270</v>
      </c>
      <c r="D6" s="47">
        <v>8783</v>
      </c>
      <c r="E6" s="47">
        <v>151000</v>
      </c>
      <c r="F6" s="47">
        <v>150466.88320000001</v>
      </c>
      <c r="G6" s="47">
        <v>149195.4964</v>
      </c>
      <c r="H6" s="27">
        <v>7027</v>
      </c>
      <c r="I6" s="27">
        <v>7300</v>
      </c>
      <c r="J6" s="27"/>
      <c r="K6" s="27"/>
      <c r="L6" s="27"/>
      <c r="M6" s="27"/>
      <c r="N6" s="27"/>
      <c r="O6" s="27"/>
      <c r="P6" s="27"/>
    </row>
    <row r="7" spans="1:16" x14ac:dyDescent="0.2">
      <c r="A7" s="16" t="s">
        <v>68</v>
      </c>
      <c r="B7" s="47">
        <v>30625</v>
      </c>
      <c r="C7" s="47">
        <v>22969</v>
      </c>
      <c r="D7" s="47">
        <v>38282</v>
      </c>
      <c r="E7" s="47">
        <v>151000</v>
      </c>
      <c r="F7" s="47">
        <v>150917.31169999999</v>
      </c>
      <c r="G7" s="47">
        <v>148986.62909999999</v>
      </c>
      <c r="H7" s="27">
        <v>30625</v>
      </c>
      <c r="I7" s="27">
        <v>31914</v>
      </c>
      <c r="J7" s="27"/>
      <c r="K7" s="27"/>
      <c r="L7" s="27"/>
      <c r="M7" s="27"/>
      <c r="N7" s="27"/>
      <c r="O7" s="27"/>
      <c r="P7" s="27"/>
    </row>
    <row r="8" spans="1:16" x14ac:dyDescent="0.2">
      <c r="A8" s="16" t="s">
        <v>69</v>
      </c>
      <c r="B8" s="47">
        <v>8665</v>
      </c>
      <c r="C8" s="47">
        <v>6498</v>
      </c>
      <c r="D8" s="47">
        <v>10831</v>
      </c>
      <c r="E8" s="47">
        <v>151000</v>
      </c>
      <c r="F8" s="47">
        <v>151629.91070000001</v>
      </c>
      <c r="G8" s="47">
        <v>147909.82310000001</v>
      </c>
      <c r="H8" s="27">
        <v>8665</v>
      </c>
      <c r="I8" s="27">
        <v>9027</v>
      </c>
      <c r="J8" s="27"/>
      <c r="K8" s="27"/>
      <c r="L8" s="27"/>
      <c r="M8" s="27"/>
      <c r="N8" s="27"/>
      <c r="O8" s="27"/>
      <c r="P8" s="27"/>
    </row>
    <row r="9" spans="1:16" x14ac:dyDescent="0.2">
      <c r="A9" s="16" t="s">
        <v>70</v>
      </c>
      <c r="B9" s="47">
        <v>24905</v>
      </c>
      <c r="C9" s="47">
        <v>18679</v>
      </c>
      <c r="D9" s="47">
        <v>31131</v>
      </c>
      <c r="E9" s="47">
        <v>151000</v>
      </c>
      <c r="F9" s="47">
        <v>152409.8749</v>
      </c>
      <c r="G9" s="47">
        <v>147229.9179</v>
      </c>
      <c r="H9" s="27">
        <v>24905</v>
      </c>
      <c r="I9" s="27">
        <v>25953</v>
      </c>
      <c r="J9" s="27"/>
      <c r="K9" s="27"/>
      <c r="L9" s="27"/>
      <c r="M9" s="27"/>
      <c r="N9" s="27"/>
      <c r="O9" s="27"/>
      <c r="P9" s="27"/>
    </row>
    <row r="10" spans="1:16" x14ac:dyDescent="0.2">
      <c r="B10" s="49"/>
      <c r="C10" s="48"/>
      <c r="D10" s="48"/>
      <c r="E10" s="47"/>
      <c r="F10" s="47"/>
      <c r="G10" s="47"/>
      <c r="H10" s="27"/>
      <c r="I10" s="27"/>
      <c r="J10" s="27"/>
      <c r="K10" s="27"/>
      <c r="L10" s="27"/>
      <c r="M10" s="27"/>
      <c r="N10" s="27"/>
      <c r="O10" s="27"/>
      <c r="P10" s="27"/>
    </row>
    <row r="11" spans="1:16" x14ac:dyDescent="0.2">
      <c r="B11" s="73" t="s">
        <v>45</v>
      </c>
      <c r="C11" s="73"/>
      <c r="D11" s="73"/>
      <c r="E11" s="73" t="s">
        <v>46</v>
      </c>
      <c r="F11" s="73"/>
      <c r="G11" s="73"/>
      <c r="H11" s="73" t="s">
        <v>53</v>
      </c>
      <c r="I11" s="73"/>
      <c r="J11" s="71"/>
      <c r="K11" s="71"/>
      <c r="L11" s="71"/>
      <c r="M11" s="71"/>
      <c r="N11" s="71"/>
      <c r="O11" s="71"/>
      <c r="P11" s="71"/>
    </row>
    <row r="12" spans="1:16" ht="25.5" x14ac:dyDescent="0.2">
      <c r="A12" s="17" t="str">
        <f>+'Table 5-5 - inputs'!A10</f>
        <v>Analysis (b): OM for CIS+/- Ta/T1</v>
      </c>
      <c r="B12" s="43" t="s">
        <v>47</v>
      </c>
      <c r="C12" s="43" t="s">
        <v>48</v>
      </c>
      <c r="D12" s="43" t="s">
        <v>49</v>
      </c>
      <c r="E12" s="43" t="s">
        <v>50</v>
      </c>
      <c r="F12" s="43" t="s">
        <v>51</v>
      </c>
      <c r="G12" s="43" t="s">
        <v>52</v>
      </c>
      <c r="H12" s="43" t="s">
        <v>89</v>
      </c>
      <c r="I12" s="43" t="s">
        <v>90</v>
      </c>
      <c r="J12" s="43"/>
      <c r="K12" s="43"/>
      <c r="L12" s="43"/>
      <c r="M12" s="43"/>
      <c r="N12" s="43"/>
      <c r="O12" s="43"/>
      <c r="P12" s="43"/>
    </row>
    <row r="13" spans="1:16" x14ac:dyDescent="0.2">
      <c r="A13" s="16" t="str">
        <f t="shared" ref="A13:D18" si="0">+A4</f>
        <v>Health state cost- Disease Free</v>
      </c>
      <c r="B13" s="18">
        <f t="shared" si="0"/>
        <v>1211</v>
      </c>
      <c r="C13" s="18">
        <f t="shared" si="0"/>
        <v>908</v>
      </c>
      <c r="D13" s="18">
        <f t="shared" si="0"/>
        <v>1514</v>
      </c>
      <c r="E13" s="47">
        <v>382000</v>
      </c>
      <c r="F13" s="47">
        <v>385169.00949999999</v>
      </c>
      <c r="G13" s="47">
        <v>381412.89049999998</v>
      </c>
      <c r="H13" s="60">
        <f>H4</f>
        <v>1211</v>
      </c>
      <c r="I13" s="60">
        <f t="shared" ref="I13:I18" si="1">I4</f>
        <v>1682</v>
      </c>
      <c r="J13" s="60"/>
      <c r="K13" s="60"/>
      <c r="L13" s="60"/>
      <c r="M13" s="60"/>
      <c r="N13" s="60"/>
      <c r="O13" s="60"/>
      <c r="P13" s="60"/>
    </row>
    <row r="14" spans="1:16" x14ac:dyDescent="0.2">
      <c r="A14" s="16" t="str">
        <f t="shared" si="0"/>
        <v>Health state cost- Persistent/ Recurrent NMIBC</v>
      </c>
      <c r="B14" s="27">
        <f t="shared" si="0"/>
        <v>1458</v>
      </c>
      <c r="C14" s="18">
        <f t="shared" si="0"/>
        <v>1093</v>
      </c>
      <c r="D14" s="18">
        <f t="shared" si="0"/>
        <v>1822</v>
      </c>
      <c r="E14" s="47">
        <v>382000</v>
      </c>
      <c r="F14" s="47">
        <v>383547.69929999998</v>
      </c>
      <c r="G14" s="47">
        <v>381999.99594843114</v>
      </c>
      <c r="H14" s="60">
        <f t="shared" ref="H14" si="2">H5</f>
        <v>1458</v>
      </c>
      <c r="I14" s="60">
        <f t="shared" si="1"/>
        <v>2025</v>
      </c>
      <c r="J14" s="60"/>
      <c r="K14" s="60"/>
      <c r="L14" s="60"/>
      <c r="M14" s="60"/>
      <c r="N14" s="60"/>
      <c r="O14" s="60"/>
      <c r="P14" s="60"/>
    </row>
    <row r="15" spans="1:16" x14ac:dyDescent="0.2">
      <c r="A15" s="16" t="str">
        <f t="shared" si="0"/>
        <v>Health state cost- MIBC</v>
      </c>
      <c r="B15" s="27">
        <f t="shared" si="0"/>
        <v>7027</v>
      </c>
      <c r="C15" s="18">
        <f t="shared" si="0"/>
        <v>5270</v>
      </c>
      <c r="D15" s="18">
        <f t="shared" si="0"/>
        <v>8783</v>
      </c>
      <c r="E15" s="47">
        <v>382000</v>
      </c>
      <c r="F15" s="47">
        <v>384283.61070000002</v>
      </c>
      <c r="G15" s="47">
        <v>384199.0888800057</v>
      </c>
      <c r="H15" s="60">
        <f t="shared" ref="H15" si="3">H6</f>
        <v>7027</v>
      </c>
      <c r="I15" s="60">
        <f t="shared" si="1"/>
        <v>7300</v>
      </c>
      <c r="J15" s="60"/>
      <c r="K15" s="60"/>
      <c r="L15" s="60"/>
      <c r="M15" s="60"/>
      <c r="N15" s="60"/>
      <c r="O15" s="60"/>
      <c r="P15" s="60"/>
    </row>
    <row r="16" spans="1:16" x14ac:dyDescent="0.2">
      <c r="A16" s="16" t="str">
        <f t="shared" si="0"/>
        <v>Health state cost- Cystectomy</v>
      </c>
      <c r="B16" s="27">
        <f t="shared" si="0"/>
        <v>30625</v>
      </c>
      <c r="C16" s="18">
        <f t="shared" si="0"/>
        <v>22969</v>
      </c>
      <c r="D16" s="18">
        <f t="shared" si="0"/>
        <v>38282</v>
      </c>
      <c r="E16" s="47">
        <v>382000</v>
      </c>
      <c r="F16" s="47">
        <v>381999.99424322223</v>
      </c>
      <c r="G16" s="47">
        <v>384199.08909999998</v>
      </c>
      <c r="H16" s="60">
        <f t="shared" ref="H16" si="4">H7</f>
        <v>30625</v>
      </c>
      <c r="I16" s="60">
        <f t="shared" si="1"/>
        <v>31914</v>
      </c>
      <c r="J16" s="60"/>
      <c r="K16" s="60"/>
      <c r="L16" s="60"/>
      <c r="M16" s="60"/>
      <c r="N16" s="60"/>
      <c r="O16" s="60"/>
      <c r="P16" s="60"/>
    </row>
    <row r="17" spans="1:16" x14ac:dyDescent="0.2">
      <c r="A17" s="16" t="str">
        <f t="shared" si="0"/>
        <v>Health state cost- Post-cystectomy</v>
      </c>
      <c r="B17" s="27">
        <f t="shared" si="0"/>
        <v>8665</v>
      </c>
      <c r="C17" s="18">
        <f t="shared" si="0"/>
        <v>6498</v>
      </c>
      <c r="D17" s="18">
        <f t="shared" si="0"/>
        <v>10831</v>
      </c>
      <c r="E17" s="47">
        <v>382000</v>
      </c>
      <c r="F17" s="47">
        <v>381277.93369999999</v>
      </c>
      <c r="G17" s="47">
        <v>385755.8921</v>
      </c>
      <c r="H17" s="60">
        <f t="shared" ref="H17" si="5">H8</f>
        <v>8665</v>
      </c>
      <c r="I17" s="60">
        <f t="shared" si="1"/>
        <v>9027</v>
      </c>
      <c r="J17" s="60"/>
      <c r="K17" s="60"/>
      <c r="L17" s="60"/>
      <c r="M17" s="60"/>
      <c r="N17" s="60"/>
      <c r="O17" s="60"/>
      <c r="P17" s="60"/>
    </row>
    <row r="18" spans="1:16" x14ac:dyDescent="0.2">
      <c r="A18" s="16" t="str">
        <f t="shared" si="0"/>
        <v>Health state cost- Metastatic disease</v>
      </c>
      <c r="B18" s="27">
        <f t="shared" si="0"/>
        <v>24905</v>
      </c>
      <c r="C18" s="18">
        <f t="shared" si="0"/>
        <v>18679</v>
      </c>
      <c r="D18" s="18">
        <f t="shared" si="0"/>
        <v>31131</v>
      </c>
      <c r="E18" s="47">
        <v>382000</v>
      </c>
      <c r="F18" s="47">
        <v>385971.0049</v>
      </c>
      <c r="G18" s="47">
        <v>381218.6753</v>
      </c>
      <c r="H18" s="60">
        <f t="shared" ref="H18" si="6">H9</f>
        <v>24905</v>
      </c>
      <c r="I18" s="60">
        <f t="shared" si="1"/>
        <v>25953</v>
      </c>
      <c r="J18" s="60"/>
      <c r="K18" s="60"/>
      <c r="L18" s="60"/>
      <c r="M18" s="60"/>
      <c r="N18" s="60"/>
      <c r="O18" s="60"/>
      <c r="P18" s="60"/>
    </row>
    <row r="20" spans="1:16" x14ac:dyDescent="0.2">
      <c r="B20" s="73" t="s">
        <v>45</v>
      </c>
      <c r="C20" s="73"/>
      <c r="D20" s="73"/>
      <c r="E20" s="73" t="s">
        <v>46</v>
      </c>
      <c r="F20" s="73"/>
      <c r="G20" s="73"/>
      <c r="H20" s="73" t="s">
        <v>53</v>
      </c>
      <c r="I20" s="73"/>
      <c r="J20" s="71"/>
      <c r="K20" s="71"/>
      <c r="L20" s="71"/>
      <c r="M20" s="71"/>
      <c r="N20" s="71"/>
      <c r="O20" s="71"/>
      <c r="P20" s="71"/>
    </row>
    <row r="21" spans="1:16" ht="25.5" x14ac:dyDescent="0.2">
      <c r="A21" s="17" t="str">
        <f>+'Table 5-5 - inputs'!A17</f>
        <v>Analysis (c): NF for HG Ta/T1</v>
      </c>
      <c r="B21" s="43" t="s">
        <v>47</v>
      </c>
      <c r="C21" s="43" t="s">
        <v>48</v>
      </c>
      <c r="D21" s="43" t="s">
        <v>49</v>
      </c>
      <c r="E21" s="43" t="s">
        <v>50</v>
      </c>
      <c r="F21" s="43" t="s">
        <v>51</v>
      </c>
      <c r="G21" s="43" t="s">
        <v>52</v>
      </c>
      <c r="H21" s="43" t="s">
        <v>89</v>
      </c>
      <c r="I21" s="43" t="s">
        <v>90</v>
      </c>
      <c r="J21" s="43"/>
      <c r="K21" s="43"/>
      <c r="L21" s="43"/>
      <c r="M21" s="43"/>
      <c r="N21" s="43"/>
      <c r="O21" s="43"/>
      <c r="P21" s="43"/>
    </row>
    <row r="22" spans="1:16" x14ac:dyDescent="0.2">
      <c r="A22" s="16" t="str">
        <f t="shared" ref="A22:D24" si="7">+A13</f>
        <v>Health state cost- Disease Free</v>
      </c>
      <c r="B22" s="18">
        <f t="shared" si="7"/>
        <v>1211</v>
      </c>
      <c r="C22" s="18">
        <f t="shared" si="7"/>
        <v>908</v>
      </c>
      <c r="D22" s="18">
        <f t="shared" si="7"/>
        <v>1514</v>
      </c>
      <c r="E22" s="47">
        <v>93000</v>
      </c>
      <c r="F22" s="47">
        <v>91650.357260000004</v>
      </c>
      <c r="G22" s="47">
        <v>95484.290439999997</v>
      </c>
      <c r="H22" s="60">
        <f>H13</f>
        <v>1211</v>
      </c>
      <c r="I22" s="60">
        <f t="shared" ref="I22:I27" si="8">I13</f>
        <v>1682</v>
      </c>
      <c r="J22" s="60"/>
      <c r="K22" s="60"/>
      <c r="L22" s="60"/>
      <c r="M22" s="60"/>
      <c r="N22" s="60"/>
      <c r="O22" s="60"/>
      <c r="P22" s="60"/>
    </row>
    <row r="23" spans="1:16" x14ac:dyDescent="0.2">
      <c r="A23" s="16" t="str">
        <f t="shared" si="7"/>
        <v>Health state cost- Persistent/ Recurrent NMIBC</v>
      </c>
      <c r="B23" s="27">
        <f t="shared" si="7"/>
        <v>1458</v>
      </c>
      <c r="C23" s="18">
        <f t="shared" si="7"/>
        <v>1093</v>
      </c>
      <c r="D23" s="18">
        <f t="shared" si="7"/>
        <v>1822</v>
      </c>
      <c r="E23" s="47">
        <v>93000</v>
      </c>
      <c r="F23" s="47">
        <v>93831.890799999994</v>
      </c>
      <c r="G23" s="47">
        <v>94032.461072967082</v>
      </c>
      <c r="H23" s="60">
        <f t="shared" ref="H23" si="9">H14</f>
        <v>1458</v>
      </c>
      <c r="I23" s="60">
        <f t="shared" si="8"/>
        <v>2025</v>
      </c>
      <c r="J23" s="60"/>
      <c r="K23" s="60"/>
      <c r="L23" s="60"/>
      <c r="M23" s="60"/>
      <c r="N23" s="60"/>
      <c r="O23" s="60"/>
      <c r="P23" s="60"/>
    </row>
    <row r="24" spans="1:16" x14ac:dyDescent="0.2">
      <c r="A24" s="16" t="str">
        <f>+A15</f>
        <v>Health state cost- MIBC</v>
      </c>
      <c r="B24" s="27">
        <f t="shared" si="7"/>
        <v>7027</v>
      </c>
      <c r="C24" s="18">
        <f t="shared" si="7"/>
        <v>5270</v>
      </c>
      <c r="D24" s="18">
        <f>+D15</f>
        <v>8783</v>
      </c>
      <c r="E24" s="47">
        <v>93000</v>
      </c>
      <c r="F24" s="47">
        <v>92999.988898290962</v>
      </c>
      <c r="G24" s="47">
        <v>94032.458939999997</v>
      </c>
      <c r="H24" s="60">
        <f t="shared" ref="H24" si="10">H15</f>
        <v>7027</v>
      </c>
      <c r="I24" s="60">
        <f t="shared" si="8"/>
        <v>7300</v>
      </c>
      <c r="J24" s="60"/>
      <c r="K24" s="60"/>
      <c r="L24" s="60"/>
      <c r="M24" s="60"/>
      <c r="N24" s="60"/>
      <c r="O24" s="60"/>
      <c r="P24" s="60"/>
    </row>
    <row r="25" spans="1:16" x14ac:dyDescent="0.2">
      <c r="A25" s="16" t="str">
        <f t="shared" ref="A25:D27" si="11">+A16</f>
        <v>Health state cost- Cystectomy</v>
      </c>
      <c r="B25" s="27">
        <f t="shared" si="11"/>
        <v>30625</v>
      </c>
      <c r="C25" s="18">
        <f t="shared" si="11"/>
        <v>22969</v>
      </c>
      <c r="D25" s="18">
        <f t="shared" si="11"/>
        <v>38282</v>
      </c>
      <c r="E25" s="47">
        <v>93000</v>
      </c>
      <c r="F25" s="47">
        <v>94542.240690000006</v>
      </c>
      <c r="G25" s="47">
        <v>92625.011169999998</v>
      </c>
      <c r="H25" s="60">
        <f t="shared" ref="H25" si="12">H16</f>
        <v>30625</v>
      </c>
      <c r="I25" s="60">
        <f t="shared" si="8"/>
        <v>31914</v>
      </c>
      <c r="J25" s="60"/>
      <c r="K25" s="60"/>
      <c r="L25" s="60"/>
      <c r="M25" s="60"/>
      <c r="N25" s="60"/>
      <c r="O25" s="60"/>
      <c r="P25" s="60"/>
    </row>
    <row r="26" spans="1:16" x14ac:dyDescent="0.2">
      <c r="A26" s="16" t="str">
        <f t="shared" si="11"/>
        <v>Health state cost- Post-cystectomy</v>
      </c>
      <c r="B26" s="27">
        <f t="shared" si="11"/>
        <v>8665</v>
      </c>
      <c r="C26" s="18">
        <f t="shared" si="11"/>
        <v>6498</v>
      </c>
      <c r="D26" s="18">
        <f t="shared" si="11"/>
        <v>10831</v>
      </c>
      <c r="E26" s="47">
        <v>93000</v>
      </c>
      <c r="F26" s="47">
        <v>95746.806479999999</v>
      </c>
      <c r="G26" s="47">
        <v>91603.554520000005</v>
      </c>
      <c r="H26" s="60">
        <f t="shared" ref="H26" si="13">H17</f>
        <v>8665</v>
      </c>
      <c r="I26" s="60">
        <f t="shared" si="8"/>
        <v>9027</v>
      </c>
      <c r="J26" s="60"/>
      <c r="K26" s="60"/>
      <c r="L26" s="60"/>
      <c r="M26" s="60"/>
      <c r="N26" s="60"/>
      <c r="O26" s="60"/>
      <c r="P26" s="60"/>
    </row>
    <row r="27" spans="1:16" x14ac:dyDescent="0.2">
      <c r="A27" s="16" t="str">
        <f t="shared" si="11"/>
        <v>Health state cost- Metastatic disease</v>
      </c>
      <c r="B27" s="27">
        <f t="shared" si="11"/>
        <v>24905</v>
      </c>
      <c r="C27" s="18">
        <f t="shared" si="11"/>
        <v>18679</v>
      </c>
      <c r="D27" s="18">
        <f t="shared" si="11"/>
        <v>31131</v>
      </c>
      <c r="E27" s="47">
        <v>93000</v>
      </c>
      <c r="F27" s="47">
        <v>96380.273669999995</v>
      </c>
      <c r="G27" s="47">
        <v>92999.96</v>
      </c>
      <c r="H27" s="60">
        <f t="shared" ref="H27" si="14">H18</f>
        <v>24905</v>
      </c>
      <c r="I27" s="60">
        <f t="shared" si="8"/>
        <v>25953</v>
      </c>
      <c r="J27" s="60"/>
      <c r="K27" s="60"/>
      <c r="L27" s="60"/>
      <c r="M27" s="60"/>
      <c r="N27" s="60"/>
      <c r="O27" s="60"/>
      <c r="P27" s="60"/>
    </row>
    <row r="29" spans="1:16" x14ac:dyDescent="0.2">
      <c r="B29" s="73" t="s">
        <v>45</v>
      </c>
      <c r="C29" s="73"/>
      <c r="D29" s="73"/>
      <c r="E29" s="73" t="s">
        <v>46</v>
      </c>
      <c r="F29" s="73"/>
      <c r="G29" s="73"/>
      <c r="H29" s="73" t="s">
        <v>53</v>
      </c>
      <c r="I29" s="73"/>
      <c r="J29" s="71"/>
      <c r="K29" s="71"/>
      <c r="L29" s="71"/>
      <c r="M29" s="71"/>
      <c r="N29" s="71"/>
      <c r="O29" s="71"/>
      <c r="P29" s="71"/>
    </row>
    <row r="30" spans="1:16" ht="25.5" x14ac:dyDescent="0.2">
      <c r="A30" s="17" t="str">
        <f>+'Table 5-5 - inputs'!A24</f>
        <v>Analysis (d): OM for HG Ta/T1</v>
      </c>
      <c r="B30" s="43" t="s">
        <v>47</v>
      </c>
      <c r="C30" s="43" t="s">
        <v>48</v>
      </c>
      <c r="D30" s="43" t="s">
        <v>49</v>
      </c>
      <c r="E30" s="43" t="s">
        <v>50</v>
      </c>
      <c r="F30" s="43" t="s">
        <v>51</v>
      </c>
      <c r="G30" s="43" t="s">
        <v>52</v>
      </c>
      <c r="H30" s="43" t="s">
        <v>89</v>
      </c>
      <c r="I30" s="43" t="s">
        <v>90</v>
      </c>
      <c r="J30" s="43"/>
      <c r="K30" s="43"/>
      <c r="L30" s="43"/>
      <c r="M30" s="43"/>
      <c r="N30" s="43"/>
      <c r="O30" s="43"/>
      <c r="P30" s="43"/>
    </row>
    <row r="31" spans="1:16" x14ac:dyDescent="0.2">
      <c r="A31" s="16" t="str">
        <f>+A22</f>
        <v>Health state cost- Disease Free</v>
      </c>
      <c r="B31" s="18">
        <f>+B22</f>
        <v>1211</v>
      </c>
      <c r="C31" s="18">
        <f>+C22</f>
        <v>908</v>
      </c>
      <c r="D31" s="18">
        <f>+D22</f>
        <v>1514</v>
      </c>
      <c r="E31" s="47">
        <v>123000</v>
      </c>
      <c r="F31" s="47">
        <v>125145.9759</v>
      </c>
      <c r="G31" s="47">
        <v>120975.3477</v>
      </c>
      <c r="H31" s="60">
        <f>H22</f>
        <v>1211</v>
      </c>
      <c r="I31" s="60">
        <f t="shared" ref="I31:I36" si="15">I22</f>
        <v>1682</v>
      </c>
      <c r="J31" s="60"/>
      <c r="K31" s="60"/>
      <c r="L31" s="60"/>
      <c r="M31" s="60"/>
      <c r="N31" s="60"/>
      <c r="O31" s="60"/>
      <c r="P31" s="60"/>
    </row>
    <row r="32" spans="1:16" x14ac:dyDescent="0.2">
      <c r="A32" s="16" t="str">
        <f>+A23</f>
        <v>Health state cost- Persistent/ Recurrent NMIBC</v>
      </c>
      <c r="B32" s="27">
        <f t="shared" ref="B32:D33" si="16">+B23</f>
        <v>1458</v>
      </c>
      <c r="C32" s="18">
        <f t="shared" si="16"/>
        <v>1093</v>
      </c>
      <c r="D32" s="18">
        <f t="shared" si="16"/>
        <v>1822</v>
      </c>
      <c r="E32" s="47">
        <v>123000</v>
      </c>
      <c r="F32" s="47">
        <v>123000</v>
      </c>
      <c r="G32" s="47">
        <v>123371.92969999999</v>
      </c>
      <c r="H32" s="60">
        <f t="shared" ref="H32" si="17">H23</f>
        <v>1458</v>
      </c>
      <c r="I32" s="60">
        <f t="shared" si="15"/>
        <v>2025</v>
      </c>
      <c r="J32" s="60"/>
      <c r="K32" s="60"/>
      <c r="L32" s="60"/>
      <c r="M32" s="60"/>
      <c r="N32" s="60"/>
      <c r="O32" s="60"/>
      <c r="P32" s="60"/>
    </row>
    <row r="33" spans="1:16" x14ac:dyDescent="0.2">
      <c r="A33" s="16" t="str">
        <f>+A24</f>
        <v>Health state cost- MIBC</v>
      </c>
      <c r="B33" s="27">
        <f t="shared" si="16"/>
        <v>7027</v>
      </c>
      <c r="C33" s="18">
        <f t="shared" si="16"/>
        <v>5270</v>
      </c>
      <c r="D33" s="18">
        <f t="shared" si="16"/>
        <v>8783</v>
      </c>
      <c r="E33" s="47">
        <v>123000</v>
      </c>
      <c r="F33" s="47">
        <v>123532.2197</v>
      </c>
      <c r="G33" s="47">
        <v>123000</v>
      </c>
      <c r="H33" s="60">
        <f t="shared" ref="H33" si="18">H24</f>
        <v>7027</v>
      </c>
      <c r="I33" s="60">
        <f t="shared" si="15"/>
        <v>7300</v>
      </c>
      <c r="J33" s="60"/>
      <c r="K33" s="60"/>
      <c r="L33" s="60"/>
      <c r="M33" s="60"/>
      <c r="N33" s="60"/>
      <c r="O33" s="60"/>
      <c r="P33" s="60"/>
    </row>
    <row r="34" spans="1:16" x14ac:dyDescent="0.2">
      <c r="A34" s="16" t="str">
        <f t="shared" ref="A34:D36" si="19">+A25</f>
        <v>Health state cost- Cystectomy</v>
      </c>
      <c r="B34" s="27">
        <f t="shared" si="19"/>
        <v>30625</v>
      </c>
      <c r="C34" s="18">
        <f t="shared" si="19"/>
        <v>22969</v>
      </c>
      <c r="D34" s="18">
        <f t="shared" si="19"/>
        <v>38282</v>
      </c>
      <c r="E34" s="47">
        <v>123000</v>
      </c>
      <c r="F34" s="47">
        <v>124104.01549999999</v>
      </c>
      <c r="G34" s="47">
        <v>122165.5923</v>
      </c>
      <c r="H34" s="60">
        <f t="shared" ref="H34" si="20">H25</f>
        <v>30625</v>
      </c>
      <c r="I34" s="60">
        <f t="shared" si="15"/>
        <v>31914</v>
      </c>
      <c r="J34" s="60"/>
      <c r="K34" s="60"/>
      <c r="L34" s="60"/>
      <c r="M34" s="60"/>
      <c r="N34" s="60"/>
      <c r="O34" s="60"/>
      <c r="P34" s="60"/>
    </row>
    <row r="35" spans="1:16" x14ac:dyDescent="0.2">
      <c r="A35" s="16" t="str">
        <f t="shared" si="19"/>
        <v>Health state cost- Post-cystectomy</v>
      </c>
      <c r="B35" s="27">
        <f t="shared" si="19"/>
        <v>8665</v>
      </c>
      <c r="C35" s="18">
        <f t="shared" si="19"/>
        <v>6498</v>
      </c>
      <c r="D35" s="18">
        <f t="shared" si="19"/>
        <v>10831</v>
      </c>
      <c r="E35" s="47">
        <v>123000</v>
      </c>
      <c r="F35" s="47">
        <v>120724.7821</v>
      </c>
      <c r="G35" s="47">
        <v>120724.8</v>
      </c>
      <c r="H35" s="60">
        <f t="shared" ref="H35" si="21">H26</f>
        <v>8665</v>
      </c>
      <c r="I35" s="60">
        <f t="shared" si="15"/>
        <v>9027</v>
      </c>
      <c r="J35" s="60"/>
      <c r="K35" s="60"/>
      <c r="L35" s="60"/>
      <c r="M35" s="60"/>
      <c r="N35" s="60"/>
      <c r="O35" s="60"/>
      <c r="P35" s="60"/>
    </row>
    <row r="36" spans="1:16" x14ac:dyDescent="0.2">
      <c r="A36" s="16" t="str">
        <f t="shared" si="19"/>
        <v>Health state cost- Metastatic disease</v>
      </c>
      <c r="B36" s="27">
        <f t="shared" si="19"/>
        <v>24905</v>
      </c>
      <c r="C36" s="18">
        <f t="shared" si="19"/>
        <v>18679</v>
      </c>
      <c r="D36" s="18">
        <f t="shared" si="19"/>
        <v>31131</v>
      </c>
      <c r="E36" s="47">
        <v>123000</v>
      </c>
      <c r="F36" s="47">
        <v>125525.7836</v>
      </c>
      <c r="G36" s="47">
        <v>120767.6732</v>
      </c>
      <c r="H36" s="60">
        <f t="shared" ref="H36" si="22">H27</f>
        <v>24905</v>
      </c>
      <c r="I36" s="60">
        <f t="shared" si="15"/>
        <v>25953</v>
      </c>
      <c r="J36" s="60"/>
      <c r="K36" s="60"/>
      <c r="L36" s="60"/>
      <c r="M36" s="60"/>
      <c r="N36" s="60"/>
      <c r="O36" s="60"/>
      <c r="P36" s="60"/>
    </row>
    <row r="47" spans="1:16" x14ac:dyDescent="0.2">
      <c r="A47" s="17" t="s">
        <v>60</v>
      </c>
      <c r="B47" s="27" t="s">
        <v>82</v>
      </c>
      <c r="C47" s="21" t="s">
        <v>94</v>
      </c>
    </row>
    <row r="48" spans="1:16" x14ac:dyDescent="0.2">
      <c r="B48" s="27" t="s">
        <v>84</v>
      </c>
      <c r="C48" s="21" t="s">
        <v>95</v>
      </c>
    </row>
    <row r="49" spans="1:3" x14ac:dyDescent="0.2">
      <c r="B49" s="27" t="s">
        <v>92</v>
      </c>
      <c r="C49" s="21" t="s">
        <v>96</v>
      </c>
    </row>
    <row r="50" spans="1:3" x14ac:dyDescent="0.2">
      <c r="B50" s="27" t="s">
        <v>87</v>
      </c>
      <c r="C50" s="21" t="s">
        <v>88</v>
      </c>
    </row>
    <row r="51" spans="1:3" x14ac:dyDescent="0.2">
      <c r="B51" s="27" t="s">
        <v>93</v>
      </c>
      <c r="C51" s="21" t="s">
        <v>97</v>
      </c>
    </row>
    <row r="52" spans="1:3" x14ac:dyDescent="0.2">
      <c r="A52" s="17"/>
      <c r="B52" s="27"/>
    </row>
    <row r="53" spans="1:3" x14ac:dyDescent="0.2">
      <c r="B53" s="27"/>
    </row>
    <row r="54" spans="1:3" x14ac:dyDescent="0.2">
      <c r="B54" s="27"/>
    </row>
    <row r="55" spans="1:3" x14ac:dyDescent="0.2">
      <c r="B55" s="27"/>
    </row>
  </sheetData>
  <mergeCells count="12">
    <mergeCell ref="B2:D2"/>
    <mergeCell ref="E2:G2"/>
    <mergeCell ref="H2:I2"/>
    <mergeCell ref="B11:D11"/>
    <mergeCell ref="E11:G11"/>
    <mergeCell ref="H11:I11"/>
    <mergeCell ref="B20:D20"/>
    <mergeCell ref="E20:G20"/>
    <mergeCell ref="H20:I20"/>
    <mergeCell ref="B29:D29"/>
    <mergeCell ref="E29:G29"/>
    <mergeCell ref="H29:I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EA340-4173-4186-9CFD-CA078C6D485B}">
  <sheetPr>
    <tabColor rgb="FFFFFF00"/>
  </sheetPr>
  <dimension ref="A1:BP58"/>
  <sheetViews>
    <sheetView topLeftCell="A7" workbookViewId="0">
      <selection activeCell="J40" sqref="J40"/>
    </sheetView>
  </sheetViews>
  <sheetFormatPr defaultRowHeight="15" x14ac:dyDescent="0.25"/>
  <cols>
    <col min="1" max="1" width="30.7109375" customWidth="1"/>
    <col min="2" max="2" width="10.28515625" bestFit="1" customWidth="1"/>
    <col min="3" max="3" width="13.28515625" bestFit="1" customWidth="1"/>
    <col min="4" max="4" width="7.42578125" bestFit="1" customWidth="1"/>
    <col min="5" max="5" width="9.28515625" bestFit="1" customWidth="1"/>
    <col min="6" max="6" width="8.85546875" customWidth="1"/>
    <col min="7" max="7" width="8.5703125" customWidth="1"/>
    <col min="8" max="8" width="8.140625" customWidth="1"/>
    <col min="9" max="9" width="8.28515625" customWidth="1"/>
    <col min="10" max="10" width="8.85546875" customWidth="1"/>
    <col min="11" max="11" width="9.42578125" customWidth="1"/>
    <col min="12" max="14" width="8.140625" customWidth="1"/>
    <col min="15" max="15" width="3.140625" customWidth="1"/>
    <col min="16" max="18" width="8.7109375" customWidth="1"/>
    <col min="19" max="23" width="10.7109375" customWidth="1"/>
    <col min="24" max="24" width="11.42578125" customWidth="1"/>
    <col min="25" max="25" width="9.7109375" customWidth="1"/>
    <col min="26" max="26" width="4" customWidth="1"/>
    <col min="27" max="27" width="3.42578125" customWidth="1"/>
    <col min="28" max="28" width="8.85546875" customWidth="1"/>
    <col min="29" max="31" width="10" customWidth="1"/>
    <col min="32" max="33" width="8.85546875" customWidth="1"/>
    <col min="34" max="34" width="2.7109375" customWidth="1"/>
    <col min="35" max="35" width="8.85546875" customWidth="1"/>
    <col min="36" max="38" width="10" customWidth="1"/>
    <col min="39" max="40" width="8.85546875" customWidth="1"/>
    <col min="41" max="41" width="3.85546875" customWidth="1"/>
    <col min="42" max="42" width="8.85546875" customWidth="1"/>
    <col min="43" max="45" width="10" customWidth="1"/>
    <col min="46" max="47" width="8.85546875" customWidth="1"/>
    <col min="48" max="48" width="3" customWidth="1"/>
    <col min="50" max="50" width="10" bestFit="1" customWidth="1"/>
    <col min="51" max="52" width="10" customWidth="1"/>
    <col min="55" max="55" width="3.140625" customWidth="1"/>
    <col min="57" max="57" width="10" bestFit="1" customWidth="1"/>
    <col min="58" max="59" width="10" customWidth="1"/>
    <col min="61" max="61" width="10.140625" bestFit="1" customWidth="1"/>
    <col min="62" max="62" width="3" customWidth="1"/>
    <col min="64" max="64" width="10" bestFit="1" customWidth="1"/>
    <col min="65" max="66" width="10" customWidth="1"/>
    <col min="69" max="69" width="4" customWidth="1"/>
    <col min="76" max="76" width="3.42578125" customWidth="1"/>
  </cols>
  <sheetData>
    <row r="1" spans="1:68" ht="39.75" customHeight="1" x14ac:dyDescent="0.25">
      <c r="A1" s="2"/>
      <c r="B1" s="75" t="s">
        <v>54</v>
      </c>
      <c r="C1" s="75"/>
      <c r="D1" s="75"/>
      <c r="E1" s="75" t="s">
        <v>44</v>
      </c>
      <c r="F1" s="75"/>
      <c r="G1" s="75"/>
      <c r="H1" s="75" t="s">
        <v>55</v>
      </c>
      <c r="I1" s="75"/>
      <c r="J1" s="75" t="s">
        <v>30</v>
      </c>
      <c r="K1" s="75"/>
      <c r="L1" s="75" t="s">
        <v>31</v>
      </c>
      <c r="M1" s="75"/>
      <c r="N1" s="75"/>
      <c r="O1" s="2"/>
      <c r="X1" s="5" t="s">
        <v>6</v>
      </c>
      <c r="Y1" s="5" t="s">
        <v>7</v>
      </c>
    </row>
    <row r="2" spans="1:68" ht="36" customHeight="1" x14ac:dyDescent="0.25">
      <c r="A2" s="6"/>
      <c r="B2" s="7" t="s">
        <v>0</v>
      </c>
      <c r="C2" s="7" t="s">
        <v>1</v>
      </c>
      <c r="D2" s="7" t="s">
        <v>2</v>
      </c>
      <c r="E2" s="7" t="s">
        <v>0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28</v>
      </c>
      <c r="K2" s="7" t="s">
        <v>29</v>
      </c>
      <c r="L2" s="7" t="s">
        <v>8</v>
      </c>
      <c r="M2" s="7" t="s">
        <v>9</v>
      </c>
      <c r="N2" s="7" t="s">
        <v>10</v>
      </c>
      <c r="P2" s="24" t="s">
        <v>3</v>
      </c>
      <c r="Q2" s="24" t="s">
        <v>4</v>
      </c>
      <c r="R2" s="24" t="s">
        <v>5</v>
      </c>
      <c r="S2" s="8" t="s">
        <v>8</v>
      </c>
      <c r="T2" s="8" t="s">
        <v>11</v>
      </c>
      <c r="U2" s="8" t="s">
        <v>12</v>
      </c>
      <c r="V2" s="8" t="s">
        <v>13</v>
      </c>
      <c r="W2" s="8" t="s">
        <v>14</v>
      </c>
      <c r="X2" s="8" t="s">
        <v>15</v>
      </c>
      <c r="Y2" s="8" t="s">
        <v>16</v>
      </c>
      <c r="AB2" s="76" t="str">
        <f>+A4</f>
        <v>Health state cost- Disease Free</v>
      </c>
      <c r="AC2" s="76"/>
      <c r="AD2" s="76"/>
      <c r="AE2" s="76"/>
      <c r="AF2" s="76"/>
      <c r="AG2" s="76"/>
      <c r="AI2" s="76" t="str">
        <f>+A5</f>
        <v>Health state cost- Persistent/ Recurrent NMIBC</v>
      </c>
      <c r="AJ2" s="76"/>
      <c r="AK2" s="76"/>
      <c r="AL2" s="76"/>
      <c r="AM2" s="76"/>
      <c r="AN2" s="76"/>
      <c r="AP2" s="76" t="str">
        <f>+A6</f>
        <v>Health state cost- MIBC</v>
      </c>
      <c r="AQ2" s="76"/>
      <c r="AR2" s="76"/>
      <c r="AS2" s="76"/>
      <c r="AT2" s="76"/>
      <c r="AU2" s="76"/>
      <c r="AW2" s="76" t="str">
        <f>+A7</f>
        <v>Health state cost- Cystectomy</v>
      </c>
      <c r="AX2" s="76"/>
      <c r="AY2" s="76"/>
      <c r="AZ2" s="76"/>
      <c r="BA2" s="76"/>
      <c r="BB2" s="76"/>
      <c r="BD2" s="76" t="str">
        <f>+A8</f>
        <v>Health state cost- Post-cystectomy</v>
      </c>
      <c r="BE2" s="76"/>
      <c r="BF2" s="76"/>
      <c r="BG2" s="76"/>
      <c r="BH2" s="76"/>
      <c r="BI2" s="76"/>
      <c r="BK2" s="76" t="str">
        <f>+A9</f>
        <v>Health state cost- Metastatic disease</v>
      </c>
      <c r="BL2" s="76"/>
      <c r="BM2" s="76"/>
      <c r="BN2" s="76"/>
      <c r="BO2" s="76"/>
      <c r="BP2" s="76"/>
    </row>
    <row r="3" spans="1:68" x14ac:dyDescent="0.25">
      <c r="A3" s="9" t="str">
        <f>+'Table 5-6 - inputs'!A3</f>
        <v>Analysis (a): NF for CIS+/- Ta/T1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P3" s="21"/>
      <c r="Q3" s="21"/>
      <c r="R3" s="21"/>
    </row>
    <row r="4" spans="1:68" x14ac:dyDescent="0.25">
      <c r="A4" s="6" t="str">
        <f>+'Table 5-6 - inputs'!A4</f>
        <v>Health state cost- Disease Free</v>
      </c>
      <c r="B4" s="28">
        <f>+'Table 5-6 - inputs'!B4</f>
        <v>1211</v>
      </c>
      <c r="C4" s="28">
        <f>+'Table 5-6 - inputs'!C4</f>
        <v>908</v>
      </c>
      <c r="D4" s="28">
        <f>+'Table 5-6 - inputs'!D4</f>
        <v>1514</v>
      </c>
      <c r="E4" s="28">
        <f>+'Table 5-6 - inputs'!E4</f>
        <v>151000</v>
      </c>
      <c r="F4" s="11">
        <f>+'Table 5-6 - inputs'!F4</f>
        <v>148212.65109999999</v>
      </c>
      <c r="G4" s="11">
        <f>+'Table 5-6 - inputs'!G4</f>
        <v>151603.09080000001</v>
      </c>
      <c r="H4" s="10">
        <f>+'Table 5-6 - inputs'!H4</f>
        <v>1211</v>
      </c>
      <c r="I4" s="10">
        <f>+'Table 5-6 - inputs'!I4</f>
        <v>1682</v>
      </c>
      <c r="J4" s="11">
        <f>+AG5</f>
        <v>150271.91396666667</v>
      </c>
      <c r="K4" s="11">
        <f>+AG6</f>
        <v>152907.0576938944</v>
      </c>
      <c r="L4" s="12">
        <f>+S4</f>
        <v>8.725641480886507E-3</v>
      </c>
      <c r="M4" s="14" t="str">
        <f t="shared" ref="M4:N7" si="0">+IF(X4,"YES","NO")</f>
        <v>NO</v>
      </c>
      <c r="N4" s="14" t="str">
        <f t="shared" si="0"/>
        <v>NO</v>
      </c>
      <c r="O4" s="6"/>
      <c r="P4" s="44">
        <f t="shared" ref="P4:P9" si="1">+MIN(E4,J4,K4)</f>
        <v>150271.91396666667</v>
      </c>
      <c r="Q4" s="44">
        <f>+MEDIAN(E4,J4,K4)</f>
        <v>151000</v>
      </c>
      <c r="R4" s="44">
        <f>+MAX(E4,J4,K4)</f>
        <v>152907.0576938944</v>
      </c>
      <c r="S4" s="45">
        <f>+AVERAGE((Q4-P4)/Q4,(R4-Q4)/Q4)</f>
        <v>8.725641480886507E-3</v>
      </c>
      <c r="T4" s="6" t="b">
        <f t="shared" ref="T4:T9" si="2">+AND(E4&lt;=Benchmark1,J4&lt;=Benchmark1,K4&lt;=Benchmark1)</f>
        <v>0</v>
      </c>
      <c r="U4" s="45" t="b">
        <f t="shared" ref="U4:U9" si="3">+AND(E4&gt;Benchmark1,J4&gt;Benchmark1,K4&gt;Benchmark1)</f>
        <v>1</v>
      </c>
      <c r="V4" s="6" t="b">
        <f t="shared" ref="V4:V9" si="4">+AND(E4&lt;=Benchmark2,J4&lt;=Benchmark2,K4&lt;=Benchmark2)</f>
        <v>0</v>
      </c>
      <c r="W4" s="45" t="b">
        <f t="shared" ref="W4:W9" si="5">+AND(E4&gt;Benchmark2,J4&gt;Benchmark2,K4&gt;Benchmark2)</f>
        <v>1</v>
      </c>
      <c r="X4" s="11" t="b">
        <f>+AND(NOT(T4),NOT(U4))</f>
        <v>0</v>
      </c>
      <c r="Y4" s="11" t="b">
        <f>+AND(NOT(V4),NOT(W4))</f>
        <v>0</v>
      </c>
      <c r="AB4" s="19">
        <f>+B4</f>
        <v>1211</v>
      </c>
      <c r="AC4" s="20">
        <f>+E4</f>
        <v>151000</v>
      </c>
      <c r="AD4" s="20"/>
      <c r="AE4" s="20" t="s">
        <v>23</v>
      </c>
      <c r="AF4" s="23">
        <f>-AC7/(2*AB7)</f>
        <v>1446.1606774629799</v>
      </c>
      <c r="AG4" s="23"/>
      <c r="AI4" s="19">
        <f>+B5</f>
        <v>1458</v>
      </c>
      <c r="AJ4" s="20">
        <f>+E5</f>
        <v>151000</v>
      </c>
      <c r="AK4" s="20"/>
      <c r="AL4" s="20" t="s">
        <v>23</v>
      </c>
      <c r="AM4" s="23">
        <f>-AJ7/(2*AI7)</f>
        <v>1640.0024205549716</v>
      </c>
      <c r="AN4" s="23"/>
      <c r="AP4" s="19">
        <f>+B6</f>
        <v>7027</v>
      </c>
      <c r="AQ4" s="20">
        <f>+E6</f>
        <v>151000</v>
      </c>
      <c r="AR4" s="20"/>
      <c r="AS4" s="20" t="s">
        <v>23</v>
      </c>
      <c r="AT4" s="23">
        <f>-AQ7/(2*AP7)</f>
        <v>6548.9106862319859</v>
      </c>
      <c r="AU4" s="23"/>
      <c r="AW4" s="19">
        <f>+B7</f>
        <v>30625</v>
      </c>
      <c r="AX4" s="20">
        <f>+E7</f>
        <v>151000</v>
      </c>
      <c r="AY4" s="20"/>
      <c r="AZ4" s="20" t="s">
        <v>23</v>
      </c>
      <c r="BA4" s="23">
        <f>-AX7/(2*AW7)</f>
        <v>27099.082307610039</v>
      </c>
      <c r="BB4" s="23"/>
      <c r="BD4" s="19">
        <f>+B8</f>
        <v>8665</v>
      </c>
      <c r="BE4" s="20">
        <f>+E8</f>
        <v>151000</v>
      </c>
      <c r="BF4" s="20"/>
      <c r="BG4" s="20" t="s">
        <v>23</v>
      </c>
      <c r="BH4" s="23">
        <f>-BE7/(2*BD7)</f>
        <v>7027.1247789057134</v>
      </c>
      <c r="BI4" s="23"/>
      <c r="BK4" s="19">
        <f>+B9</f>
        <v>24905</v>
      </c>
      <c r="BL4" s="20">
        <f>+E9</f>
        <v>151000</v>
      </c>
      <c r="BM4" s="20"/>
      <c r="BN4" s="20" t="s">
        <v>23</v>
      </c>
      <c r="BO4" s="23">
        <f>-BL7/(2*BK7)</f>
        <v>18072.885369979387</v>
      </c>
      <c r="BP4" s="23"/>
    </row>
    <row r="5" spans="1:68" x14ac:dyDescent="0.25">
      <c r="A5" s="6" t="str">
        <f>+'Table 5-6 - inputs'!A5</f>
        <v>Health state cost- Persistent/ Recurrent NMIBC</v>
      </c>
      <c r="B5" s="28">
        <f>+'Table 5-6 - inputs'!B5</f>
        <v>1458</v>
      </c>
      <c r="C5" s="28">
        <f>+'Table 5-6 - inputs'!C5</f>
        <v>1093</v>
      </c>
      <c r="D5" s="28">
        <f>+'Table 5-6 - inputs'!D5</f>
        <v>1822</v>
      </c>
      <c r="E5" s="28">
        <f>+'Table 5-6 - inputs'!E5</f>
        <v>151000</v>
      </c>
      <c r="F5" s="28">
        <f>+'Table 5-6 - inputs'!F5</f>
        <v>149593.51949999999</v>
      </c>
      <c r="G5" s="28">
        <f>+'Table 5-6 - inputs'!G5</f>
        <v>151000.00931444039</v>
      </c>
      <c r="H5" s="10">
        <f>+'Table 5-6 - inputs'!H5</f>
        <v>1458</v>
      </c>
      <c r="I5" s="10">
        <f>+'Table 5-6 - inputs'!I5</f>
        <v>2025</v>
      </c>
      <c r="J5" s="11">
        <f>+AN5</f>
        <v>150531.81967890449</v>
      </c>
      <c r="K5" s="11">
        <f>+AN6</f>
        <v>151626.25570776247</v>
      </c>
      <c r="L5" s="12">
        <f t="shared" ref="L5:L7" si="6">+S5</f>
        <v>3.6239603604568786E-3</v>
      </c>
      <c r="M5" s="14" t="str">
        <f t="shared" si="0"/>
        <v>NO</v>
      </c>
      <c r="N5" s="14" t="str">
        <f t="shared" si="0"/>
        <v>NO</v>
      </c>
      <c r="O5" s="6"/>
      <c r="P5" s="44">
        <f t="shared" si="1"/>
        <v>150531.81967890449</v>
      </c>
      <c r="Q5" s="44">
        <f>+MEDIAN(E5,J5,K5)</f>
        <v>151000</v>
      </c>
      <c r="R5" s="44">
        <f>+MAX(E5,J5,K5)</f>
        <v>151626.25570776247</v>
      </c>
      <c r="S5" s="45">
        <f t="shared" ref="S5:S7" si="7">+AVERAGE((Q5-P5)/Q5,(R5-Q5)/Q5)</f>
        <v>3.6239603604568786E-3</v>
      </c>
      <c r="T5" s="6" t="b">
        <f t="shared" si="2"/>
        <v>0</v>
      </c>
      <c r="U5" s="45" t="b">
        <f t="shared" si="3"/>
        <v>1</v>
      </c>
      <c r="V5" s="6" t="b">
        <f t="shared" si="4"/>
        <v>0</v>
      </c>
      <c r="W5" s="45" t="b">
        <f t="shared" si="5"/>
        <v>1</v>
      </c>
      <c r="X5" s="11" t="b">
        <f>+AND(NOT(T5),NOT(U5))</f>
        <v>0</v>
      </c>
      <c r="Y5" s="11" t="b">
        <f>+AND(NOT(V5),NOT(W5))</f>
        <v>0</v>
      </c>
      <c r="AB5" s="19">
        <f>+C4</f>
        <v>908</v>
      </c>
      <c r="AC5" s="20">
        <f>+F4</f>
        <v>148212.65109999999</v>
      </c>
      <c r="AD5" s="20"/>
      <c r="AE5" s="20" t="s">
        <v>24</v>
      </c>
      <c r="AF5" s="23">
        <f>+H4</f>
        <v>1211</v>
      </c>
      <c r="AG5" s="20">
        <f>+AB9*AF5^2+AC9*AF5+AD9</f>
        <v>150271.91396666667</v>
      </c>
      <c r="AI5" s="19">
        <f>+C5</f>
        <v>1093</v>
      </c>
      <c r="AJ5" s="20">
        <f>+F5</f>
        <v>149593.51949999999</v>
      </c>
      <c r="AK5" s="20"/>
      <c r="AL5" s="20" t="s">
        <v>24</v>
      </c>
      <c r="AM5" s="23">
        <f>+H5</f>
        <v>1458</v>
      </c>
      <c r="AN5" s="20">
        <f>+AI9*AM5^2+AJ9*AM5+AK9</f>
        <v>150531.81967890449</v>
      </c>
      <c r="AP5" s="19">
        <f>+C6</f>
        <v>5270</v>
      </c>
      <c r="AQ5" s="20">
        <f>+F6</f>
        <v>150466.88320000001</v>
      </c>
      <c r="AR5" s="20"/>
      <c r="AS5" s="20" t="s">
        <v>24</v>
      </c>
      <c r="AT5" s="23">
        <f>+H6</f>
        <v>7027</v>
      </c>
      <c r="AU5" s="20">
        <f>+AP9*AT5^2+AQ9*AT5+AR9</f>
        <v>150220.67258467039</v>
      </c>
      <c r="AW5" s="19">
        <f>+C7</f>
        <v>22969</v>
      </c>
      <c r="AX5" s="20">
        <f>+F7</f>
        <v>150917.31169999999</v>
      </c>
      <c r="AY5" s="20"/>
      <c r="AZ5" s="20" t="s">
        <v>24</v>
      </c>
      <c r="BA5" s="23">
        <f>+H7</f>
        <v>30625</v>
      </c>
      <c r="BB5" s="20">
        <f>+AW9*BA5^2+AX9*BA5+AY9</f>
        <v>150301.35562808561</v>
      </c>
      <c r="BD5" s="19">
        <f>+C8</f>
        <v>6498</v>
      </c>
      <c r="BE5" s="20">
        <f>+F8</f>
        <v>151629.91070000001</v>
      </c>
      <c r="BF5" s="20"/>
      <c r="BG5" s="20" t="s">
        <v>24</v>
      </c>
      <c r="BH5" s="23">
        <f>+H8</f>
        <v>8665</v>
      </c>
      <c r="BI5" s="20">
        <f>+BD9*BH5^2+BE9*BH5+BF9</f>
        <v>150179.62509863314</v>
      </c>
      <c r="BK5" s="19">
        <f>+C9</f>
        <v>18679</v>
      </c>
      <c r="BL5" s="20">
        <f>+F9</f>
        <v>152409.8749</v>
      </c>
      <c r="BM5" s="20"/>
      <c r="BN5" s="20" t="s">
        <v>24</v>
      </c>
      <c r="BO5" s="23">
        <f>H9</f>
        <v>24905</v>
      </c>
      <c r="BP5" s="20">
        <f>+BK9*BO5^2+BL9*BO5+BM9</f>
        <v>151000</v>
      </c>
    </row>
    <row r="6" spans="1:68" x14ac:dyDescent="0.25">
      <c r="A6" s="6" t="str">
        <f>+'Table 5-6 - inputs'!A6</f>
        <v>Health state cost- MIBC</v>
      </c>
      <c r="B6" s="28">
        <f>+'Table 5-6 - inputs'!B6</f>
        <v>7027</v>
      </c>
      <c r="C6" s="28">
        <f>+'Table 5-6 - inputs'!C6</f>
        <v>5270</v>
      </c>
      <c r="D6" s="28">
        <f>+'Table 5-6 - inputs'!D6</f>
        <v>8783</v>
      </c>
      <c r="E6" s="28">
        <f>+'Table 5-6 - inputs'!E6</f>
        <v>151000</v>
      </c>
      <c r="F6" s="11">
        <f>+'Table 5-6 - inputs'!F6</f>
        <v>150466.88320000001</v>
      </c>
      <c r="G6" s="11">
        <f>+'Table 5-6 - inputs'!G6</f>
        <v>149195.4964</v>
      </c>
      <c r="H6" s="10">
        <f>+'Table 5-6 - inputs'!H6</f>
        <v>7027</v>
      </c>
      <c r="I6" s="10">
        <f>+'Table 5-6 - inputs'!I6</f>
        <v>7300</v>
      </c>
      <c r="J6" s="11">
        <f>+AU5</f>
        <v>150220.67258467039</v>
      </c>
      <c r="K6" s="11">
        <f>+AU6</f>
        <v>150121.88862970073</v>
      </c>
      <c r="L6" s="12">
        <f t="shared" si="6"/>
        <v>2.9227381131725879E-3</v>
      </c>
      <c r="M6" s="14" t="str">
        <f t="shared" si="0"/>
        <v>NO</v>
      </c>
      <c r="N6" s="14" t="str">
        <f t="shared" si="0"/>
        <v>NO</v>
      </c>
      <c r="O6" s="6"/>
      <c r="P6" s="44">
        <f t="shared" si="1"/>
        <v>150121.88862970073</v>
      </c>
      <c r="Q6" s="44">
        <f>+MEDIAN(E6,J6,K6)</f>
        <v>150220.67258467039</v>
      </c>
      <c r="R6" s="44">
        <f>+MAX(E6,J6,K6)</f>
        <v>151000</v>
      </c>
      <c r="S6" s="45">
        <f t="shared" si="7"/>
        <v>2.9227381131725879E-3</v>
      </c>
      <c r="T6" s="6" t="b">
        <f t="shared" si="2"/>
        <v>0</v>
      </c>
      <c r="U6" s="45" t="b">
        <f t="shared" si="3"/>
        <v>1</v>
      </c>
      <c r="V6" s="6" t="b">
        <f t="shared" si="4"/>
        <v>0</v>
      </c>
      <c r="W6" s="45" t="b">
        <f t="shared" si="5"/>
        <v>1</v>
      </c>
      <c r="X6" s="11" t="b">
        <f>+AND(NOT(T6),NOT(U6))</f>
        <v>0</v>
      </c>
      <c r="Y6" s="11" t="b">
        <f>+AND(NOT(V6),NOT(W6))</f>
        <v>0</v>
      </c>
      <c r="AB6" s="19">
        <f>+D4</f>
        <v>1514</v>
      </c>
      <c r="AC6" s="20">
        <f>+G4</f>
        <v>151603.09080000001</v>
      </c>
      <c r="AD6" s="20"/>
      <c r="AE6" s="20" t="s">
        <v>25</v>
      </c>
      <c r="AF6" s="23">
        <f>+I4</f>
        <v>1682</v>
      </c>
      <c r="AG6" s="20">
        <f>+AB9*AF6^2+AC9*AF6+AD9</f>
        <v>152907.0576938944</v>
      </c>
      <c r="AI6" s="19">
        <f>+D5</f>
        <v>1822</v>
      </c>
      <c r="AJ6" s="20">
        <f>+G5</f>
        <v>151000.00931444039</v>
      </c>
      <c r="AK6" s="20"/>
      <c r="AL6" s="20" t="s">
        <v>25</v>
      </c>
      <c r="AM6" s="23">
        <f>+I5</f>
        <v>2025</v>
      </c>
      <c r="AN6" s="20">
        <f>+AI9*AM6^2+AJ9*AM6+AK9</f>
        <v>151626.25570776247</v>
      </c>
      <c r="AP6" s="19">
        <f>+D6</f>
        <v>8783</v>
      </c>
      <c r="AQ6" s="20">
        <f>+G6</f>
        <v>149195.4964</v>
      </c>
      <c r="AR6" s="20"/>
      <c r="AS6" s="20" t="s">
        <v>25</v>
      </c>
      <c r="AT6" s="23">
        <f>+I6</f>
        <v>7300</v>
      </c>
      <c r="AU6" s="20">
        <f>+AP9*AT6^2+AQ9*AT6+AR9</f>
        <v>150121.88862970073</v>
      </c>
      <c r="AW6" s="19">
        <f>+D7</f>
        <v>38282</v>
      </c>
      <c r="AX6" s="20">
        <f>+G7</f>
        <v>148986.62909999999</v>
      </c>
      <c r="AY6" s="20"/>
      <c r="AZ6" s="20" t="s">
        <v>25</v>
      </c>
      <c r="BA6" s="23">
        <f>+I7</f>
        <v>31914</v>
      </c>
      <c r="BB6" s="20">
        <f>+AW9*BA6^2+AX9*BA6+AY9</f>
        <v>150138.83302107995</v>
      </c>
      <c r="BD6" s="19">
        <f>+D8</f>
        <v>10831</v>
      </c>
      <c r="BE6" s="20">
        <f>+G8</f>
        <v>147909.82310000001</v>
      </c>
      <c r="BF6" s="20"/>
      <c r="BG6" s="20" t="s">
        <v>25</v>
      </c>
      <c r="BH6" s="23">
        <f>+I8</f>
        <v>9027</v>
      </c>
      <c r="BI6" s="20">
        <f>+BD9*BH6^2+BE9*BH6+BF9</f>
        <v>149868.84661419495</v>
      </c>
      <c r="BK6" s="19">
        <f>+D9</f>
        <v>31131</v>
      </c>
      <c r="BL6" s="20">
        <f>+G9</f>
        <v>147229.9179</v>
      </c>
      <c r="BM6" s="20"/>
      <c r="BN6" s="20" t="s">
        <v>25</v>
      </c>
      <c r="BO6" s="23">
        <f>+I9</f>
        <v>25953</v>
      </c>
      <c r="BP6" s="20">
        <f>+BK9*BO6^2+BL9*BO6+BM9</f>
        <v>150530.60153069219</v>
      </c>
    </row>
    <row r="7" spans="1:68" x14ac:dyDescent="0.25">
      <c r="A7" s="6" t="str">
        <f>+'Table 5-6 - inputs'!A7</f>
        <v>Health state cost- Cystectomy</v>
      </c>
      <c r="B7" s="28">
        <f>+'Table 5-6 - inputs'!B7</f>
        <v>30625</v>
      </c>
      <c r="C7" s="28">
        <f>+'Table 5-6 - inputs'!C7</f>
        <v>22969</v>
      </c>
      <c r="D7" s="28">
        <f>+'Table 5-6 - inputs'!D7</f>
        <v>38282</v>
      </c>
      <c r="E7" s="28">
        <f>+'Table 5-6 - inputs'!E7</f>
        <v>151000</v>
      </c>
      <c r="F7" s="11">
        <f>+'Table 5-6 - inputs'!F7</f>
        <v>150917.31169999999</v>
      </c>
      <c r="G7" s="11">
        <f>+'Table 5-6 - inputs'!G7</f>
        <v>148986.62909999999</v>
      </c>
      <c r="H7" s="10">
        <f>+'Table 5-6 - inputs'!H7</f>
        <v>30625</v>
      </c>
      <c r="I7" s="10">
        <f>+'Table 5-6 - inputs'!I7</f>
        <v>31914</v>
      </c>
      <c r="J7" s="11">
        <f>+BB5</f>
        <v>150301.35562808561</v>
      </c>
      <c r="K7" s="11">
        <f>+BB6</f>
        <v>150138.83302107995</v>
      </c>
      <c r="L7" s="12">
        <f t="shared" si="6"/>
        <v>2.8648011034942849E-3</v>
      </c>
      <c r="M7" s="14" t="str">
        <f t="shared" si="0"/>
        <v>NO</v>
      </c>
      <c r="N7" s="14" t="str">
        <f t="shared" si="0"/>
        <v>NO</v>
      </c>
      <c r="O7" s="6"/>
      <c r="P7" s="44">
        <f t="shared" si="1"/>
        <v>150138.83302107995</v>
      </c>
      <c r="Q7" s="44">
        <f>+MEDIAN(E7,J7,K7)</f>
        <v>150301.35562808561</v>
      </c>
      <c r="R7" s="44">
        <f>+MAX(E7,J7,K7)</f>
        <v>151000</v>
      </c>
      <c r="S7" s="45">
        <f t="shared" si="7"/>
        <v>2.8648011034942849E-3</v>
      </c>
      <c r="T7" s="6" t="b">
        <f t="shared" si="2"/>
        <v>0</v>
      </c>
      <c r="U7" s="45" t="b">
        <f t="shared" si="3"/>
        <v>1</v>
      </c>
      <c r="V7" s="6" t="b">
        <f t="shared" si="4"/>
        <v>0</v>
      </c>
      <c r="W7" s="45" t="b">
        <f t="shared" si="5"/>
        <v>1</v>
      </c>
      <c r="X7" s="11" t="b">
        <f>+AND(NOT(T7),NOT(U7))</f>
        <v>0</v>
      </c>
      <c r="Y7" s="11" t="b">
        <f>+AND(NOT(V7),NOT(W7))</f>
        <v>0</v>
      </c>
      <c r="AB7" s="22" cm="1">
        <f t="array" ref="AB7:AD7">+LINEST(AC4:AC6,AB4:AB6^{1,2})</f>
        <v>-1.1895664368417047E-2</v>
      </c>
      <c r="AC7" s="22">
        <v>34.406084083804458</v>
      </c>
      <c r="AD7" s="22">
        <v>126779.47377974814</v>
      </c>
      <c r="AF7" s="21">
        <f>+OR(AF4=MIN(AF4:AF6,AB4:AB6),AF4=MAX(AF4:AF6,AB4:AB6))*1</f>
        <v>0</v>
      </c>
      <c r="AH7" s="4"/>
      <c r="AI7" s="22" cm="1">
        <f t="array" ref="AI7:AK7">+LINEST(AJ4:AJ6,AI4:AI6^{1,2})</f>
        <v>-5.2857964934907688E-3</v>
      </c>
      <c r="AJ7" s="22">
        <v>17.337438087771684</v>
      </c>
      <c r="AK7" s="22">
        <v>136958.3711652178</v>
      </c>
      <c r="AL7" s="22"/>
      <c r="AM7" s="21">
        <f>+OR(AM4=MIN(AM4:AM6,AI4:AI6),AM4=MAX(AM4:AM6,AI4:AI6))*1</f>
        <v>0</v>
      </c>
      <c r="AP7" s="22" cm="1">
        <f t="array" ref="AP7:AR7">+LINEST(AQ4:AQ6,AP4:AP6^{1,2})</f>
        <v>-3.7889157803175133E-4</v>
      </c>
      <c r="AQ7" s="22">
        <v>4.9626542085908731</v>
      </c>
      <c r="AR7" s="22">
        <v>134836.61342824413</v>
      </c>
      <c r="AS7" s="22"/>
      <c r="AT7" s="21">
        <f>+OR(AT4=MIN(AT4:AT6,AP4:AP6),AT4=MAX(AT4:AT6,AP4:AP6))*1</f>
        <v>0</v>
      </c>
      <c r="AW7" s="22" cm="1">
        <f t="array" ref="AW7:AY7">+LINEST(AX4:AX6,AW4:AW6^{1,2})</f>
        <v>-1.7876679444146734E-5</v>
      </c>
      <c r="AX7" s="22">
        <v>0.96888321528738564</v>
      </c>
      <c r="AY7" s="22">
        <v>138094.32158861926</v>
      </c>
      <c r="AZ7" s="22"/>
      <c r="BA7" s="21">
        <f>+OR(BA4=MIN(BA4:BA6,AW4:AW6),BA4=MAX(BA4:BA6,AW4:AW6))*1</f>
        <v>0</v>
      </c>
      <c r="BD7" s="22" cm="1">
        <f t="array" ref="BD7:BF7">+LINEST(BE4:BE6,BD4:BD6^{1,2})</f>
        <v>-2.6217197650350486E-4</v>
      </c>
      <c r="BE7" s="22">
        <v>3.6846303848449309</v>
      </c>
      <c r="BF7" s="22">
        <v>138757.13304384955</v>
      </c>
      <c r="BG7" s="22"/>
      <c r="BH7" s="21">
        <f>+OR(BH4=MIN(BH4:BH6,BD4:BD6),BH4=MAX(BH4:BH6,BD4:BD6))*1</f>
        <v>0</v>
      </c>
      <c r="BK7" s="22" cm="1">
        <f t="array" ref="BK7:BM7">+LINEST(BL4:BL6,BK4:BK6^{1,2})</f>
        <v>-3.0444013266645813E-5</v>
      </c>
      <c r="BL7" s="22">
        <v>1.1004223239404429</v>
      </c>
      <c r="BM7" s="22">
        <v>142477.15600812007</v>
      </c>
      <c r="BN7" s="22"/>
      <c r="BO7" s="21">
        <f>+OR(BO4=MIN(BO4:BO6,BK4:BK6),BO4=MAX(BO4:BO6,BK4:BK6))*1</f>
        <v>1</v>
      </c>
    </row>
    <row r="8" spans="1:68" x14ac:dyDescent="0.25">
      <c r="A8" s="6" t="str">
        <f>+'Table 5-6 - inputs'!A8</f>
        <v>Health state cost- Post-cystectomy</v>
      </c>
      <c r="B8" s="28">
        <f>+'Table 5-6 - inputs'!B8</f>
        <v>8665</v>
      </c>
      <c r="C8" s="28">
        <f>+'Table 5-6 - inputs'!C8</f>
        <v>6498</v>
      </c>
      <c r="D8" s="28">
        <f>+'Table 5-6 - inputs'!D8</f>
        <v>10831</v>
      </c>
      <c r="E8" s="28">
        <f>+'Table 5-6 - inputs'!E8</f>
        <v>151000</v>
      </c>
      <c r="F8" s="11">
        <f>+'Table 5-6 - inputs'!F8</f>
        <v>151629.91070000001</v>
      </c>
      <c r="G8" s="11">
        <f>+'Table 5-6 - inputs'!G8</f>
        <v>147909.82310000001</v>
      </c>
      <c r="H8" s="10">
        <f>+'Table 5-6 - inputs'!H8</f>
        <v>8665</v>
      </c>
      <c r="I8" s="10">
        <f>+'Table 5-6 - inputs'!I8</f>
        <v>9027</v>
      </c>
      <c r="J8" s="61">
        <f>+BI5</f>
        <v>150179.62509863314</v>
      </c>
      <c r="K8" s="61">
        <f>+BI6</f>
        <v>149868.84661419495</v>
      </c>
      <c r="L8" s="12">
        <f t="shared" ref="L8:L9" si="8">+S8</f>
        <v>3.7660014967481384E-3</v>
      </c>
      <c r="M8" s="14" t="str">
        <f t="shared" ref="M8:M9" si="9">+IF(X8,"YES","NO")</f>
        <v>NO</v>
      </c>
      <c r="N8" s="14" t="str">
        <f t="shared" ref="N8:N9" si="10">+IF(Y8,"YES","NO")</f>
        <v>YES</v>
      </c>
      <c r="O8" s="6"/>
      <c r="P8" s="44">
        <f t="shared" si="1"/>
        <v>149868.84661419495</v>
      </c>
      <c r="Q8" s="44">
        <f t="shared" ref="Q8:Q9" si="11">+MEDIAN(E8,J8,K8)</f>
        <v>150179.62509863314</v>
      </c>
      <c r="R8" s="44">
        <f t="shared" ref="R8:R9" si="12">+MAX(E8,J8,K8)</f>
        <v>151000</v>
      </c>
      <c r="S8" s="45">
        <f t="shared" ref="S8:S9" si="13">+AVERAGE((Q8-P8)/Q8,(R8-Q8)/Q8)</f>
        <v>3.7660014967481384E-3</v>
      </c>
      <c r="T8" s="6" t="b">
        <f t="shared" si="2"/>
        <v>0</v>
      </c>
      <c r="U8" s="45" t="b">
        <f t="shared" si="3"/>
        <v>1</v>
      </c>
      <c r="V8" s="6" t="b">
        <f t="shared" si="4"/>
        <v>0</v>
      </c>
      <c r="W8" s="45" t="b">
        <f t="shared" si="5"/>
        <v>0</v>
      </c>
      <c r="X8" s="11" t="b">
        <f t="shared" ref="X8:X9" si="14">+AND(NOT(T8),NOT(U8))</f>
        <v>0</v>
      </c>
      <c r="Y8" s="11" t="b">
        <f t="shared" ref="Y8:Y9" si="15">+AND(NOT(V8),NOT(W8))</f>
        <v>1</v>
      </c>
      <c r="AC8" s="22" cm="1">
        <f t="array" ref="AC8:AD8">+LINEST(AC4:AC6,AB4:AB6^{1})</f>
        <v>5.5947849834983776</v>
      </c>
      <c r="AD8" s="22">
        <v>143496.62935165013</v>
      </c>
      <c r="AF8" s="21">
        <f>+NOT(AF7)*1</f>
        <v>1</v>
      </c>
      <c r="AJ8" s="22" cm="1">
        <f t="array" ref="AJ8:AK8">+LINEST(AJ4:AJ6,AI4:AI6^{1})</f>
        <v>1.9302222731180816</v>
      </c>
      <c r="AK8" s="22">
        <v>147717.55560469834</v>
      </c>
      <c r="AL8" s="22"/>
      <c r="AM8" s="21">
        <f>+NOT(AM7)*1</f>
        <v>1</v>
      </c>
      <c r="AQ8" s="22" cm="1">
        <f t="array" ref="AQ8:AR8">+LINEST(AQ4:AQ6,AP4:AP6^{1})</f>
        <v>-0.36184598889981145</v>
      </c>
      <c r="AR8" s="22">
        <v>152763.36434866936</v>
      </c>
      <c r="AS8" s="22"/>
      <c r="AT8" s="21">
        <f>+NOT(AT7)*1</f>
        <v>1</v>
      </c>
      <c r="AX8" s="22" cm="1">
        <f t="array" ref="AX8:AY8">+LINEST(AX4:AX6,AW4:AW6^{1})</f>
        <v>-0.12608425679260293</v>
      </c>
      <c r="AY8" s="22">
        <v>154162.68599235907</v>
      </c>
      <c r="AZ8" s="22"/>
      <c r="BA8" s="21">
        <f>+NOT(BA7)*1</f>
        <v>1</v>
      </c>
      <c r="BE8" s="22" cm="1">
        <f t="array" ref="BE8:BF8">+LINEST(BE4:BE6,BD4:BD6^{1})</f>
        <v>-0.85850410065799176</v>
      </c>
      <c r="BF8" s="22">
        <v>157618.56313083463</v>
      </c>
      <c r="BG8" s="22"/>
      <c r="BH8" s="21">
        <f>+NOT(BH7)*1</f>
        <v>1</v>
      </c>
      <c r="BL8" s="22" cm="1">
        <f t="array" ref="BL8:BM8">+LINEST(BL4:BL6,BK4:BK6^{1})</f>
        <v>-0.415993976871185</v>
      </c>
      <c r="BM8" s="22">
        <v>160573.59426064353</v>
      </c>
      <c r="BN8" s="22"/>
      <c r="BO8" s="21">
        <f>+NOT(BO7)*1</f>
        <v>0</v>
      </c>
    </row>
    <row r="9" spans="1:68" x14ac:dyDescent="0.25">
      <c r="A9" s="6" t="str">
        <f>+'Table 5-6 - inputs'!A9</f>
        <v>Health state cost- Metastatic disease</v>
      </c>
      <c r="B9" s="28">
        <f>+'Table 5-6 - inputs'!B9</f>
        <v>24905</v>
      </c>
      <c r="C9" s="28">
        <f>+'Table 5-6 - inputs'!C9</f>
        <v>18679</v>
      </c>
      <c r="D9" s="28">
        <f>+'Table 5-6 - inputs'!D9</f>
        <v>31131</v>
      </c>
      <c r="E9" s="28">
        <f>+'Table 5-6 - inputs'!E9</f>
        <v>151000</v>
      </c>
      <c r="F9" s="11">
        <f>+'Table 5-6 - inputs'!F9</f>
        <v>152409.8749</v>
      </c>
      <c r="G9" s="11">
        <f>+'Table 5-6 - inputs'!G9</f>
        <v>147229.9179</v>
      </c>
      <c r="H9" s="10">
        <f>+'Table 5-6 - inputs'!H9</f>
        <v>24905</v>
      </c>
      <c r="I9" s="10">
        <f>+'Table 5-6 - inputs'!I9</f>
        <v>25953</v>
      </c>
      <c r="J9" s="61">
        <f>+BP5</f>
        <v>151000</v>
      </c>
      <c r="K9" s="61">
        <f>+BP6</f>
        <v>150530.60153069219</v>
      </c>
      <c r="L9" s="12">
        <f t="shared" si="8"/>
        <v>1.5542995672444011E-3</v>
      </c>
      <c r="M9" s="14" t="str">
        <f t="shared" si="9"/>
        <v>NO</v>
      </c>
      <c r="N9" s="14" t="str">
        <f t="shared" si="10"/>
        <v>NO</v>
      </c>
      <c r="O9" s="6"/>
      <c r="P9" s="44">
        <f t="shared" si="1"/>
        <v>150530.60153069219</v>
      </c>
      <c r="Q9" s="44">
        <f t="shared" si="11"/>
        <v>151000</v>
      </c>
      <c r="R9" s="44">
        <f t="shared" si="12"/>
        <v>151000</v>
      </c>
      <c r="S9" s="45">
        <f t="shared" si="13"/>
        <v>1.5542995672444011E-3</v>
      </c>
      <c r="T9" s="6" t="b">
        <f t="shared" si="2"/>
        <v>0</v>
      </c>
      <c r="U9" s="45" t="b">
        <f t="shared" si="3"/>
        <v>1</v>
      </c>
      <c r="V9" s="6" t="b">
        <f t="shared" si="4"/>
        <v>0</v>
      </c>
      <c r="W9" s="45" t="b">
        <f t="shared" si="5"/>
        <v>1</v>
      </c>
      <c r="X9" s="11" t="b">
        <f t="shared" si="14"/>
        <v>0</v>
      </c>
      <c r="Y9" s="11" t="b">
        <f t="shared" si="15"/>
        <v>0</v>
      </c>
      <c r="AB9" s="22">
        <f>+SUMPRODUCT(AB7:AB8,AF7:AF8)</f>
        <v>0</v>
      </c>
      <c r="AC9" s="22">
        <f>+SUMPRODUCT(AC7:AC8,AF7:AF8)</f>
        <v>5.5947849834983776</v>
      </c>
      <c r="AD9" s="22">
        <f>+SUMPRODUCT(AD7:AD8,AF7:AF8)</f>
        <v>143496.62935165013</v>
      </c>
      <c r="AI9" s="22">
        <f>+SUMPRODUCT(AI7:AI8,AM7:AM8)</f>
        <v>0</v>
      </c>
      <c r="AJ9" s="22">
        <f>+SUMPRODUCT(AJ7:AJ8,AM7:AM8)</f>
        <v>1.9302222731180816</v>
      </c>
      <c r="AK9" s="22">
        <f>+SUMPRODUCT(AK7:AK8,AM7:AM8)</f>
        <v>147717.55560469834</v>
      </c>
      <c r="AP9" s="22">
        <f>+SUMPRODUCT(AP7:AP8,AT7:AT8)</f>
        <v>0</v>
      </c>
      <c r="AQ9" s="22">
        <f>+SUMPRODUCT(AQ7:AQ8,AT7:AT8)</f>
        <v>-0.36184598889981145</v>
      </c>
      <c r="AR9" s="22">
        <f>+SUMPRODUCT(AR7:AR8,AT7:AT8)</f>
        <v>152763.36434866936</v>
      </c>
      <c r="AS9" s="22"/>
      <c r="AT9" s="21"/>
      <c r="AW9" s="22">
        <f>+SUMPRODUCT(AW7:AW8,BA7:BA8)</f>
        <v>0</v>
      </c>
      <c r="AX9" s="22">
        <f>+SUMPRODUCT(AX7:AX8,BA7:BA8)</f>
        <v>-0.12608425679260293</v>
      </c>
      <c r="AY9" s="22">
        <f>+SUMPRODUCT(AY7:AY8,BA7:BA8)</f>
        <v>154162.68599235907</v>
      </c>
      <c r="AZ9" s="22"/>
      <c r="BA9" s="21"/>
      <c r="BD9" s="22">
        <f>+SUMPRODUCT(BD7:BD8,BH7:BH8)</f>
        <v>0</v>
      </c>
      <c r="BE9" s="22">
        <f>+SUMPRODUCT(BE7:BE8,BH7:BH8)</f>
        <v>-0.85850410065799176</v>
      </c>
      <c r="BF9" s="22">
        <f>+SUMPRODUCT(BF7:BF8,BH7:BH8)</f>
        <v>157618.56313083463</v>
      </c>
      <c r="BG9" s="22"/>
      <c r="BH9" s="21"/>
      <c r="BK9" s="22">
        <f>+SUMPRODUCT(BK7:BK8,BO7:BO8)</f>
        <v>-3.0444013266645813E-5</v>
      </c>
      <c r="BL9" s="22">
        <f>+SUMPRODUCT(BL7:BL8,BO7:BO8)</f>
        <v>1.1004223239404429</v>
      </c>
      <c r="BM9" s="22">
        <f>+SUMPRODUCT(BM7:BM8,BO7:BO8)</f>
        <v>142477.15600812007</v>
      </c>
      <c r="BN9" s="22"/>
      <c r="BO9" s="21"/>
    </row>
    <row r="10" spans="1:68" x14ac:dyDescent="0.25">
      <c r="A10" s="6"/>
      <c r="B10" s="10"/>
      <c r="C10" s="10"/>
      <c r="D10" s="14"/>
      <c r="E10" s="6"/>
      <c r="F10" s="6"/>
      <c r="G10" s="6"/>
      <c r="H10" s="10"/>
      <c r="I10" s="10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AC10" s="22"/>
      <c r="AD10" s="22"/>
      <c r="AF10" s="21"/>
      <c r="AJ10" s="22"/>
      <c r="AK10" s="22"/>
      <c r="AL10" s="22"/>
      <c r="AM10" s="21"/>
      <c r="AQ10" s="22"/>
      <c r="AR10" s="22"/>
      <c r="AS10" s="22"/>
      <c r="AT10" s="21"/>
      <c r="AX10" s="22"/>
      <c r="AY10" s="22"/>
      <c r="AZ10" s="22"/>
      <c r="BA10" s="21"/>
      <c r="BE10" s="22"/>
      <c r="BF10" s="22"/>
      <c r="BG10" s="22"/>
      <c r="BH10" s="21"/>
      <c r="BL10" s="22"/>
      <c r="BM10" s="22"/>
      <c r="BN10" s="22"/>
      <c r="BO10" s="21"/>
    </row>
    <row r="11" spans="1:68" x14ac:dyDescent="0.25">
      <c r="A11" s="9" t="str">
        <f>+'Table 5-6 - inputs'!A12</f>
        <v>Analysis (b): OM for CIS+/- Ta/T1</v>
      </c>
      <c r="B11" s="10"/>
      <c r="C11" s="10"/>
      <c r="D11" s="14"/>
      <c r="E11" s="6"/>
      <c r="F11" s="6"/>
      <c r="G11" s="6"/>
      <c r="H11" s="10"/>
      <c r="I11" s="10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AB11" s="74" t="str">
        <f>+A12</f>
        <v>Health state cost- Disease Free</v>
      </c>
      <c r="AC11" s="74"/>
      <c r="AD11" s="74"/>
      <c r="AE11" s="74"/>
      <c r="AF11" s="74"/>
      <c r="AG11" s="74"/>
      <c r="AI11" s="74" t="str">
        <f>+A13</f>
        <v>Health state cost- Persistent/ Recurrent NMIBC</v>
      </c>
      <c r="AJ11" s="74"/>
      <c r="AK11" s="74"/>
      <c r="AL11" s="74"/>
      <c r="AM11" s="74"/>
      <c r="AN11" s="74"/>
      <c r="AP11" s="74" t="str">
        <f>+A14</f>
        <v>Health state cost- MIBC</v>
      </c>
      <c r="AQ11" s="74"/>
      <c r="AR11" s="74"/>
      <c r="AS11" s="74"/>
      <c r="AT11" s="74"/>
      <c r="AU11" s="74"/>
      <c r="AW11" s="74" t="str">
        <f>+A15</f>
        <v>Health state cost- Cystectomy</v>
      </c>
      <c r="AX11" s="74"/>
      <c r="AY11" s="74"/>
      <c r="AZ11" s="74"/>
      <c r="BA11" s="74"/>
      <c r="BB11" s="74"/>
      <c r="BD11" s="74" t="str">
        <f>BD2</f>
        <v>Health state cost- Post-cystectomy</v>
      </c>
      <c r="BE11" s="74"/>
      <c r="BF11" s="74"/>
      <c r="BG11" s="74"/>
      <c r="BH11" s="74"/>
      <c r="BI11" s="74"/>
      <c r="BK11" s="74" t="str">
        <f>BK2</f>
        <v>Health state cost- Metastatic disease</v>
      </c>
      <c r="BL11" s="74"/>
      <c r="BM11" s="74"/>
      <c r="BN11" s="74"/>
      <c r="BO11" s="74"/>
      <c r="BP11" s="74"/>
    </row>
    <row r="12" spans="1:68" x14ac:dyDescent="0.25">
      <c r="A12" s="6" t="str">
        <f>+'Table 5-6 - inputs'!A4</f>
        <v>Health state cost- Disease Free</v>
      </c>
      <c r="B12" s="28">
        <f>+'Table 5-6 - inputs'!B13</f>
        <v>1211</v>
      </c>
      <c r="C12" s="28">
        <f>+'Table 5-6 - inputs'!C13</f>
        <v>908</v>
      </c>
      <c r="D12" s="28">
        <f>+'Table 5-6 - inputs'!D13</f>
        <v>1514</v>
      </c>
      <c r="E12" s="11">
        <f>+'Table 5-6 - inputs'!E13</f>
        <v>382000</v>
      </c>
      <c r="F12" s="11">
        <f>+'Table 5-6 - inputs'!F13</f>
        <v>385169.00949999999</v>
      </c>
      <c r="G12" s="11">
        <f>+'Table 5-6 - inputs'!G13</f>
        <v>381412.89049999998</v>
      </c>
      <c r="H12" s="10">
        <f>+'Table 5-6 - inputs'!H13</f>
        <v>1211</v>
      </c>
      <c r="I12" s="10">
        <f>+'Table 5-6 - inputs'!I13</f>
        <v>1682</v>
      </c>
      <c r="J12" s="11">
        <f>+AG13</f>
        <v>382860.6333333333</v>
      </c>
      <c r="K12" s="11">
        <f>+AG14</f>
        <v>379941.27351650159</v>
      </c>
      <c r="L12" s="12">
        <f t="shared" ref="L12" si="16">+S12</f>
        <v>3.8211515927116641E-3</v>
      </c>
      <c r="M12" s="14" t="str">
        <f t="shared" ref="M12:N12" si="17">+IF(X12,"YES","NO")</f>
        <v>NO</v>
      </c>
      <c r="N12" s="14" t="str">
        <f t="shared" si="17"/>
        <v>NO</v>
      </c>
      <c r="O12" s="6"/>
      <c r="P12" s="44">
        <f>+MIN(E12,J12,K12)</f>
        <v>379941.27351650159</v>
      </c>
      <c r="Q12" s="44">
        <f>+MEDIAN(E12,J12,K12)</f>
        <v>382000</v>
      </c>
      <c r="R12" s="44">
        <f>+MAX(E12,J12,K12)</f>
        <v>382860.6333333333</v>
      </c>
      <c r="S12" s="45">
        <f t="shared" ref="S12" si="18">+AVERAGE((Q12-P12)/Q12,(R12-Q12)/Q12)</f>
        <v>3.8211515927116641E-3</v>
      </c>
      <c r="T12" s="6" t="b">
        <f t="shared" ref="T12:T17" si="19">+AND(E12&lt;=Benchmark1,J12&lt;=Benchmark1,K12&lt;=Benchmark1)</f>
        <v>0</v>
      </c>
      <c r="U12" s="45" t="b">
        <f t="shared" ref="U12:U17" si="20">+AND(E12&gt;Benchmark1,J12&gt;Benchmark1,K12&gt;Benchmark1)</f>
        <v>1</v>
      </c>
      <c r="V12" s="6" t="b">
        <f t="shared" ref="V12:V17" si="21">+AND(E12&lt;=Benchmark2,J12&lt;=Benchmark2,K12&lt;=Benchmark2)</f>
        <v>0</v>
      </c>
      <c r="W12" s="45" t="b">
        <f t="shared" ref="W12:W17" si="22">+AND(E12&gt;Benchmark2,J12&gt;Benchmark2,K12&gt;Benchmark2)</f>
        <v>1</v>
      </c>
      <c r="X12" s="11" t="b">
        <f>+AND(NOT(T12),NOT(U12))</f>
        <v>0</v>
      </c>
      <c r="Y12" s="11" t="b">
        <f>+AND(NOT(V12),NOT(W12))</f>
        <v>0</v>
      </c>
      <c r="AB12" s="19">
        <f>+B12</f>
        <v>1211</v>
      </c>
      <c r="AC12" s="20">
        <f>+E12</f>
        <v>382000</v>
      </c>
      <c r="AD12" s="20"/>
      <c r="AE12" s="20" t="s">
        <v>23</v>
      </c>
      <c r="AF12" s="23">
        <f>-AC15/(2*AB15)</f>
        <v>1431.4004913048564</v>
      </c>
      <c r="AG12" s="23"/>
      <c r="AI12" s="19">
        <f>+B13</f>
        <v>1458</v>
      </c>
      <c r="AJ12" s="20">
        <f>+E13</f>
        <v>382000</v>
      </c>
      <c r="AK12" s="20"/>
      <c r="AL12" s="20" t="s">
        <v>23</v>
      </c>
      <c r="AM12" s="23">
        <f>-AJ15/(2*AI15)</f>
        <v>1640.0009568123928</v>
      </c>
      <c r="AN12" s="23"/>
      <c r="AP12" s="19">
        <f>+B14</f>
        <v>7027</v>
      </c>
      <c r="AQ12" s="20">
        <f>+E14</f>
        <v>382000</v>
      </c>
      <c r="AR12" s="20"/>
      <c r="AS12" s="20" t="s">
        <v>23</v>
      </c>
      <c r="AT12" s="23">
        <f>-AQ15/(2*AP15)</f>
        <v>7043.0595930509044</v>
      </c>
      <c r="AU12" s="23"/>
      <c r="AW12" s="19">
        <f>+B15</f>
        <v>30625</v>
      </c>
      <c r="AX12" s="20">
        <f>+E15</f>
        <v>382000</v>
      </c>
      <c r="AY12" s="20"/>
      <c r="AZ12" s="20" t="s">
        <v>23</v>
      </c>
      <c r="BA12" s="23">
        <f>-AX15/(2*AW15)</f>
        <v>26796.979954135742</v>
      </c>
      <c r="BB12" s="23"/>
      <c r="BD12" s="19">
        <f>+B16</f>
        <v>8665</v>
      </c>
      <c r="BE12" s="20">
        <f>+E16</f>
        <v>382000</v>
      </c>
      <c r="BF12" s="20"/>
      <c r="BG12" s="20" t="s">
        <v>23</v>
      </c>
      <c r="BH12" s="23">
        <f>-BE15/(2*BD15)</f>
        <v>7066.1562971660587</v>
      </c>
      <c r="BI12" s="23"/>
      <c r="BK12" s="19">
        <f>+B17</f>
        <v>24905</v>
      </c>
      <c r="BL12" s="20">
        <f>+E17</f>
        <v>382000</v>
      </c>
      <c r="BM12" s="20"/>
      <c r="BN12" s="20" t="s">
        <v>23</v>
      </c>
      <c r="BO12" s="23">
        <f>-BL15/(2*BK15)</f>
        <v>29543.083167334462</v>
      </c>
      <c r="BP12" s="23"/>
    </row>
    <row r="13" spans="1:68" x14ac:dyDescent="0.25">
      <c r="A13" s="6" t="str">
        <f>+'Table 5-6 - inputs'!A5</f>
        <v>Health state cost- Persistent/ Recurrent NMIBC</v>
      </c>
      <c r="B13" s="28">
        <f>+'Table 5-6 - inputs'!B14</f>
        <v>1458</v>
      </c>
      <c r="C13" s="28">
        <f>+'Table 5-6 - inputs'!C14</f>
        <v>1093</v>
      </c>
      <c r="D13" s="28">
        <f>+'Table 5-6 - inputs'!D14</f>
        <v>1822</v>
      </c>
      <c r="E13" s="11">
        <f>+'Table 5-6 - inputs'!E14</f>
        <v>382000</v>
      </c>
      <c r="F13" s="11">
        <f>+'Table 5-6 - inputs'!F14</f>
        <v>383547.69929999998</v>
      </c>
      <c r="G13" s="11">
        <f>+'Table 5-6 - inputs'!G14</f>
        <v>381999.99594843114</v>
      </c>
      <c r="H13" s="10">
        <f>+'Table 5-6 - inputs'!H14</f>
        <v>1458</v>
      </c>
      <c r="I13" s="10">
        <f>+'Table 5-6 - inputs'!I14</f>
        <v>2025</v>
      </c>
      <c r="J13" s="11">
        <f>+AN13</f>
        <v>382515.19040971482</v>
      </c>
      <c r="K13" s="11">
        <f>+AN14</f>
        <v>381310.8714741983</v>
      </c>
      <c r="L13" s="12">
        <f t="shared" ref="L13:L17" si="23">+S13</f>
        <v>1.5763336852310512E-3</v>
      </c>
      <c r="M13" s="14" t="str">
        <f t="shared" ref="M13:M17" si="24">+IF(X13,"YES","NO")</f>
        <v>NO</v>
      </c>
      <c r="N13" s="14" t="str">
        <f t="shared" ref="N13:N17" si="25">+IF(Y13,"YES","NO")</f>
        <v>NO</v>
      </c>
      <c r="O13" s="6"/>
      <c r="P13" s="44">
        <f>+MIN(E13,J13,K13)</f>
        <v>381310.8714741983</v>
      </c>
      <c r="Q13" s="44">
        <f t="shared" ref="Q13:Q17" si="26">+MEDIAN(E13,J13,K13)</f>
        <v>382000</v>
      </c>
      <c r="R13" s="44">
        <f t="shared" ref="R13:R17" si="27">+MAX(E13,J13,K13)</f>
        <v>382515.19040971482</v>
      </c>
      <c r="S13" s="45">
        <f t="shared" ref="S13:S17" si="28">+AVERAGE((Q13-P13)/Q13,(R13-Q13)/Q13)</f>
        <v>1.5763336852310512E-3</v>
      </c>
      <c r="T13" s="6" t="b">
        <f t="shared" si="19"/>
        <v>0</v>
      </c>
      <c r="U13" s="45" t="b">
        <f t="shared" si="20"/>
        <v>1</v>
      </c>
      <c r="V13" s="6" t="b">
        <f t="shared" si="21"/>
        <v>0</v>
      </c>
      <c r="W13" s="45" t="b">
        <f t="shared" si="22"/>
        <v>1</v>
      </c>
      <c r="X13" s="11" t="b">
        <f t="shared" ref="X13:X17" si="29">+AND(NOT(T13),NOT(U13))</f>
        <v>0</v>
      </c>
      <c r="Y13" s="11" t="b">
        <f t="shared" ref="Y13:Y17" si="30">+AND(NOT(V13),NOT(W13))</f>
        <v>0</v>
      </c>
      <c r="AB13" s="19">
        <f>+C12</f>
        <v>908</v>
      </c>
      <c r="AC13" s="20">
        <f>+F12</f>
        <v>385169.00949999999</v>
      </c>
      <c r="AD13" s="20"/>
      <c r="AE13" s="20" t="s">
        <v>24</v>
      </c>
      <c r="AF13" s="23">
        <f>+H12</f>
        <v>1211</v>
      </c>
      <c r="AG13" s="20">
        <f>+AB17*AF13^2+AC17*AF13+AD17</f>
        <v>382860.6333333333</v>
      </c>
      <c r="AI13" s="19">
        <f>+C13</f>
        <v>1093</v>
      </c>
      <c r="AJ13" s="20">
        <f>+F13</f>
        <v>383547.69929999998</v>
      </c>
      <c r="AK13" s="20"/>
      <c r="AL13" s="20" t="s">
        <v>24</v>
      </c>
      <c r="AM13" s="23">
        <f>+H13</f>
        <v>1458</v>
      </c>
      <c r="AN13" s="20">
        <f>+AI17*AM13^2+AJ17*AM13+AK17</f>
        <v>382515.19040971482</v>
      </c>
      <c r="AP13" s="19">
        <f>+C14</f>
        <v>5270</v>
      </c>
      <c r="AQ13" s="20">
        <f>+F14</f>
        <v>384283.61070000002</v>
      </c>
      <c r="AR13" s="20"/>
      <c r="AS13" s="20" t="s">
        <v>24</v>
      </c>
      <c r="AT13" s="23">
        <f>+H14</f>
        <v>7027</v>
      </c>
      <c r="AU13" s="20">
        <f>+AP17*AT13^2+AQ17*AT13+AR17</f>
        <v>383494.22513306758</v>
      </c>
      <c r="AW13" s="19">
        <f>+C15</f>
        <v>22969</v>
      </c>
      <c r="AX13" s="20">
        <f>+F15</f>
        <v>381999.99424322223</v>
      </c>
      <c r="AY13" s="20"/>
      <c r="AZ13" s="20" t="s">
        <v>24</v>
      </c>
      <c r="BA13" s="23">
        <f>+H15</f>
        <v>30625</v>
      </c>
      <c r="BB13" s="20">
        <f>+AW17*BA13^2+AX17*BA13+AY17</f>
        <v>382732.9799101426</v>
      </c>
      <c r="BD13" s="19">
        <f>+C16</f>
        <v>6498</v>
      </c>
      <c r="BE13" s="20">
        <f>+F16</f>
        <v>381277.93369999999</v>
      </c>
      <c r="BF13" s="20"/>
      <c r="BG13" s="20" t="s">
        <v>24</v>
      </c>
      <c r="BH13" s="23">
        <f>+H16</f>
        <v>8665</v>
      </c>
      <c r="BI13" s="20">
        <f>+BD17*BH13^2+BE17*BH13+BF17</f>
        <v>383011.61973354343</v>
      </c>
      <c r="BK13" s="19">
        <f>+C17</f>
        <v>18679</v>
      </c>
      <c r="BL13" s="20">
        <f>+F17</f>
        <v>385971.0049</v>
      </c>
      <c r="BM13" s="20"/>
      <c r="BN13" s="20" t="s">
        <v>24</v>
      </c>
      <c r="BO13" s="23">
        <f>H17</f>
        <v>24905</v>
      </c>
      <c r="BP13" s="20">
        <f>+BK17*BO13^2+BL17*BO13+BM17</f>
        <v>383063.22673333337</v>
      </c>
    </row>
    <row r="14" spans="1:68" x14ac:dyDescent="0.25">
      <c r="A14" s="6" t="str">
        <f>+'Table 5-6 - inputs'!A6</f>
        <v>Health state cost- MIBC</v>
      </c>
      <c r="B14" s="28">
        <f>+'Table 5-6 - inputs'!B15</f>
        <v>7027</v>
      </c>
      <c r="C14" s="28">
        <f>+'Table 5-6 - inputs'!C15</f>
        <v>5270</v>
      </c>
      <c r="D14" s="28">
        <f>+'Table 5-6 - inputs'!D15</f>
        <v>8783</v>
      </c>
      <c r="E14" s="11">
        <f>+'Table 5-6 - inputs'!E15</f>
        <v>382000</v>
      </c>
      <c r="F14" s="11">
        <f>+'Table 5-6 - inputs'!F15</f>
        <v>384283.61070000002</v>
      </c>
      <c r="G14" s="11">
        <f>+'Table 5-6 - inputs'!G15</f>
        <v>384199.0888800057</v>
      </c>
      <c r="H14" s="10">
        <f>+'Table 5-6 - inputs'!H15</f>
        <v>7027</v>
      </c>
      <c r="I14" s="10">
        <f>+'Table 5-6 - inputs'!I15</f>
        <v>7300</v>
      </c>
      <c r="J14" s="11">
        <f>+AU13</f>
        <v>383494.22513306758</v>
      </c>
      <c r="K14" s="11">
        <f>+AU14</f>
        <v>383487.62377379561</v>
      </c>
      <c r="L14" s="12">
        <f t="shared" si="23"/>
        <v>1.9482051576571401E-3</v>
      </c>
      <c r="M14" s="14" t="str">
        <f t="shared" si="24"/>
        <v>NO</v>
      </c>
      <c r="N14" s="14" t="str">
        <f t="shared" si="25"/>
        <v>NO</v>
      </c>
      <c r="O14" s="6"/>
      <c r="P14" s="44">
        <f t="shared" ref="P14:P17" si="31">+MIN(E14,J14,K14)</f>
        <v>382000</v>
      </c>
      <c r="Q14" s="44">
        <f t="shared" si="26"/>
        <v>383487.62377379561</v>
      </c>
      <c r="R14" s="44">
        <f t="shared" si="27"/>
        <v>383494.22513306758</v>
      </c>
      <c r="S14" s="45">
        <f t="shared" si="28"/>
        <v>1.9482051576571401E-3</v>
      </c>
      <c r="T14" s="6" t="b">
        <f t="shared" si="19"/>
        <v>0</v>
      </c>
      <c r="U14" s="45" t="b">
        <f t="shared" si="20"/>
        <v>1</v>
      </c>
      <c r="V14" s="6" t="b">
        <f t="shared" si="21"/>
        <v>0</v>
      </c>
      <c r="W14" s="45" t="b">
        <f t="shared" si="22"/>
        <v>1</v>
      </c>
      <c r="X14" s="11" t="b">
        <f t="shared" si="29"/>
        <v>0</v>
      </c>
      <c r="Y14" s="11" t="b">
        <f t="shared" si="30"/>
        <v>0</v>
      </c>
      <c r="AB14" s="19">
        <f>+D12</f>
        <v>1514</v>
      </c>
      <c r="AC14" s="20">
        <f>+G12</f>
        <v>381412.89049999998</v>
      </c>
      <c r="AD14" s="20"/>
      <c r="AE14" s="20" t="s">
        <v>25</v>
      </c>
      <c r="AF14" s="23">
        <f>+I12</f>
        <v>1682</v>
      </c>
      <c r="AG14" s="20">
        <f>+AB17*AF14^2+AC17*AF14+AD17</f>
        <v>379941.27351650159</v>
      </c>
      <c r="AI14" s="19">
        <f>+D13</f>
        <v>1822</v>
      </c>
      <c r="AJ14" s="20">
        <f>+G13</f>
        <v>381999.99594843114</v>
      </c>
      <c r="AK14" s="20"/>
      <c r="AL14" s="20" t="s">
        <v>25</v>
      </c>
      <c r="AM14" s="23">
        <f>+I13</f>
        <v>2025</v>
      </c>
      <c r="AN14" s="20">
        <f>+AI17*AM14^2+AJ17*AM14+AK17</f>
        <v>381310.8714741983</v>
      </c>
      <c r="AP14" s="19">
        <f>+D14</f>
        <v>8783</v>
      </c>
      <c r="AQ14" s="20">
        <f>+G14</f>
        <v>384199.0888800057</v>
      </c>
      <c r="AR14" s="20"/>
      <c r="AS14" s="20" t="s">
        <v>25</v>
      </c>
      <c r="AT14" s="23">
        <f>+I14</f>
        <v>7300</v>
      </c>
      <c r="AU14" s="20">
        <f>+AP17*AT14^2+AQ17*AT14+AR17</f>
        <v>383487.62377379561</v>
      </c>
      <c r="AW14" s="19">
        <f>+D15</f>
        <v>38282</v>
      </c>
      <c r="AX14" s="20">
        <f>+G15</f>
        <v>384199.08909999998</v>
      </c>
      <c r="AY14" s="20"/>
      <c r="AZ14" s="20" t="s">
        <v>25</v>
      </c>
      <c r="BA14" s="23">
        <f>+I15</f>
        <v>31914</v>
      </c>
      <c r="BB14" s="20">
        <f>+AW17*BA14^2+AX17*BA14+AY17</f>
        <v>382918.0968023467</v>
      </c>
      <c r="BD14" s="19">
        <f>+D16</f>
        <v>10831</v>
      </c>
      <c r="BE14" s="20">
        <f>+G16</f>
        <v>385755.8921</v>
      </c>
      <c r="BF14" s="20"/>
      <c r="BG14" s="20" t="s">
        <v>25</v>
      </c>
      <c r="BH14" s="23">
        <f>+I16</f>
        <v>9027</v>
      </c>
      <c r="BI14" s="20">
        <f>+BD17*BH14^2+BE17*BH14+BF17</f>
        <v>383385.71076173236</v>
      </c>
      <c r="BK14" s="19">
        <f>+D17</f>
        <v>31131</v>
      </c>
      <c r="BL14" s="20">
        <f>+G17</f>
        <v>381218.6753</v>
      </c>
      <c r="BM14" s="20"/>
      <c r="BN14" s="20" t="s">
        <v>25</v>
      </c>
      <c r="BO14" s="23">
        <f>+I17</f>
        <v>25953</v>
      </c>
      <c r="BP14" s="20">
        <f>+BK17*BO14^2+BL17*BO14+BM17</f>
        <v>382663.25553024956</v>
      </c>
    </row>
    <row r="15" spans="1:68" x14ac:dyDescent="0.25">
      <c r="A15" s="6" t="str">
        <f>+'Table 5-6 - inputs'!A7</f>
        <v>Health state cost- Cystectomy</v>
      </c>
      <c r="B15" s="28">
        <f>+'Table 5-6 - inputs'!B16</f>
        <v>30625</v>
      </c>
      <c r="C15" s="28">
        <f>+'Table 5-6 - inputs'!C16</f>
        <v>22969</v>
      </c>
      <c r="D15" s="28">
        <f>+'Table 5-6 - inputs'!D16</f>
        <v>38282</v>
      </c>
      <c r="E15" s="11">
        <f>+'Table 5-6 - inputs'!E16</f>
        <v>382000</v>
      </c>
      <c r="F15" s="11">
        <f>+'Table 5-6 - inputs'!F16</f>
        <v>381999.99424322223</v>
      </c>
      <c r="G15" s="11">
        <f>+'Table 5-6 - inputs'!G16</f>
        <v>384199.08909999998</v>
      </c>
      <c r="H15" s="10">
        <f>+'Table 5-6 - inputs'!H16</f>
        <v>30625</v>
      </c>
      <c r="I15" s="10">
        <f>+'Table 5-6 - inputs'!I16</f>
        <v>31914</v>
      </c>
      <c r="J15" s="11">
        <f>+BB13</f>
        <v>382732.9799101426</v>
      </c>
      <c r="K15" s="11">
        <f>+BB14</f>
        <v>382918.0968023467</v>
      </c>
      <c r="L15" s="12">
        <f t="shared" si="23"/>
        <v>1.1993959895515781E-3</v>
      </c>
      <c r="M15" s="14" t="str">
        <f t="shared" si="24"/>
        <v>NO</v>
      </c>
      <c r="N15" s="14" t="str">
        <f t="shared" si="25"/>
        <v>NO</v>
      </c>
      <c r="O15" s="6"/>
      <c r="P15" s="44">
        <f t="shared" si="31"/>
        <v>382000</v>
      </c>
      <c r="Q15" s="44">
        <f t="shared" si="26"/>
        <v>382732.9799101426</v>
      </c>
      <c r="R15" s="44">
        <f t="shared" si="27"/>
        <v>382918.0968023467</v>
      </c>
      <c r="S15" s="45">
        <f t="shared" si="28"/>
        <v>1.1993959895515781E-3</v>
      </c>
      <c r="T15" s="6" t="b">
        <f t="shared" si="19"/>
        <v>0</v>
      </c>
      <c r="U15" s="45" t="b">
        <f t="shared" si="20"/>
        <v>1</v>
      </c>
      <c r="V15" s="6" t="b">
        <f t="shared" si="21"/>
        <v>0</v>
      </c>
      <c r="W15" s="45" t="b">
        <f t="shared" si="22"/>
        <v>1</v>
      </c>
      <c r="X15" s="11" t="b">
        <f t="shared" si="29"/>
        <v>0</v>
      </c>
      <c r="Y15" s="11" t="b">
        <f t="shared" si="30"/>
        <v>0</v>
      </c>
      <c r="AB15" s="22" cm="1">
        <f t="array" ref="AB15:AD15">+LINEST(AC12:AC14,AB12:AB14^{1,2})</f>
        <v>1.4061257610909378E-2</v>
      </c>
      <c r="AC15" s="22">
        <v>-40.25458210523967</v>
      </c>
      <c r="AD15" s="22">
        <v>410127.16935663676</v>
      </c>
      <c r="AF15" s="21">
        <f>+OR(AF12=MIN(AF12:AF14,AB12:AB14),AF12=MAX(AF12:AF14,AB12:AB14))*1</f>
        <v>0</v>
      </c>
      <c r="AI15" s="22" cm="1">
        <f t="array" ref="AI15:AK15">+LINEST(AJ12:AJ14,AI12:AI14^{1,2})</f>
        <v>5.8165444775182271E-3</v>
      </c>
      <c r="AJ15" s="22">
        <v>-19.078277016943463</v>
      </c>
      <c r="AK15" s="22">
        <v>397451.52703599643</v>
      </c>
      <c r="AL15" s="22"/>
      <c r="AM15" s="21">
        <f>+OR(AM12=MIN(AM12:AM14,AI12:AI14),AM12=MAX(AM12:AM14,AI12:AI14))*1</f>
        <v>0</v>
      </c>
      <c r="AP15" s="22" cm="1">
        <f t="array" ref="AP15:AR15">+LINEST(AQ12:AQ14,AP12:AP14^{1,2})</f>
        <v>7.2645887654701642E-4</v>
      </c>
      <c r="AQ15" s="22">
        <v>-10.232986318842894</v>
      </c>
      <c r="AR15" s="22">
        <v>418035.57886784949</v>
      </c>
      <c r="AS15" s="22"/>
      <c r="AT15" s="21">
        <f>+OR(AT12=MIN(AT12:AT14,AP12:AP14),AT12=MAX(AT12:AT14,AP12:AP14))*1</f>
        <v>0</v>
      </c>
      <c r="AW15" s="22" cm="1">
        <f t="array" ref="AW15:AY15">+LINEST(AX12:AX14,AW12:AW14^{1,2})</f>
        <v>1.8755245757884792E-5</v>
      </c>
      <c r="AX15" s="22">
        <v>-1.0051678892178564</v>
      </c>
      <c r="AY15" s="22">
        <v>395192.89744140569</v>
      </c>
      <c r="AZ15" s="22"/>
      <c r="BA15" s="21">
        <f>+OR(BA12=MIN(BA12:BA14,AW12:AW14),BA12=MAX(BA12:BA14,AW12:AW14))*1</f>
        <v>0</v>
      </c>
      <c r="BD15" s="22" cm="1">
        <f t="array" ref="BD15:BF15">+LINEST(BE12:BE14,BD12:BD14^{1,2})</f>
        <v>3.2328919932964479E-4</v>
      </c>
      <c r="BE15" s="22">
        <v>-4.5688240232978856</v>
      </c>
      <c r="BF15" s="22">
        <v>397315.58775773796</v>
      </c>
      <c r="BG15" s="22"/>
      <c r="BH15" s="21">
        <f>+OR(BH12=MIN(BH12:BH14,BD12:BD14),BH12=MAX(BH12:BH14,BD12:BD14))*1</f>
        <v>0</v>
      </c>
      <c r="BK15" s="22" cm="1">
        <f t="array" ref="BK15:BM15">+LINEST(BL12:BL14,BK12:BK14^{1,2})</f>
        <v>4.1143280270120923E-5</v>
      </c>
      <c r="BL15" s="22">
        <v>-2.4309987015942669</v>
      </c>
      <c r="BM15" s="22">
        <v>417024.53175755835</v>
      </c>
      <c r="BN15" s="22"/>
      <c r="BO15" s="21">
        <f>+OR(BO12=MIN(BO12:BO14,BK12:BK14),BO12=MAX(BO12:BO14,BK12:BK14))*1</f>
        <v>0</v>
      </c>
    </row>
    <row r="16" spans="1:68" x14ac:dyDescent="0.25">
      <c r="A16" s="6" t="str">
        <f>+'Table 5-6 - inputs'!A8</f>
        <v>Health state cost- Post-cystectomy</v>
      </c>
      <c r="B16" s="28">
        <f>+'Table 5-6 - inputs'!B17</f>
        <v>8665</v>
      </c>
      <c r="C16" s="28">
        <f>+'Table 5-6 - inputs'!C17</f>
        <v>6498</v>
      </c>
      <c r="D16" s="28">
        <f>+'Table 5-6 - inputs'!D17</f>
        <v>10831</v>
      </c>
      <c r="E16" s="11">
        <f>+'Table 5-6 - inputs'!E17</f>
        <v>382000</v>
      </c>
      <c r="F16" s="11">
        <f>+'Table 5-6 - inputs'!F17</f>
        <v>381277.93369999999</v>
      </c>
      <c r="G16" s="11">
        <f>+'Table 5-6 - inputs'!G17</f>
        <v>385755.8921</v>
      </c>
      <c r="H16" s="10">
        <f>+'Table 5-6 - inputs'!H17</f>
        <v>8665</v>
      </c>
      <c r="I16" s="10">
        <f>+'Table 5-6 - inputs'!I17</f>
        <v>9027</v>
      </c>
      <c r="J16" s="11">
        <f>+BI13</f>
        <v>383011.61973354343</v>
      </c>
      <c r="K16" s="11">
        <f>+BI14</f>
        <v>383385.71076173236</v>
      </c>
      <c r="L16" s="12">
        <f t="shared" si="23"/>
        <v>1.8089670003959488E-3</v>
      </c>
      <c r="M16" s="14" t="str">
        <f t="shared" si="24"/>
        <v>NO</v>
      </c>
      <c r="N16" s="14" t="str">
        <f t="shared" si="25"/>
        <v>NO</v>
      </c>
      <c r="O16" s="6"/>
      <c r="P16" s="44">
        <f t="shared" si="31"/>
        <v>382000</v>
      </c>
      <c r="Q16" s="44">
        <f t="shared" si="26"/>
        <v>383011.61973354343</v>
      </c>
      <c r="R16" s="44">
        <f t="shared" si="27"/>
        <v>383385.71076173236</v>
      </c>
      <c r="S16" s="45">
        <f t="shared" si="28"/>
        <v>1.8089670003959488E-3</v>
      </c>
      <c r="T16" s="6" t="b">
        <f t="shared" si="19"/>
        <v>0</v>
      </c>
      <c r="U16" s="45" t="b">
        <f t="shared" si="20"/>
        <v>1</v>
      </c>
      <c r="V16" s="6" t="b">
        <f t="shared" si="21"/>
        <v>0</v>
      </c>
      <c r="W16" s="45" t="b">
        <f t="shared" si="22"/>
        <v>1</v>
      </c>
      <c r="X16" s="11" t="b">
        <f t="shared" si="29"/>
        <v>0</v>
      </c>
      <c r="Y16" s="11" t="b">
        <f t="shared" si="30"/>
        <v>0</v>
      </c>
      <c r="AC16" s="22" cm="1">
        <f t="array" ref="AC16:AD16">+LINEST(AC12:AC14,AB12:AB14^{1})</f>
        <v>-6.1982161716171724</v>
      </c>
      <c r="AD16" s="22">
        <v>390366.67311716167</v>
      </c>
      <c r="AF16" s="21">
        <f>+NOT(AF15)*1</f>
        <v>1</v>
      </c>
      <c r="AJ16" s="22" cm="1">
        <f t="array" ref="AJ16:AK16">+LINEST(AJ12:AJ14,AI12:AI14^{1})</f>
        <v>-2.1240192866252272</v>
      </c>
      <c r="AK16" s="22">
        <v>385612.0105296144</v>
      </c>
      <c r="AL16" s="22"/>
      <c r="AM16" s="21">
        <f>+NOT(AM15)*1</f>
        <v>1</v>
      </c>
      <c r="AQ16" s="22" cm="1">
        <f t="array" ref="AQ16:AR16">+LINEST(AQ12:AQ14,AP12:AP14^{1})</f>
        <v>-2.4180803194017636E-2</v>
      </c>
      <c r="AR16" s="22">
        <v>383664.14363711193</v>
      </c>
      <c r="AS16" s="22"/>
      <c r="AT16" s="21">
        <f>+NOT(AT15)*1</f>
        <v>1</v>
      </c>
      <c r="AX16" s="22" cm="1">
        <f t="array" ref="AX16:AY16">+LINEST(AX12:AX14,AW12:AW14^{1})</f>
        <v>0.14361279457261988</v>
      </c>
      <c r="AY16" s="22">
        <v>378334.8380763561</v>
      </c>
      <c r="AZ16" s="22"/>
      <c r="BA16" s="21">
        <f>+NOT(BA15)*1</f>
        <v>1</v>
      </c>
      <c r="BE16" s="22" cm="1">
        <f t="array" ref="BE16:BF16">+LINEST(BE12:BE14,BD12:BD14^{1})</f>
        <v>1.0334006303561352</v>
      </c>
      <c r="BF16" s="22">
        <v>374057.20327150752</v>
      </c>
      <c r="BG16" s="22"/>
      <c r="BH16" s="21">
        <f>+NOT(BH15)*1</f>
        <v>1</v>
      </c>
      <c r="BL16" s="22" cm="1">
        <f t="array" ref="BL16:BM16">+LINEST(BL12:BL14,BK12:BK14^{1})</f>
        <v>-0.38165191133954363</v>
      </c>
      <c r="BM16" s="22">
        <v>392568.26758524473</v>
      </c>
      <c r="BN16" s="22"/>
      <c r="BO16" s="21">
        <f>+NOT(BO15)*1</f>
        <v>1</v>
      </c>
    </row>
    <row r="17" spans="1:68" x14ac:dyDescent="0.25">
      <c r="A17" s="6" t="str">
        <f>+'Table 5-6 - inputs'!A9</f>
        <v>Health state cost- Metastatic disease</v>
      </c>
      <c r="B17" s="28">
        <f>+'Table 5-6 - inputs'!B18</f>
        <v>24905</v>
      </c>
      <c r="C17" s="28">
        <f>+'Table 5-6 - inputs'!C18</f>
        <v>18679</v>
      </c>
      <c r="D17" s="28">
        <f>+'Table 5-6 - inputs'!D18</f>
        <v>31131</v>
      </c>
      <c r="E17" s="11">
        <f>+'Table 5-6 - inputs'!E18</f>
        <v>382000</v>
      </c>
      <c r="F17" s="11">
        <f>+'Table 5-6 - inputs'!F18</f>
        <v>385971.0049</v>
      </c>
      <c r="G17" s="11">
        <f>+'Table 5-6 - inputs'!G18</f>
        <v>381218.6753</v>
      </c>
      <c r="H17" s="10">
        <f>+'Table 5-6 - inputs'!H18</f>
        <v>24905</v>
      </c>
      <c r="I17" s="10">
        <f>+'Table 5-6 - inputs'!I18</f>
        <v>25953</v>
      </c>
      <c r="J17" s="11">
        <f>+BP13</f>
        <v>383063.22673333337</v>
      </c>
      <c r="K17" s="11">
        <f>+BP14</f>
        <v>382663.25553024956</v>
      </c>
      <c r="L17" s="12">
        <f t="shared" si="23"/>
        <v>1.3892459204896469E-3</v>
      </c>
      <c r="M17" s="14" t="str">
        <f t="shared" si="24"/>
        <v>NO</v>
      </c>
      <c r="N17" s="14" t="str">
        <f t="shared" si="25"/>
        <v>NO</v>
      </c>
      <c r="O17" s="6"/>
      <c r="P17" s="44">
        <f t="shared" si="31"/>
        <v>382000</v>
      </c>
      <c r="Q17" s="44">
        <f t="shared" si="26"/>
        <v>382663.25553024956</v>
      </c>
      <c r="R17" s="44">
        <f t="shared" si="27"/>
        <v>383063.22673333337</v>
      </c>
      <c r="S17" s="45">
        <f t="shared" si="28"/>
        <v>1.3892459204896469E-3</v>
      </c>
      <c r="T17" s="6" t="b">
        <f t="shared" si="19"/>
        <v>0</v>
      </c>
      <c r="U17" s="45" t="b">
        <f t="shared" si="20"/>
        <v>1</v>
      </c>
      <c r="V17" s="6" t="b">
        <f t="shared" si="21"/>
        <v>0</v>
      </c>
      <c r="W17" s="45" t="b">
        <f t="shared" si="22"/>
        <v>1</v>
      </c>
      <c r="X17" s="11" t="b">
        <f t="shared" si="29"/>
        <v>0</v>
      </c>
      <c r="Y17" s="11" t="b">
        <f t="shared" si="30"/>
        <v>0</v>
      </c>
      <c r="AB17" s="22">
        <f>+SUMPRODUCT(AB15:AB16,AF15:AF16)</f>
        <v>0</v>
      </c>
      <c r="AC17" s="22">
        <f>+SUMPRODUCT(AC15:AC16,AF15:AF16)</f>
        <v>-6.1982161716171724</v>
      </c>
      <c r="AD17" s="22">
        <f>+SUMPRODUCT(AD15:AD16,AF15:AF16)</f>
        <v>390366.67311716167</v>
      </c>
      <c r="AI17" s="22">
        <f>+SUMPRODUCT(AI15:AI16,AM15:AM16)</f>
        <v>0</v>
      </c>
      <c r="AJ17" s="22">
        <f>+SUMPRODUCT(AJ15:AJ16,AM15:AM16)</f>
        <v>-2.1240192866252272</v>
      </c>
      <c r="AK17" s="22">
        <f>+SUMPRODUCT(AK15:AK16,AM15:AM16)</f>
        <v>385612.0105296144</v>
      </c>
      <c r="AP17" s="22">
        <f>+SUMPRODUCT(AP15:AP16,AT15:AT16)</f>
        <v>0</v>
      </c>
      <c r="AQ17" s="22">
        <f>+SUMPRODUCT(AQ15:AQ16,AT15:AT16)</f>
        <v>-2.4180803194017636E-2</v>
      </c>
      <c r="AR17" s="22">
        <f>+SUMPRODUCT(AR15:AR16,AT15:AT16)</f>
        <v>383664.14363711193</v>
      </c>
      <c r="AU17" s="3"/>
      <c r="AW17" s="22">
        <f>+SUMPRODUCT(AW15:AW16,BA15:BA16)</f>
        <v>0</v>
      </c>
      <c r="AX17" s="22">
        <f>+SUMPRODUCT(AX15:AX16,BA15:BA16)</f>
        <v>0.14361279457261988</v>
      </c>
      <c r="AY17" s="22">
        <f>+SUMPRODUCT(AY15:AY16,BA15:BA16)</f>
        <v>378334.8380763561</v>
      </c>
      <c r="BD17" s="22">
        <f>+SUMPRODUCT(BD15:BD16,BH15:BH16)</f>
        <v>0</v>
      </c>
      <c r="BE17" s="22">
        <f>+SUMPRODUCT(BE15:BE16,BH15:BH16)</f>
        <v>1.0334006303561352</v>
      </c>
      <c r="BF17" s="22">
        <f>+SUMPRODUCT(BF15:BF16,BH15:BH16)</f>
        <v>374057.20327150752</v>
      </c>
      <c r="BI17" s="3"/>
      <c r="BK17" s="22">
        <f>+SUMPRODUCT(BK15:BK16,BO15:BO16)</f>
        <v>0</v>
      </c>
      <c r="BL17" s="22">
        <f>+SUMPRODUCT(BL15:BL16,BO15:BO16)</f>
        <v>-0.38165191133954363</v>
      </c>
      <c r="BM17" s="22">
        <f>+SUMPRODUCT(BM15:BM16,BO15:BO16)</f>
        <v>392568.26758524473</v>
      </c>
    </row>
    <row r="18" spans="1:68" x14ac:dyDescent="0.25">
      <c r="A18" s="6"/>
      <c r="B18" s="10"/>
      <c r="C18" s="10"/>
      <c r="D18" s="10"/>
      <c r="E18" s="11"/>
      <c r="F18" s="11"/>
      <c r="G18" s="11"/>
      <c r="H18" s="10"/>
      <c r="I18" s="10"/>
      <c r="J18" s="11"/>
      <c r="K18" s="11"/>
      <c r="L18" s="12"/>
      <c r="M18" s="24"/>
      <c r="N18" s="24"/>
      <c r="P18" s="25"/>
      <c r="Q18" s="25"/>
      <c r="R18" s="25"/>
      <c r="S18" s="13"/>
      <c r="U18" s="13"/>
      <c r="W18" s="13"/>
      <c r="X18" s="11"/>
      <c r="Y18" s="11"/>
      <c r="AB18" s="22"/>
      <c r="AC18" s="22"/>
      <c r="AD18" s="22"/>
      <c r="AF18" s="21"/>
      <c r="AI18" s="22"/>
      <c r="AJ18" s="22"/>
      <c r="AK18" s="22"/>
      <c r="AL18" s="22"/>
      <c r="AM18" s="21"/>
      <c r="AP18" s="22"/>
      <c r="AQ18" s="22"/>
      <c r="AR18" s="22"/>
      <c r="AS18" s="22"/>
      <c r="AT18" s="21"/>
      <c r="AW18" s="22"/>
      <c r="AX18" s="22"/>
      <c r="AY18" s="22"/>
      <c r="AZ18" s="22"/>
      <c r="BA18" s="21"/>
      <c r="BD18" s="22"/>
      <c r="BE18" s="22"/>
      <c r="BF18" s="22"/>
      <c r="BG18" s="22"/>
      <c r="BH18" s="21"/>
      <c r="BK18" s="22"/>
      <c r="BL18" s="22"/>
      <c r="BM18" s="22"/>
      <c r="BN18" s="22"/>
      <c r="BO18" s="21"/>
    </row>
    <row r="19" spans="1:68" x14ac:dyDescent="0.25">
      <c r="A19" s="9" t="str">
        <f>+'Table 5-6 - inputs'!A21</f>
        <v>Analysis (c): NF for HG Ta/T1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P19" s="21"/>
      <c r="Q19" s="21"/>
      <c r="R19" s="21"/>
      <c r="AB19" s="74" t="str">
        <f>+A20</f>
        <v>Health state cost- Disease Free</v>
      </c>
      <c r="AC19" s="74"/>
      <c r="AD19" s="74"/>
      <c r="AE19" s="74"/>
      <c r="AF19" s="74"/>
      <c r="AG19" s="74"/>
      <c r="AI19" s="74" t="str">
        <f>+A21</f>
        <v>Health state cost- Persistent/ Recurrent NMIBC</v>
      </c>
      <c r="AJ19" s="74"/>
      <c r="AK19" s="74"/>
      <c r="AL19" s="74"/>
      <c r="AM19" s="74"/>
      <c r="AN19" s="74"/>
      <c r="AP19" s="74" t="str">
        <f>+A22</f>
        <v>Health state cost- MIBC</v>
      </c>
      <c r="AQ19" s="74"/>
      <c r="AR19" s="74"/>
      <c r="AS19" s="74"/>
      <c r="AT19" s="74"/>
      <c r="AU19" s="74"/>
      <c r="AW19" s="74" t="str">
        <f>+A23</f>
        <v>Health state cost- Cystectomy</v>
      </c>
      <c r="AX19" s="74"/>
      <c r="AY19" s="74"/>
      <c r="AZ19" s="74"/>
      <c r="BA19" s="74"/>
      <c r="BB19" s="74"/>
      <c r="BD19" s="74" t="str">
        <f>BD11</f>
        <v>Health state cost- Post-cystectomy</v>
      </c>
      <c r="BE19" s="74"/>
      <c r="BF19" s="74"/>
      <c r="BG19" s="74"/>
      <c r="BH19" s="74"/>
      <c r="BI19" s="74"/>
      <c r="BK19" s="74" t="str">
        <f>BK11</f>
        <v>Health state cost- Metastatic disease</v>
      </c>
      <c r="BL19" s="74"/>
      <c r="BM19" s="74"/>
      <c r="BN19" s="74"/>
      <c r="BO19" s="74"/>
      <c r="BP19" s="74"/>
    </row>
    <row r="20" spans="1:68" x14ac:dyDescent="0.25">
      <c r="A20" s="6" t="str">
        <f>+'Table 5-6 - inputs'!A22</f>
        <v>Health state cost- Disease Free</v>
      </c>
      <c r="B20" s="28">
        <f>+'Table 5-6 - inputs'!B22</f>
        <v>1211</v>
      </c>
      <c r="C20" s="28">
        <f>+'Table 5-6 - inputs'!C22</f>
        <v>908</v>
      </c>
      <c r="D20" s="28">
        <f>+'Table 5-6 - inputs'!D22</f>
        <v>1514</v>
      </c>
      <c r="E20" s="11">
        <f>+'Table 5-6 - inputs'!E22</f>
        <v>93000</v>
      </c>
      <c r="F20" s="11">
        <f>+'Table 5-6 - inputs'!F22</f>
        <v>91650.357260000004</v>
      </c>
      <c r="G20" s="11">
        <f>+'Table 5-6 - inputs'!G22</f>
        <v>95484.290439999997</v>
      </c>
      <c r="H20" s="10">
        <f>+'Table 5-6 - inputs'!H22</f>
        <v>1211</v>
      </c>
      <c r="I20" s="10">
        <f>+'Table 5-6 - inputs'!I22</f>
        <v>1682</v>
      </c>
      <c r="J20" s="11">
        <f>+AG21</f>
        <v>93000.000000000029</v>
      </c>
      <c r="K20" s="11">
        <f>+AG22</f>
        <v>97350.681775931793</v>
      </c>
      <c r="L20" s="12">
        <f t="shared" ref="L20:L25" si="32">+S20</f>
        <v>2.3390762236192426E-2</v>
      </c>
      <c r="M20" s="14" t="str">
        <f t="shared" ref="M20:N25" si="33">+IF(X20,"YES","NO")</f>
        <v>NO</v>
      </c>
      <c r="N20" s="14" t="str">
        <f t="shared" si="33"/>
        <v>NO</v>
      </c>
      <c r="O20" s="6"/>
      <c r="P20" s="44">
        <f>+MIN(E20,J20,K20)</f>
        <v>93000</v>
      </c>
      <c r="Q20" s="44">
        <f>+MEDIAN(E20,J20,K20)</f>
        <v>93000.000000000029</v>
      </c>
      <c r="R20" s="44">
        <f>+MAX(E20,J20,K20)</f>
        <v>97350.681775931793</v>
      </c>
      <c r="S20" s="45">
        <f t="shared" ref="S20:S25" si="34">+AVERAGE((Q20-P20)/Q20,(R20-Q20)/Q20)</f>
        <v>2.3390762236192426E-2</v>
      </c>
      <c r="T20" s="6" t="b">
        <f t="shared" ref="T20:T25" si="35">+AND(E20&lt;=Benchmark1,J20&lt;=Benchmark1,K20&lt;=Benchmark1)</f>
        <v>1</v>
      </c>
      <c r="U20" s="45" t="b">
        <f t="shared" ref="U20:U25" si="36">+AND(E20&gt;Benchmark1,J20&gt;Benchmark1,K20&gt;Benchmark1)</f>
        <v>0</v>
      </c>
      <c r="V20" s="6" t="b">
        <f t="shared" ref="V20:V25" si="37">+AND(E20&lt;=Benchmark2,J20&lt;=Benchmark2,K20&lt;=Benchmark2)</f>
        <v>1</v>
      </c>
      <c r="W20" s="45" t="b">
        <f t="shared" ref="W20:W25" si="38">+AND(E20&gt;Benchmark2,J20&gt;Benchmark2,K20&gt;Benchmark2)</f>
        <v>0</v>
      </c>
      <c r="X20" s="11" t="b">
        <f t="shared" ref="X20:X25" si="39">+AND(NOT(T20),NOT(U20))</f>
        <v>0</v>
      </c>
      <c r="Y20" s="11" t="b">
        <f t="shared" ref="Y20:Y25" si="40">+AND(NOT(V20),NOT(W20))</f>
        <v>0</v>
      </c>
      <c r="AB20" s="19">
        <f>+B20</f>
        <v>1211</v>
      </c>
      <c r="AC20" s="20">
        <f>+E20</f>
        <v>93000</v>
      </c>
      <c r="AD20" s="20"/>
      <c r="AE20" s="20" t="s">
        <v>23</v>
      </c>
      <c r="AF20" s="23">
        <f>-AC23/(2*AB23)</f>
        <v>699.0870275681167</v>
      </c>
      <c r="AG20" s="23"/>
      <c r="AI20" s="19">
        <f>+B21</f>
        <v>1458</v>
      </c>
      <c r="AJ20" s="20">
        <f>+E21</f>
        <v>93000</v>
      </c>
      <c r="AK20" s="20"/>
      <c r="AL20" s="20" t="s">
        <v>23</v>
      </c>
      <c r="AM20" s="23">
        <f>-AJ23/(2*AI23)</f>
        <v>1437.896152477741</v>
      </c>
      <c r="AN20" s="23"/>
      <c r="AP20" s="19">
        <f>+B22</f>
        <v>7027</v>
      </c>
      <c r="AQ20" s="20">
        <f>+E22</f>
        <v>93000</v>
      </c>
      <c r="AR20" s="20"/>
      <c r="AS20" s="20" t="s">
        <v>23</v>
      </c>
      <c r="AT20" s="23">
        <f>-AQ23/(2*AP23)</f>
        <v>6148.4811234499857</v>
      </c>
      <c r="AU20" s="23"/>
      <c r="AW20" s="19">
        <f>+B23</f>
        <v>30625</v>
      </c>
      <c r="AX20" s="20">
        <f>+E23</f>
        <v>93000</v>
      </c>
      <c r="AY20" s="20"/>
      <c r="AZ20" s="20" t="s">
        <v>23</v>
      </c>
      <c r="BA20" s="23">
        <f>-AX23/(2*AW23)</f>
        <v>36912.786355813441</v>
      </c>
      <c r="BB20" s="23"/>
      <c r="BD20" s="19">
        <f>+B24</f>
        <v>8665</v>
      </c>
      <c r="BE20" s="20">
        <f>+E24</f>
        <v>93000</v>
      </c>
      <c r="BF20" s="20"/>
      <c r="BG20" s="20" t="s">
        <v>23</v>
      </c>
      <c r="BH20" s="23">
        <f>-BE23/(2*BD23)</f>
        <v>11990.542322730464</v>
      </c>
      <c r="BI20" s="23"/>
      <c r="BK20" s="19">
        <f>+B25</f>
        <v>24905</v>
      </c>
      <c r="BL20" s="20">
        <f>+E25</f>
        <v>93000</v>
      </c>
      <c r="BM20" s="20"/>
      <c r="BN20" s="20" t="s">
        <v>23</v>
      </c>
      <c r="BO20" s="23">
        <f>-BL23/(2*BK23)</f>
        <v>28018.073675379957</v>
      </c>
      <c r="BP20" s="23"/>
    </row>
    <row r="21" spans="1:68" x14ac:dyDescent="0.25">
      <c r="A21" s="6" t="str">
        <f>+'Table 5-6 - inputs'!A23</f>
        <v>Health state cost- Persistent/ Recurrent NMIBC</v>
      </c>
      <c r="B21" s="28">
        <f>+'Table 5-6 - inputs'!B23</f>
        <v>1458</v>
      </c>
      <c r="C21" s="28">
        <f>+'Table 5-6 - inputs'!C23</f>
        <v>1093</v>
      </c>
      <c r="D21" s="28">
        <f>+'Table 5-6 - inputs'!D23</f>
        <v>1822</v>
      </c>
      <c r="E21" s="11">
        <f>+'Table 5-6 - inputs'!E23</f>
        <v>93000</v>
      </c>
      <c r="F21" s="11">
        <f>+'Table 5-6 - inputs'!F23</f>
        <v>93831.890799999994</v>
      </c>
      <c r="G21" s="11">
        <f>+'Table 5-6 - inputs'!G23</f>
        <v>94032.461072967082</v>
      </c>
      <c r="H21" s="10">
        <f>+'Table 5-6 - inputs'!H23</f>
        <v>1458</v>
      </c>
      <c r="I21" s="10">
        <f>+'Table 5-6 - inputs'!I23</f>
        <v>2025</v>
      </c>
      <c r="J21" s="11">
        <f>+AN21</f>
        <v>93621.541944705401</v>
      </c>
      <c r="K21" s="11">
        <f>+AN22</f>
        <v>93776.87791625518</v>
      </c>
      <c r="L21" s="12">
        <f t="shared" si="32"/>
        <v>4.1490339729397877E-3</v>
      </c>
      <c r="M21" s="14" t="str">
        <f t="shared" si="33"/>
        <v>NO</v>
      </c>
      <c r="N21" s="14" t="str">
        <f t="shared" si="33"/>
        <v>NO</v>
      </c>
      <c r="O21" s="6"/>
      <c r="P21" s="44">
        <f t="shared" ref="P21:P25" si="41">+MIN(E21,J21,K21)</f>
        <v>93000</v>
      </c>
      <c r="Q21" s="44">
        <f t="shared" ref="Q21:Q25" si="42">+MEDIAN(E21,J21,K21)</f>
        <v>93621.541944705401</v>
      </c>
      <c r="R21" s="44">
        <f t="shared" ref="R21:R25" si="43">+MAX(E21,J21,K21)</f>
        <v>93776.87791625518</v>
      </c>
      <c r="S21" s="45">
        <f t="shared" si="34"/>
        <v>4.1490339729397877E-3</v>
      </c>
      <c r="T21" s="6" t="b">
        <f t="shared" si="35"/>
        <v>1</v>
      </c>
      <c r="U21" s="45" t="b">
        <f t="shared" si="36"/>
        <v>0</v>
      </c>
      <c r="V21" s="6" t="b">
        <f t="shared" si="37"/>
        <v>1</v>
      </c>
      <c r="W21" s="45" t="b">
        <f t="shared" si="38"/>
        <v>0</v>
      </c>
      <c r="X21" s="11" t="b">
        <f t="shared" si="39"/>
        <v>0</v>
      </c>
      <c r="Y21" s="11" t="b">
        <f t="shared" si="40"/>
        <v>0</v>
      </c>
      <c r="AB21" s="19">
        <f>+C20</f>
        <v>908</v>
      </c>
      <c r="AC21" s="20">
        <f>+F20</f>
        <v>91650.357260000004</v>
      </c>
      <c r="AD21" s="20"/>
      <c r="AE21" s="20" t="s">
        <v>24</v>
      </c>
      <c r="AF21" s="23">
        <f>+H20</f>
        <v>1211</v>
      </c>
      <c r="AG21" s="20">
        <f>+AB25*AF21^2+AC25*AF21+AD25</f>
        <v>93000.000000000029</v>
      </c>
      <c r="AI21" s="19">
        <f>+C21</f>
        <v>1093</v>
      </c>
      <c r="AJ21" s="20">
        <f>+F21</f>
        <v>93831.890799999994</v>
      </c>
      <c r="AK21" s="20"/>
      <c r="AL21" s="20" t="s">
        <v>24</v>
      </c>
      <c r="AM21" s="23">
        <f>+H21</f>
        <v>1458</v>
      </c>
      <c r="AN21" s="20">
        <f>+AI25*AM21^2+AJ25*AM21+AK25</f>
        <v>93621.541944705401</v>
      </c>
      <c r="AP21" s="19">
        <f>+C22</f>
        <v>5270</v>
      </c>
      <c r="AQ21" s="20">
        <f>+F22</f>
        <v>92999.988898290962</v>
      </c>
      <c r="AR21" s="20"/>
      <c r="AS21" s="20" t="s">
        <v>24</v>
      </c>
      <c r="AT21" s="23">
        <f>+H22</f>
        <v>7027</v>
      </c>
      <c r="AU21" s="20">
        <f>+AP25*AT21^2+AQ25*AT21+AR25</f>
        <v>93344.247236736439</v>
      </c>
      <c r="AW21" s="19">
        <f>+C23</f>
        <v>22969</v>
      </c>
      <c r="AX21" s="20">
        <f>+F23</f>
        <v>94542.240690000006</v>
      </c>
      <c r="AY21" s="20"/>
      <c r="AZ21" s="20" t="s">
        <v>24</v>
      </c>
      <c r="BA21" s="23">
        <f>+H23</f>
        <v>30625</v>
      </c>
      <c r="BB21" s="20">
        <f>+AW25*BA21^2+AX25*BA21+AY25</f>
        <v>93389.125687026026</v>
      </c>
      <c r="BD21" s="19">
        <f>+C24</f>
        <v>6498</v>
      </c>
      <c r="BE21" s="20">
        <f>+F24</f>
        <v>95746.806479999999</v>
      </c>
      <c r="BF21" s="20"/>
      <c r="BG21" s="20" t="s">
        <v>24</v>
      </c>
      <c r="BH21" s="23">
        <f>+H24</f>
        <v>8665</v>
      </c>
      <c r="BI21" s="20">
        <f>+BD25*BH21^2+BE25*BH21+BF25</f>
        <v>93000</v>
      </c>
      <c r="BK21" s="19">
        <f>+C25</f>
        <v>18679</v>
      </c>
      <c r="BL21" s="20">
        <f>+F25</f>
        <v>96380.273669999995</v>
      </c>
      <c r="BM21" s="20"/>
      <c r="BN21" s="20" t="s">
        <v>24</v>
      </c>
      <c r="BO21" s="23">
        <f>H25</f>
        <v>24905</v>
      </c>
      <c r="BP21" s="20">
        <f>+BK25*BO21^2+BL25*BO21+BM25</f>
        <v>94126.744556666657</v>
      </c>
    </row>
    <row r="22" spans="1:68" x14ac:dyDescent="0.25">
      <c r="A22" s="6" t="str">
        <f>+'Table 5-6 - inputs'!A24</f>
        <v>Health state cost- MIBC</v>
      </c>
      <c r="B22" s="28">
        <f>+'Table 5-6 - inputs'!B24</f>
        <v>7027</v>
      </c>
      <c r="C22" s="28">
        <f>+'Table 5-6 - inputs'!C24</f>
        <v>5270</v>
      </c>
      <c r="D22" s="28">
        <f>+'Table 5-6 - inputs'!D24</f>
        <v>8783</v>
      </c>
      <c r="E22" s="11">
        <f>+'Table 5-6 - inputs'!E24</f>
        <v>93000</v>
      </c>
      <c r="F22" s="11">
        <f>+'Table 5-6 - inputs'!F24</f>
        <v>92999.988898290962</v>
      </c>
      <c r="G22" s="11">
        <f>+'Table 5-6 - inputs'!G24</f>
        <v>94032.458939999997</v>
      </c>
      <c r="H22" s="10">
        <f>+'Table 5-6 - inputs'!H24</f>
        <v>7027</v>
      </c>
      <c r="I22" s="10">
        <f>+'Table 5-6 - inputs'!I24</f>
        <v>7300</v>
      </c>
      <c r="J22" s="11">
        <f>+AU21</f>
        <v>93344.247236736439</v>
      </c>
      <c r="K22" s="11">
        <f>+AU22</f>
        <v>93424.474270458726</v>
      </c>
      <c r="L22" s="12">
        <f t="shared" si="32"/>
        <v>2.2737034312472907E-3</v>
      </c>
      <c r="M22" s="14" t="str">
        <f t="shared" si="33"/>
        <v>NO</v>
      </c>
      <c r="N22" s="14" t="str">
        <f t="shared" si="33"/>
        <v>NO</v>
      </c>
      <c r="O22" s="6"/>
      <c r="P22" s="44">
        <f t="shared" si="41"/>
        <v>93000</v>
      </c>
      <c r="Q22" s="44">
        <f t="shared" si="42"/>
        <v>93344.247236736439</v>
      </c>
      <c r="R22" s="44">
        <f t="shared" si="43"/>
        <v>93424.474270458726</v>
      </c>
      <c r="S22" s="45">
        <f t="shared" si="34"/>
        <v>2.2737034312472907E-3</v>
      </c>
      <c r="T22" s="6" t="b">
        <f t="shared" si="35"/>
        <v>1</v>
      </c>
      <c r="U22" s="45" t="b">
        <f t="shared" si="36"/>
        <v>0</v>
      </c>
      <c r="V22" s="6" t="b">
        <f t="shared" si="37"/>
        <v>1</v>
      </c>
      <c r="W22" s="45" t="b">
        <f t="shared" si="38"/>
        <v>0</v>
      </c>
      <c r="X22" s="11" t="b">
        <f t="shared" si="39"/>
        <v>0</v>
      </c>
      <c r="Y22" s="11" t="b">
        <f t="shared" si="40"/>
        <v>0</v>
      </c>
      <c r="AB22" s="19">
        <f>+D20</f>
        <v>1514</v>
      </c>
      <c r="AC22" s="20">
        <f>+G20</f>
        <v>95484.290439999997</v>
      </c>
      <c r="AD22" s="20"/>
      <c r="AE22" s="20" t="s">
        <v>25</v>
      </c>
      <c r="AF22" s="23">
        <f>+I20</f>
        <v>1682</v>
      </c>
      <c r="AG22" s="20">
        <f>+AB25*AF22^2+AC25*AF22+AD25</f>
        <v>97350.681775931793</v>
      </c>
      <c r="AI22" s="19">
        <f>+D21</f>
        <v>1822</v>
      </c>
      <c r="AJ22" s="20">
        <f>+G21</f>
        <v>94032.461072967082</v>
      </c>
      <c r="AK22" s="20"/>
      <c r="AL22" s="20" t="s">
        <v>25</v>
      </c>
      <c r="AM22" s="23">
        <f>+I21</f>
        <v>2025</v>
      </c>
      <c r="AN22" s="20">
        <f>+AI25*AM22^2+AJ25*AM22+AK25</f>
        <v>93776.87791625518</v>
      </c>
      <c r="AP22" s="19">
        <f>+D22</f>
        <v>8783</v>
      </c>
      <c r="AQ22" s="20">
        <f>+G22</f>
        <v>94032.458939999997</v>
      </c>
      <c r="AR22" s="20"/>
      <c r="AS22" s="20" t="s">
        <v>25</v>
      </c>
      <c r="AT22" s="23">
        <f>+I22</f>
        <v>7300</v>
      </c>
      <c r="AU22" s="20">
        <f>+AP25*AT22^2+AQ25*AT22+AR25</f>
        <v>93424.474270458726</v>
      </c>
      <c r="AW22" s="19">
        <f>+D23</f>
        <v>38282</v>
      </c>
      <c r="AX22" s="20">
        <f>+G23</f>
        <v>92625.011169999998</v>
      </c>
      <c r="AY22" s="20"/>
      <c r="AZ22" s="20" t="s">
        <v>25</v>
      </c>
      <c r="BA22" s="23">
        <f>+I23</f>
        <v>31914</v>
      </c>
      <c r="BB22" s="20">
        <f>+AW25*BA22^2+AX25*BA22+AY25</f>
        <v>93227.741497389245</v>
      </c>
      <c r="BD22" s="19">
        <f>+D24</f>
        <v>10831</v>
      </c>
      <c r="BE22" s="20">
        <f>+G24</f>
        <v>91603.554520000005</v>
      </c>
      <c r="BF22" s="20"/>
      <c r="BG22" s="20" t="s">
        <v>25</v>
      </c>
      <c r="BH22" s="23">
        <f>+I24</f>
        <v>9027</v>
      </c>
      <c r="BI22" s="20">
        <f>+BD25*BH22^2+BE25*BH22+BF25</f>
        <v>92672.741527370439</v>
      </c>
      <c r="BK22" s="19">
        <f>+D25</f>
        <v>31131</v>
      </c>
      <c r="BL22" s="20">
        <f>+G25</f>
        <v>92999.96</v>
      </c>
      <c r="BM22" s="20"/>
      <c r="BN22" s="20" t="s">
        <v>25</v>
      </c>
      <c r="BO22" s="23">
        <f>+I25</f>
        <v>25953</v>
      </c>
      <c r="BP22" s="20">
        <f>+BK25*BO22^2+BL25*BO22+BM25</f>
        <v>93842.246586367924</v>
      </c>
    </row>
    <row r="23" spans="1:68" x14ac:dyDescent="0.25">
      <c r="A23" s="6" t="str">
        <f>+'Table 5-6 - inputs'!A25</f>
        <v>Health state cost- Cystectomy</v>
      </c>
      <c r="B23" s="28">
        <f>+'Table 5-6 - inputs'!B25</f>
        <v>30625</v>
      </c>
      <c r="C23" s="28">
        <f>+'Table 5-6 - inputs'!C25</f>
        <v>22969</v>
      </c>
      <c r="D23" s="28">
        <f>+'Table 5-6 - inputs'!D25</f>
        <v>38282</v>
      </c>
      <c r="E23" s="11">
        <f>+'Table 5-6 - inputs'!E25</f>
        <v>93000</v>
      </c>
      <c r="F23" s="11">
        <f>+'Table 5-6 - inputs'!F25</f>
        <v>94542.240690000006</v>
      </c>
      <c r="G23" s="11">
        <f>+'Table 5-6 - inputs'!G25</f>
        <v>92625.011169999998</v>
      </c>
      <c r="H23" s="10">
        <f>+'Table 5-6 - inputs'!H25</f>
        <v>30625</v>
      </c>
      <c r="I23" s="10">
        <f>+'Table 5-6 - inputs'!I25</f>
        <v>31914</v>
      </c>
      <c r="J23" s="11">
        <f>+BB21</f>
        <v>93389.125687026026</v>
      </c>
      <c r="K23" s="11">
        <f>+BB22</f>
        <v>93227.741497389245</v>
      </c>
      <c r="L23" s="12">
        <f t="shared" si="32"/>
        <v>2.086962961753841E-3</v>
      </c>
      <c r="M23" s="14" t="str">
        <f t="shared" si="33"/>
        <v>NO</v>
      </c>
      <c r="N23" s="14" t="str">
        <f t="shared" si="33"/>
        <v>NO</v>
      </c>
      <c r="O23" s="6"/>
      <c r="P23" s="44">
        <f t="shared" si="41"/>
        <v>93000</v>
      </c>
      <c r="Q23" s="44">
        <f t="shared" si="42"/>
        <v>93227.741497389245</v>
      </c>
      <c r="R23" s="44">
        <f t="shared" si="43"/>
        <v>93389.125687026026</v>
      </c>
      <c r="S23" s="45">
        <f t="shared" si="34"/>
        <v>2.086962961753841E-3</v>
      </c>
      <c r="T23" s="6" t="b">
        <f t="shared" si="35"/>
        <v>1</v>
      </c>
      <c r="U23" s="45" t="b">
        <f t="shared" si="36"/>
        <v>0</v>
      </c>
      <c r="V23" s="6" t="b">
        <f t="shared" si="37"/>
        <v>1</v>
      </c>
      <c r="W23" s="45" t="b">
        <f t="shared" si="38"/>
        <v>0</v>
      </c>
      <c r="X23" s="11" t="b">
        <f t="shared" si="39"/>
        <v>0</v>
      </c>
      <c r="Y23" s="11" t="b">
        <f t="shared" si="40"/>
        <v>0</v>
      </c>
      <c r="AB23" s="22" cm="1">
        <f t="array" ref="AB23:AD23">+LINEST(AC20:AC22,AB20:AB22^{1,2})</f>
        <v>6.1793925432147099E-3</v>
      </c>
      <c r="AC23" s="22">
        <v>-8.6398663304251127</v>
      </c>
      <c r="AD23" s="22">
        <v>94400.669194277056</v>
      </c>
      <c r="AF23" s="21">
        <f>+OR(AF20=MIN(AF20:AF22,AB20:AB22),AF20=MAX(AF20:AF22,AB20:AB22))*1</f>
        <v>1</v>
      </c>
      <c r="AH23" s="4"/>
      <c r="AI23" s="22" cm="1">
        <f t="array" ref="AI23:AK23">+LINEST(AJ20:AJ22,AI20:AI22^{1,2})</f>
        <v>7.0172625457512443E-3</v>
      </c>
      <c r="AJ23" s="22">
        <v>-20.180189630923746</v>
      </c>
      <c r="AK23" s="22">
        <v>107505.67238358047</v>
      </c>
      <c r="AL23" s="22"/>
      <c r="AM23" s="21">
        <f>+OR(AM20=MIN(AM20:AM22,AI20:AI22),AM20=MAX(AM20:AM22,AI20:AI22))*1</f>
        <v>0</v>
      </c>
      <c r="AP23" s="22" cm="1">
        <f t="array" ref="AP23:AR23">+LINEST(AQ20:AQ22,AP20:AP22^{1,2})</f>
        <v>1.6736531552014717E-4</v>
      </c>
      <c r="AQ23" s="22">
        <v>-2.0580849663917515</v>
      </c>
      <c r="AR23" s="22">
        <v>99197.876499765989</v>
      </c>
      <c r="AS23" s="22"/>
      <c r="AT23" s="21">
        <f>+OR(AT20=MIN(AT20:AT22,AP20:AP22),AT20=MAX(AT20:AT22,AP20:AP22))*1</f>
        <v>0</v>
      </c>
      <c r="AW23" s="22" cm="1">
        <f t="array" ref="AW23:AY23">+LINEST(AX20:AX22,AW20:AW22^{1,2})</f>
        <v>9.9568184473972311E-6</v>
      </c>
      <c r="AX23" s="22">
        <v>-0.73506782426479211</v>
      </c>
      <c r="AY23" s="22">
        <v>106173.04544146833</v>
      </c>
      <c r="AZ23" s="22"/>
      <c r="BA23" s="21">
        <f>+OR(BA20=MIN(BA20:BA22,AW20:AW22),BA20=MAX(BA20:BA22,AW20:AW22))*1</f>
        <v>0</v>
      </c>
      <c r="BD23" s="22" cm="1">
        <f t="array" ref="BD23:BF23">+LINEST(BE20:BE22,BD20:BD22^{1,2})</f>
        <v>1.4374570877629761E-4</v>
      </c>
      <c r="BE23" s="22">
        <v>-3.4471780095861688</v>
      </c>
      <c r="BF23" s="22">
        <v>112077.0498039377</v>
      </c>
      <c r="BG23" s="22"/>
      <c r="BH23" s="21">
        <f>+OR(BH20=MIN(BH20:BH22,BD20:BD22),BH20=MAX(BH20:BH22,BD20:BD22))*1</f>
        <v>1</v>
      </c>
      <c r="BK23" s="22" cm="1">
        <f t="array" ref="BK23:BM23">+LINEST(BL20:BL22,BK20:BK22^{1,2})</f>
        <v>4.3601205306823332E-5</v>
      </c>
      <c r="BL23" s="22">
        <v>-2.4432435652438875</v>
      </c>
      <c r="BM23" s="22">
        <v>126804.93989996395</v>
      </c>
      <c r="BN23" s="22"/>
      <c r="BO23" s="21">
        <f>+OR(BO20=MIN(BO20:BO22,BK20:BK22),BO20=MAX(BO20:BO22,BK20:BK22))*1</f>
        <v>0</v>
      </c>
    </row>
    <row r="24" spans="1:68" x14ac:dyDescent="0.25">
      <c r="A24" s="6" t="str">
        <f>+'Table 5-6 - inputs'!A26</f>
        <v>Health state cost- Post-cystectomy</v>
      </c>
      <c r="B24" s="28">
        <f>+'Table 5-6 - inputs'!B26</f>
        <v>8665</v>
      </c>
      <c r="C24" s="28">
        <f>+'Table 5-6 - inputs'!C26</f>
        <v>6498</v>
      </c>
      <c r="D24" s="28">
        <f>+'Table 5-6 - inputs'!D26</f>
        <v>10831</v>
      </c>
      <c r="E24" s="11">
        <f>+'Table 5-6 - inputs'!E26</f>
        <v>93000</v>
      </c>
      <c r="F24" s="11">
        <f>+'Table 5-6 - inputs'!F26</f>
        <v>95746.806479999999</v>
      </c>
      <c r="G24" s="11">
        <f>+'Table 5-6 - inputs'!G26</f>
        <v>91603.554520000005</v>
      </c>
      <c r="H24" s="10">
        <f>+'Table 5-6 - inputs'!H26</f>
        <v>8665</v>
      </c>
      <c r="I24" s="10">
        <f>+'Table 5-6 - inputs'!I26</f>
        <v>9027</v>
      </c>
      <c r="J24" s="11">
        <f>+BI21</f>
        <v>93000</v>
      </c>
      <c r="K24" s="11">
        <f>+BI22</f>
        <v>92672.741527370439</v>
      </c>
      <c r="L24" s="12">
        <f t="shared" si="32"/>
        <v>1.7594541539223702E-3</v>
      </c>
      <c r="M24" s="14" t="str">
        <f t="shared" si="33"/>
        <v>NO</v>
      </c>
      <c r="N24" s="14" t="str">
        <f t="shared" si="33"/>
        <v>NO</v>
      </c>
      <c r="O24" s="6"/>
      <c r="P24" s="44">
        <f t="shared" si="41"/>
        <v>92672.741527370439</v>
      </c>
      <c r="Q24" s="44">
        <f t="shared" si="42"/>
        <v>93000</v>
      </c>
      <c r="R24" s="44">
        <f t="shared" si="43"/>
        <v>93000</v>
      </c>
      <c r="S24" s="45">
        <f t="shared" si="34"/>
        <v>1.7594541539223702E-3</v>
      </c>
      <c r="T24" s="6" t="b">
        <f t="shared" si="35"/>
        <v>1</v>
      </c>
      <c r="U24" s="45" t="b">
        <f t="shared" si="36"/>
        <v>0</v>
      </c>
      <c r="V24" s="6" t="b">
        <f t="shared" si="37"/>
        <v>1</v>
      </c>
      <c r="W24" s="45" t="b">
        <f t="shared" si="38"/>
        <v>0</v>
      </c>
      <c r="X24" s="11" t="b">
        <f t="shared" si="39"/>
        <v>0</v>
      </c>
      <c r="Y24" s="11" t="b">
        <f t="shared" si="40"/>
        <v>0</v>
      </c>
      <c r="AC24" s="22" cm="1">
        <f t="array" ref="AC24:AD24">+LINEST(AC20:AC22,AB20:AB22^{1})</f>
        <v>6.3266224092409127</v>
      </c>
      <c r="AD24" s="22">
        <v>85716.676162409261</v>
      </c>
      <c r="AF24" s="21">
        <f>+NOT(AF23)*1</f>
        <v>0</v>
      </c>
      <c r="AJ24" s="22" cm="1">
        <f t="array" ref="AJ24:AK24">+LINEST(AJ20:AJ22,AI20:AI22^{1})</f>
        <v>0.27396114911777969</v>
      </c>
      <c r="AK24" s="22">
        <v>93222.106589291681</v>
      </c>
      <c r="AL24" s="22"/>
      <c r="AM24" s="21">
        <f>+NOT(AM23)*1</f>
        <v>1</v>
      </c>
      <c r="AQ24" s="22" cm="1">
        <f t="array" ref="AQ24:AR24">+LINEST(AQ20:AQ22,AP20:AP22^{1})</f>
        <v>0.2938719183966369</v>
      </c>
      <c r="AR24" s="22">
        <v>91279.209266163278</v>
      </c>
      <c r="AS24" s="22"/>
      <c r="AT24" s="21">
        <f>+NOT(AT23)*1</f>
        <v>1</v>
      </c>
      <c r="AX24" s="22" cm="1">
        <f t="array" ref="AX24:AY24">+LINEST(AX20:AX22,AW20:AW22^{1})</f>
        <v>-0.12520107807353262</v>
      </c>
      <c r="AY24" s="22">
        <v>97223.408703027962</v>
      </c>
      <c r="AZ24" s="22"/>
      <c r="BA24" s="21">
        <f>+NOT(BA23)*1</f>
        <v>1</v>
      </c>
      <c r="BE24" s="22" cm="1">
        <f t="array" ref="BE24:BF24">+LINEST(BE20:BE22,BD20:BD22^{1})</f>
        <v>-0.95623257981813448</v>
      </c>
      <c r="BF24" s="22">
        <v>101735.55689326421</v>
      </c>
      <c r="BG24" s="22"/>
      <c r="BH24" s="21">
        <f>+NOT(BH23)*1</f>
        <v>0</v>
      </c>
      <c r="BL24" s="22" cm="1">
        <f t="array" ref="BL24:BM24">+LINEST(BL20:BL22,BK20:BK22^{1})</f>
        <v>-0.27146752891101739</v>
      </c>
      <c r="BM24" s="22">
        <v>100887.64336419555</v>
      </c>
      <c r="BN24" s="22"/>
      <c r="BO24" s="21">
        <f>+NOT(BO23)*1</f>
        <v>1</v>
      </c>
    </row>
    <row r="25" spans="1:68" x14ac:dyDescent="0.25">
      <c r="A25" s="6" t="str">
        <f>+'Table 5-6 - inputs'!A27</f>
        <v>Health state cost- Metastatic disease</v>
      </c>
      <c r="B25" s="28">
        <f>+'Table 5-6 - inputs'!B27</f>
        <v>24905</v>
      </c>
      <c r="C25" s="28">
        <f>+'Table 5-6 - inputs'!C27</f>
        <v>18679</v>
      </c>
      <c r="D25" s="28">
        <f>+'Table 5-6 - inputs'!D27</f>
        <v>31131</v>
      </c>
      <c r="E25" s="11">
        <f>+'Table 5-6 - inputs'!E27</f>
        <v>93000</v>
      </c>
      <c r="F25" s="11">
        <f>+'Table 5-6 - inputs'!F27</f>
        <v>96380.273669999995</v>
      </c>
      <c r="G25" s="11">
        <f>+'Table 5-6 - inputs'!G27</f>
        <v>92999.96</v>
      </c>
      <c r="H25" s="10">
        <f>+'Table 5-6 - inputs'!H27</f>
        <v>24905</v>
      </c>
      <c r="I25" s="10">
        <f>+'Table 5-6 - inputs'!I27</f>
        <v>25953</v>
      </c>
      <c r="J25" s="11">
        <f>+BP21</f>
        <v>94126.744556666657</v>
      </c>
      <c r="K25" s="11">
        <f>+BP22</f>
        <v>93842.246586367924</v>
      </c>
      <c r="L25" s="12">
        <f t="shared" si="32"/>
        <v>6.0033971779951774E-3</v>
      </c>
      <c r="M25" s="14" t="str">
        <f t="shared" si="33"/>
        <v>NO</v>
      </c>
      <c r="N25" s="14" t="str">
        <f t="shared" si="33"/>
        <v>NO</v>
      </c>
      <c r="O25" s="6"/>
      <c r="P25" s="44">
        <f t="shared" si="41"/>
        <v>93000</v>
      </c>
      <c r="Q25" s="44">
        <f t="shared" si="42"/>
        <v>93842.246586367924</v>
      </c>
      <c r="R25" s="44">
        <f t="shared" si="43"/>
        <v>94126.744556666657</v>
      </c>
      <c r="S25" s="45">
        <f t="shared" si="34"/>
        <v>6.0033971779951774E-3</v>
      </c>
      <c r="T25" s="6" t="b">
        <f t="shared" si="35"/>
        <v>1</v>
      </c>
      <c r="U25" s="45" t="b">
        <f t="shared" si="36"/>
        <v>0</v>
      </c>
      <c r="V25" s="6" t="b">
        <f t="shared" si="37"/>
        <v>1</v>
      </c>
      <c r="W25" s="45" t="b">
        <f t="shared" si="38"/>
        <v>0</v>
      </c>
      <c r="X25" s="11" t="b">
        <f t="shared" si="39"/>
        <v>0</v>
      </c>
      <c r="Y25" s="11" t="b">
        <f t="shared" si="40"/>
        <v>0</v>
      </c>
      <c r="AB25" s="22">
        <f>+SUMPRODUCT(AB23:AB24,AF23:AF24)</f>
        <v>6.1793925432147099E-3</v>
      </c>
      <c r="AC25" s="22">
        <f>+SUMPRODUCT(AC23:AC24,AF23:AF24)</f>
        <v>-8.6398663304251127</v>
      </c>
      <c r="AD25" s="22">
        <f>+SUMPRODUCT(AD23:AD24,AF23:AF24)</f>
        <v>94400.669194277056</v>
      </c>
      <c r="AI25" s="22">
        <f>+SUMPRODUCT(AI23:AI24,AM23:AM24)</f>
        <v>0</v>
      </c>
      <c r="AJ25" s="22">
        <f>+SUMPRODUCT(AJ23:AJ24,AM23:AM24)</f>
        <v>0.27396114911777969</v>
      </c>
      <c r="AK25" s="22">
        <f>+SUMPRODUCT(AK23:AK24,AM23:AM24)</f>
        <v>93222.106589291681</v>
      </c>
      <c r="AP25" s="22">
        <f>+SUMPRODUCT(AP23:AP24,AT23:AT24)</f>
        <v>0</v>
      </c>
      <c r="AQ25" s="22">
        <f>+SUMPRODUCT(AQ23:AQ24,AT23:AT24)</f>
        <v>0.2938719183966369</v>
      </c>
      <c r="AR25" s="22">
        <f>+SUMPRODUCT(AR23:AR24,AT23:AT24)</f>
        <v>91279.209266163278</v>
      </c>
      <c r="AS25" s="22"/>
      <c r="AT25" s="21"/>
      <c r="AW25" s="22">
        <f>+SUMPRODUCT(AW23:AW24,BA23:BA24)</f>
        <v>0</v>
      </c>
      <c r="AX25" s="22">
        <f>+SUMPRODUCT(AX23:AX24,BA23:BA24)</f>
        <v>-0.12520107807353262</v>
      </c>
      <c r="AY25" s="22">
        <f>+SUMPRODUCT(AY23:AY24,BA23:BA24)</f>
        <v>97223.408703027962</v>
      </c>
      <c r="AZ25" s="22"/>
      <c r="BA25" s="21"/>
      <c r="BD25" s="22">
        <f>+SUMPRODUCT(BD23:BD24,BH23:BH24)</f>
        <v>1.4374570877629761E-4</v>
      </c>
      <c r="BE25" s="22">
        <f>+SUMPRODUCT(BE23:BE24,BH23:BH24)</f>
        <v>-3.4471780095861688</v>
      </c>
      <c r="BF25" s="22">
        <f>+SUMPRODUCT(BF23:BF24,BH23:BH24)</f>
        <v>112077.0498039377</v>
      </c>
      <c r="BG25" s="22"/>
      <c r="BH25" s="21"/>
      <c r="BK25" s="22">
        <f>+SUMPRODUCT(BK23:BK24,BO23:BO24)</f>
        <v>0</v>
      </c>
      <c r="BL25" s="22">
        <f>+SUMPRODUCT(BL23:BL24,BO23:BO24)</f>
        <v>-0.27146752891101739</v>
      </c>
      <c r="BM25" s="22">
        <f>+SUMPRODUCT(BM23:BM24,BO23:BO24)</f>
        <v>100887.64336419555</v>
      </c>
      <c r="BN25" s="22"/>
      <c r="BO25" s="21"/>
    </row>
    <row r="26" spans="1:68" x14ac:dyDescent="0.25">
      <c r="A26" s="6"/>
      <c r="B26" s="10"/>
      <c r="C26" s="10"/>
      <c r="D26" s="14"/>
      <c r="E26" s="6"/>
      <c r="F26" s="6"/>
      <c r="G26" s="6"/>
      <c r="H26" s="10"/>
      <c r="I26" s="10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AC26" s="22"/>
      <c r="AD26" s="22"/>
      <c r="AF26" s="21"/>
      <c r="AJ26" s="22"/>
      <c r="AK26" s="22"/>
      <c r="AL26" s="22"/>
      <c r="AM26" s="21"/>
      <c r="AQ26" s="22"/>
      <c r="AR26" s="22"/>
      <c r="AS26" s="22"/>
      <c r="AT26" s="21"/>
      <c r="AX26" s="22"/>
      <c r="AY26" s="22"/>
      <c r="AZ26" s="22"/>
      <c r="BA26" s="21"/>
      <c r="BE26" s="22"/>
      <c r="BF26" s="22"/>
      <c r="BG26" s="22"/>
      <c r="BH26" s="21"/>
      <c r="BL26" s="22"/>
      <c r="BM26" s="22"/>
      <c r="BN26" s="22"/>
      <c r="BO26" s="21"/>
    </row>
    <row r="27" spans="1:68" x14ac:dyDescent="0.25">
      <c r="A27" s="9" t="str">
        <f>+'Table 5-6 - inputs'!A30</f>
        <v>Analysis (d): OM for HG Ta/T1</v>
      </c>
      <c r="B27" s="10"/>
      <c r="C27" s="10"/>
      <c r="D27" s="14"/>
      <c r="E27" s="6"/>
      <c r="F27" s="6"/>
      <c r="G27" s="6"/>
      <c r="H27" s="10"/>
      <c r="I27" s="10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AB27" s="74" t="str">
        <f>+A28</f>
        <v>Health state cost- Disease Free</v>
      </c>
      <c r="AC27" s="74"/>
      <c r="AD27" s="74"/>
      <c r="AE27" s="74"/>
      <c r="AF27" s="74"/>
      <c r="AG27" s="74"/>
      <c r="AI27" s="74" t="str">
        <f>+A29</f>
        <v>Health state cost- Persistent/ Recurrent NMIBC</v>
      </c>
      <c r="AJ27" s="74"/>
      <c r="AK27" s="74"/>
      <c r="AL27" s="74"/>
      <c r="AM27" s="74"/>
      <c r="AN27" s="74"/>
      <c r="AP27" s="74" t="str">
        <f>+A30</f>
        <v>Health state cost- MIBC</v>
      </c>
      <c r="AQ27" s="74"/>
      <c r="AR27" s="74"/>
      <c r="AS27" s="74"/>
      <c r="AT27" s="74"/>
      <c r="AU27" s="74"/>
      <c r="AW27" s="74" t="str">
        <f>+A31</f>
        <v>Health state cost- Cystectomy</v>
      </c>
      <c r="AX27" s="74"/>
      <c r="AY27" s="74"/>
      <c r="AZ27" s="74"/>
      <c r="BA27" s="74"/>
      <c r="BB27" s="74"/>
      <c r="BD27" s="74" t="str">
        <f>BD11</f>
        <v>Health state cost- Post-cystectomy</v>
      </c>
      <c r="BE27" s="74"/>
      <c r="BF27" s="74"/>
      <c r="BG27" s="74"/>
      <c r="BH27" s="74"/>
      <c r="BI27" s="74"/>
      <c r="BK27" s="74" t="str">
        <f>BK11</f>
        <v>Health state cost- Metastatic disease</v>
      </c>
      <c r="BL27" s="74"/>
      <c r="BM27" s="74"/>
      <c r="BN27" s="74"/>
      <c r="BO27" s="74"/>
      <c r="BP27" s="74"/>
    </row>
    <row r="28" spans="1:68" x14ac:dyDescent="0.25">
      <c r="A28" s="6" t="str">
        <f>+'Table 5-6 - inputs'!A31</f>
        <v>Health state cost- Disease Free</v>
      </c>
      <c r="B28" s="28">
        <f>+'Table 5-6 - inputs'!B31</f>
        <v>1211</v>
      </c>
      <c r="C28" s="28">
        <f>+'Table 5-6 - inputs'!C31</f>
        <v>908</v>
      </c>
      <c r="D28" s="28">
        <f>+'Table 5-6 - inputs'!D31</f>
        <v>1514</v>
      </c>
      <c r="E28" s="11">
        <f>+'Table 5-6 - inputs'!E31</f>
        <v>123000</v>
      </c>
      <c r="F28" s="11">
        <f>+'Table 5-6 - inputs'!F31</f>
        <v>125145.9759</v>
      </c>
      <c r="G28" s="11">
        <f>+'Table 5-6 - inputs'!G31</f>
        <v>120975.3477</v>
      </c>
      <c r="H28" s="10">
        <f>+'Table 5-6 - inputs'!H31</f>
        <v>1211</v>
      </c>
      <c r="I28" s="10">
        <f>+'Table 5-6 - inputs'!I31</f>
        <v>1682</v>
      </c>
      <c r="J28" s="11">
        <f>+AG29</f>
        <v>123000</v>
      </c>
      <c r="K28" s="11">
        <f>+AG30</f>
        <v>119905.05117385549</v>
      </c>
      <c r="L28" s="12">
        <f t="shared" ref="L28" si="44">+S28</f>
        <v>1.2581092789205316E-2</v>
      </c>
      <c r="M28" s="14" t="str">
        <f t="shared" ref="M28" si="45">+IF(X28,"YES","NO")</f>
        <v>NO</v>
      </c>
      <c r="N28" s="14" t="str">
        <f t="shared" ref="N28" si="46">+IF(Y28,"YES","NO")</f>
        <v>NO</v>
      </c>
      <c r="O28" s="6"/>
      <c r="P28" s="44">
        <f>+MIN(E28,J28,K28)</f>
        <v>119905.05117385549</v>
      </c>
      <c r="Q28" s="44">
        <f>+MEDIAN(E28,J28,K28)</f>
        <v>123000</v>
      </c>
      <c r="R28" s="44">
        <f>+MAX(E28,J28,K28)</f>
        <v>123000</v>
      </c>
      <c r="S28" s="45">
        <f>+AVERAGE((Q28-P28)/Q28,(R28-Q28)/Q28)</f>
        <v>1.2581092789205316E-2</v>
      </c>
      <c r="T28" s="6" t="b">
        <f t="shared" ref="T28:T33" si="47">+AND(E28&lt;=Benchmark1,J28&lt;=Benchmark1,K28&lt;=Benchmark1)</f>
        <v>0</v>
      </c>
      <c r="U28" s="45" t="b">
        <f t="shared" ref="U28:U33" si="48">+AND(E28&gt;Benchmark1,J28&gt;Benchmark1,K28&gt;Benchmark1)</f>
        <v>1</v>
      </c>
      <c r="V28" s="6" t="b">
        <f t="shared" ref="V28:V33" si="49">+AND(E28&lt;=Benchmark2,J28&lt;=Benchmark2,K28&lt;=Benchmark2)</f>
        <v>1</v>
      </c>
      <c r="W28" s="45" t="b">
        <f t="shared" ref="W28:W33" si="50">+AND(E28&gt;Benchmark2,J28&gt;Benchmark2,K28&gt;Benchmark2)</f>
        <v>0</v>
      </c>
      <c r="X28" s="11" t="b">
        <f>+AND(NOT(T28),NOT(U28))</f>
        <v>0</v>
      </c>
      <c r="Y28" s="11" t="b">
        <f>+AND(NOT(V28),NOT(W28))</f>
        <v>0</v>
      </c>
      <c r="AB28" s="19">
        <f>+B28</f>
        <v>1211</v>
      </c>
      <c r="AC28" s="20">
        <f>+E28</f>
        <v>123000</v>
      </c>
      <c r="AD28" s="20"/>
      <c r="AE28" s="20" t="s">
        <v>23</v>
      </c>
      <c r="AF28" s="23">
        <f>-AC31/(2*AB31)</f>
        <v>6418.9741476513382</v>
      </c>
      <c r="AG28" s="23"/>
      <c r="AI28" s="19">
        <f>+B29</f>
        <v>1458</v>
      </c>
      <c r="AJ28" s="20">
        <f>+E29</f>
        <v>123000</v>
      </c>
      <c r="AK28" s="20"/>
      <c r="AL28" s="20" t="s">
        <v>23</v>
      </c>
      <c r="AM28" s="23">
        <f>-AJ31/(2*AI31)</f>
        <v>1275.5000000000007</v>
      </c>
      <c r="AN28" s="23"/>
      <c r="AP28" s="19">
        <f>+B30</f>
        <v>7027</v>
      </c>
      <c r="AQ28" s="20">
        <f>+E30</f>
        <v>123000</v>
      </c>
      <c r="AR28" s="20"/>
      <c r="AS28" s="20" t="s">
        <v>23</v>
      </c>
      <c r="AT28" s="23">
        <f>-AQ31/(2*AP31)</f>
        <v>7904.9999999999982</v>
      </c>
      <c r="AU28" s="23"/>
      <c r="AW28" s="19">
        <f>+B31</f>
        <v>30625</v>
      </c>
      <c r="AX28" s="20">
        <f>+E31</f>
        <v>123000</v>
      </c>
      <c r="AY28" s="20"/>
      <c r="AZ28" s="20" t="s">
        <v>23</v>
      </c>
      <c r="BA28" s="23">
        <f>-AX31/(2*AW31)</f>
        <v>58136.892494784624</v>
      </c>
      <c r="BB28" s="23"/>
      <c r="BD28" s="19">
        <f>+B32</f>
        <v>8665</v>
      </c>
      <c r="BE28" s="20">
        <f>+E32</f>
        <v>123000</v>
      </c>
      <c r="BF28" s="20"/>
      <c r="BG28" s="20" t="s">
        <v>23</v>
      </c>
      <c r="BH28" s="23">
        <f>-BE31/(2*BD31)</f>
        <v>8664.5042611853314</v>
      </c>
      <c r="BI28" s="23"/>
      <c r="BK28" s="19">
        <f>+B33</f>
        <v>24905</v>
      </c>
      <c r="BL28" s="20">
        <f>+E33</f>
        <v>123000</v>
      </c>
      <c r="BM28" s="20"/>
      <c r="BN28" s="20" t="s">
        <v>23</v>
      </c>
      <c r="BO28" s="23">
        <f>-BL31/(2*BK31)</f>
        <v>75379.201569703087</v>
      </c>
      <c r="BP28" s="23"/>
    </row>
    <row r="29" spans="1:68" x14ac:dyDescent="0.25">
      <c r="A29" s="6" t="str">
        <f>+'Table 5-6 - inputs'!A32</f>
        <v>Health state cost- Persistent/ Recurrent NMIBC</v>
      </c>
      <c r="B29" s="28">
        <f>+'Table 5-6 - inputs'!B32</f>
        <v>1458</v>
      </c>
      <c r="C29" s="28">
        <f>+'Table 5-6 - inputs'!C32</f>
        <v>1093</v>
      </c>
      <c r="D29" s="28">
        <f>+'Table 5-6 - inputs'!D32</f>
        <v>1822</v>
      </c>
      <c r="E29" s="11">
        <f>+'Table 5-6 - inputs'!E32</f>
        <v>123000</v>
      </c>
      <c r="F29" s="11">
        <f>+'Table 5-6 - inputs'!F32</f>
        <v>123000</v>
      </c>
      <c r="G29" s="11">
        <f>+'Table 5-6 - inputs'!G32</f>
        <v>123371.92969999999</v>
      </c>
      <c r="H29" s="10">
        <f>+'Table 5-6 - inputs'!H32</f>
        <v>1458</v>
      </c>
      <c r="I29" s="10">
        <f>+'Table 5-6 - inputs'!I32</f>
        <v>2025</v>
      </c>
      <c r="J29" s="11">
        <f>+AN29</f>
        <v>123124.14655267623</v>
      </c>
      <c r="K29" s="11">
        <f>+AN30</f>
        <v>123413.29275496723</v>
      </c>
      <c r="L29" s="12">
        <f t="shared" ref="L29:L33" si="51">+S29</f>
        <v>1.6783578466893663E-3</v>
      </c>
      <c r="M29" s="14" t="str">
        <f t="shared" ref="M29:M33" si="52">+IF(X29,"YES","NO")</f>
        <v>NO</v>
      </c>
      <c r="N29" s="14" t="str">
        <f t="shared" ref="N29:N33" si="53">+IF(Y29,"YES","NO")</f>
        <v>NO</v>
      </c>
      <c r="O29" s="6"/>
      <c r="P29" s="44">
        <f t="shared" ref="P29:P33" si="54">+MIN(E29,J29,K29)</f>
        <v>123000</v>
      </c>
      <c r="Q29" s="44">
        <f t="shared" ref="Q29:Q33" si="55">+MEDIAN(E29,J29,K29)</f>
        <v>123124.14655267623</v>
      </c>
      <c r="R29" s="44">
        <f t="shared" ref="R29:R33" si="56">+MAX(E29,J29,K29)</f>
        <v>123413.29275496723</v>
      </c>
      <c r="S29" s="45">
        <f t="shared" ref="S29:S33" si="57">+AVERAGE((Q29-P29)/Q29,(R29-Q29)/Q29)</f>
        <v>1.6783578466893663E-3</v>
      </c>
      <c r="T29" s="6" t="b">
        <f t="shared" si="47"/>
        <v>0</v>
      </c>
      <c r="U29" s="45" t="b">
        <f t="shared" si="48"/>
        <v>1</v>
      </c>
      <c r="V29" s="6" t="b">
        <f t="shared" si="49"/>
        <v>1</v>
      </c>
      <c r="W29" s="45" t="b">
        <f t="shared" si="50"/>
        <v>0</v>
      </c>
      <c r="X29" s="11" t="b">
        <f t="shared" ref="X29:X33" si="58">+AND(NOT(T29),NOT(U29))</f>
        <v>0</v>
      </c>
      <c r="Y29" s="11" t="b">
        <f t="shared" ref="Y29:Y33" si="59">+AND(NOT(V29),NOT(W29))</f>
        <v>0</v>
      </c>
      <c r="AB29" s="19">
        <f>+C28</f>
        <v>908</v>
      </c>
      <c r="AC29" s="20">
        <f>+F28</f>
        <v>125145.9759</v>
      </c>
      <c r="AD29" s="20"/>
      <c r="AE29" s="20" t="s">
        <v>24</v>
      </c>
      <c r="AF29" s="23">
        <f>+H28</f>
        <v>1211</v>
      </c>
      <c r="AG29" s="20">
        <f>+AB33*AF29^2+AC33*AF29+AD33</f>
        <v>123000</v>
      </c>
      <c r="AI29" s="19">
        <f>+C29</f>
        <v>1093</v>
      </c>
      <c r="AJ29" s="20">
        <f>+F29</f>
        <v>123000</v>
      </c>
      <c r="AK29" s="20"/>
      <c r="AL29" s="20" t="s">
        <v>24</v>
      </c>
      <c r="AM29" s="23">
        <f>+H29</f>
        <v>1458</v>
      </c>
      <c r="AN29" s="20">
        <f>+AI33*AM29^2+AJ33*AM29+AK33</f>
        <v>123124.14655267623</v>
      </c>
      <c r="AP29" s="19">
        <f>+C30</f>
        <v>5270</v>
      </c>
      <c r="AQ29" s="20">
        <f>+F30</f>
        <v>123532.2197</v>
      </c>
      <c r="AR29" s="20"/>
      <c r="AS29" s="20" t="s">
        <v>24</v>
      </c>
      <c r="AT29" s="23">
        <f>+H30</f>
        <v>7027</v>
      </c>
      <c r="AU29" s="20">
        <f>+AP33*AT29^2+AQ33*AT29+AR33</f>
        <v>123177.35606185732</v>
      </c>
      <c r="AW29" s="19">
        <f>+C31</f>
        <v>22969</v>
      </c>
      <c r="AX29" s="20">
        <f>+F31</f>
        <v>124104.01549999999</v>
      </c>
      <c r="AY29" s="20"/>
      <c r="AZ29" s="20" t="s">
        <v>24</v>
      </c>
      <c r="BA29" s="23">
        <f>+H31</f>
        <v>30625</v>
      </c>
      <c r="BB29" s="20">
        <f>+AW33*BA29^2+AX33*BA29+AY33</f>
        <v>123000.00000000001</v>
      </c>
      <c r="BD29" s="19">
        <f>+C32</f>
        <v>6498</v>
      </c>
      <c r="BE29" s="20">
        <f>+F32</f>
        <v>120724.7821</v>
      </c>
      <c r="BF29" s="20"/>
      <c r="BG29" s="20" t="s">
        <v>24</v>
      </c>
      <c r="BH29" s="23">
        <f>+H32</f>
        <v>8665</v>
      </c>
      <c r="BI29" s="20">
        <f>+BD33*BH29^2+BE33*BH29+BF33</f>
        <v>121483.19406164005</v>
      </c>
      <c r="BK29" s="19">
        <f>+C33</f>
        <v>18679</v>
      </c>
      <c r="BL29" s="20">
        <f>+F33</f>
        <v>125525.7836</v>
      </c>
      <c r="BM29" s="20"/>
      <c r="BN29" s="20" t="s">
        <v>24</v>
      </c>
      <c r="BO29" s="23">
        <f>H33</f>
        <v>24905</v>
      </c>
      <c r="BP29" s="20">
        <f>+BK33*BO29^2+BL33*BO29+BM33</f>
        <v>122999.99999999999</v>
      </c>
    </row>
    <row r="30" spans="1:68" x14ac:dyDescent="0.25">
      <c r="A30" s="6" t="str">
        <f>+'Table 5-6 - inputs'!A33</f>
        <v>Health state cost- MIBC</v>
      </c>
      <c r="B30" s="28">
        <f>+'Table 5-6 - inputs'!B33</f>
        <v>7027</v>
      </c>
      <c r="C30" s="28">
        <f>+'Table 5-6 - inputs'!C33</f>
        <v>5270</v>
      </c>
      <c r="D30" s="28">
        <f>+'Table 5-6 - inputs'!D33</f>
        <v>8783</v>
      </c>
      <c r="E30" s="11">
        <f>+'Table 5-6 - inputs'!E33</f>
        <v>123000</v>
      </c>
      <c r="F30" s="11">
        <f>+'Table 5-6 - inputs'!F33</f>
        <v>123532.2197</v>
      </c>
      <c r="G30" s="11">
        <f>+'Table 5-6 - inputs'!G33</f>
        <v>123000</v>
      </c>
      <c r="H30" s="10">
        <f>+'Table 5-6 - inputs'!H33</f>
        <v>7027</v>
      </c>
      <c r="I30" s="10">
        <f>+'Table 5-6 - inputs'!I33</f>
        <v>7300</v>
      </c>
      <c r="J30" s="11">
        <f>+AU29</f>
        <v>123177.35606185732</v>
      </c>
      <c r="K30" s="11">
        <f>+AU30</f>
        <v>123135.99262300723</v>
      </c>
      <c r="L30" s="12">
        <f t="shared" si="51"/>
        <v>7.2016336604487953E-4</v>
      </c>
      <c r="M30" s="14" t="str">
        <f t="shared" si="52"/>
        <v>NO</v>
      </c>
      <c r="N30" s="14" t="str">
        <f t="shared" si="53"/>
        <v>NO</v>
      </c>
      <c r="O30" s="6"/>
      <c r="P30" s="44">
        <f t="shared" si="54"/>
        <v>123000</v>
      </c>
      <c r="Q30" s="44">
        <f t="shared" si="55"/>
        <v>123135.99262300723</v>
      </c>
      <c r="R30" s="44">
        <f t="shared" si="56"/>
        <v>123177.35606185732</v>
      </c>
      <c r="S30" s="45">
        <f t="shared" si="57"/>
        <v>7.2016336604487953E-4</v>
      </c>
      <c r="T30" s="6" t="b">
        <f t="shared" si="47"/>
        <v>0</v>
      </c>
      <c r="U30" s="45" t="b">
        <f t="shared" si="48"/>
        <v>1</v>
      </c>
      <c r="V30" s="6" t="b">
        <f t="shared" si="49"/>
        <v>1</v>
      </c>
      <c r="W30" s="45" t="b">
        <f t="shared" si="50"/>
        <v>0</v>
      </c>
      <c r="X30" s="11" t="b">
        <f t="shared" si="58"/>
        <v>0</v>
      </c>
      <c r="Y30" s="11" t="b">
        <f t="shared" si="59"/>
        <v>0</v>
      </c>
      <c r="AB30" s="19">
        <f>+D28</f>
        <v>1514</v>
      </c>
      <c r="AC30" s="20">
        <f>+G28</f>
        <v>120975.3477</v>
      </c>
      <c r="AD30" s="20"/>
      <c r="AE30" s="20" t="s">
        <v>25</v>
      </c>
      <c r="AF30" s="23">
        <f>+I28</f>
        <v>1682</v>
      </c>
      <c r="AG30" s="20">
        <f>+AB33*AF30^2+AC33*AF30+AD33</f>
        <v>119905.05117385549</v>
      </c>
      <c r="AI30" s="19">
        <f>+D29</f>
        <v>1822</v>
      </c>
      <c r="AJ30" s="20">
        <f>+G29</f>
        <v>123371.92969999999</v>
      </c>
      <c r="AK30" s="20"/>
      <c r="AL30" s="20" t="s">
        <v>25</v>
      </c>
      <c r="AM30" s="23">
        <f>+I29</f>
        <v>2025</v>
      </c>
      <c r="AN30" s="20">
        <f>+AI33*AM30^2+AJ33*AM30+AK33</f>
        <v>123413.29275496723</v>
      </c>
      <c r="AP30" s="19">
        <f>+D30</f>
        <v>8783</v>
      </c>
      <c r="AQ30" s="20">
        <f>+G30</f>
        <v>123000</v>
      </c>
      <c r="AR30" s="20"/>
      <c r="AS30" s="20" t="s">
        <v>25</v>
      </c>
      <c r="AT30" s="23">
        <f>+I30</f>
        <v>7300</v>
      </c>
      <c r="AU30" s="20">
        <f>+AP33*AT30^2+AQ33*AT30+AR33</f>
        <v>123135.99262300723</v>
      </c>
      <c r="AW30" s="19">
        <f>+D31</f>
        <v>38282</v>
      </c>
      <c r="AX30" s="20">
        <f>+G31</f>
        <v>122165.5923</v>
      </c>
      <c r="AY30" s="20"/>
      <c r="AZ30" s="20" t="s">
        <v>25</v>
      </c>
      <c r="BA30" s="23">
        <f>+I31</f>
        <v>31914</v>
      </c>
      <c r="BB30" s="20">
        <f>+AW33*BA30^2+AX33*BA30+AY33</f>
        <v>122840.64922470991</v>
      </c>
      <c r="BD30" s="19">
        <f>+D32</f>
        <v>10831</v>
      </c>
      <c r="BE30" s="20">
        <f>+G32</f>
        <v>120724.8</v>
      </c>
      <c r="BF30" s="20"/>
      <c r="BG30" s="20" t="s">
        <v>25</v>
      </c>
      <c r="BH30" s="23">
        <f>+I32</f>
        <v>9027</v>
      </c>
      <c r="BI30" s="20">
        <f>+BD33*BH30^2+BE33*BH30+BF33</f>
        <v>121483.22480273915</v>
      </c>
      <c r="BK30" s="19">
        <f>+D33</f>
        <v>31131</v>
      </c>
      <c r="BL30" s="20">
        <f>+G33</f>
        <v>120767.6732</v>
      </c>
      <c r="BM30" s="20"/>
      <c r="BN30" s="20" t="s">
        <v>25</v>
      </c>
      <c r="BO30" s="23">
        <f>+I33</f>
        <v>25953</v>
      </c>
      <c r="BP30" s="20">
        <f>+BK33*BO30^2+BL33*BO30+BM33</f>
        <v>122603.69963480256</v>
      </c>
    </row>
    <row r="31" spans="1:68" x14ac:dyDescent="0.25">
      <c r="A31" s="6" t="str">
        <f>+'Table 5-6 - inputs'!A34</f>
        <v>Health state cost- Cystectomy</v>
      </c>
      <c r="B31" s="28">
        <f>+'Table 5-6 - inputs'!B34</f>
        <v>30625</v>
      </c>
      <c r="C31" s="28">
        <f>+'Table 5-6 - inputs'!C34</f>
        <v>22969</v>
      </c>
      <c r="D31" s="28">
        <f>+'Table 5-6 - inputs'!D34</f>
        <v>38282</v>
      </c>
      <c r="E31" s="11">
        <f>+'Table 5-6 - inputs'!E34</f>
        <v>123000</v>
      </c>
      <c r="F31" s="11">
        <f>+'Table 5-6 - inputs'!F34</f>
        <v>124104.01549999999</v>
      </c>
      <c r="G31" s="11">
        <f>+'Table 5-6 - inputs'!G34</f>
        <v>122165.5923</v>
      </c>
      <c r="H31" s="10">
        <f>+'Table 5-6 - inputs'!H34</f>
        <v>30625</v>
      </c>
      <c r="I31" s="10">
        <f>+'Table 5-6 - inputs'!I34</f>
        <v>31914</v>
      </c>
      <c r="J31" s="11">
        <f>+BB29</f>
        <v>123000.00000000001</v>
      </c>
      <c r="K31" s="11">
        <f>+BB30</f>
        <v>122840.64922470991</v>
      </c>
      <c r="L31" s="12">
        <f t="shared" si="51"/>
        <v>6.4776737922807304E-4</v>
      </c>
      <c r="M31" s="14" t="str">
        <f t="shared" si="52"/>
        <v>NO</v>
      </c>
      <c r="N31" s="14" t="str">
        <f t="shared" si="53"/>
        <v>NO</v>
      </c>
      <c r="O31" s="6"/>
      <c r="P31" s="44">
        <f t="shared" si="54"/>
        <v>122840.64922470991</v>
      </c>
      <c r="Q31" s="44">
        <f t="shared" si="55"/>
        <v>123000</v>
      </c>
      <c r="R31" s="44">
        <f t="shared" si="56"/>
        <v>123000.00000000001</v>
      </c>
      <c r="S31" s="45">
        <f t="shared" si="57"/>
        <v>6.4776737922807304E-4</v>
      </c>
      <c r="T31" s="6" t="b">
        <f t="shared" si="47"/>
        <v>0</v>
      </c>
      <c r="U31" s="45" t="b">
        <f t="shared" si="48"/>
        <v>1</v>
      </c>
      <c r="V31" s="6" t="b">
        <f t="shared" si="49"/>
        <v>1</v>
      </c>
      <c r="W31" s="45" t="b">
        <f t="shared" si="50"/>
        <v>0</v>
      </c>
      <c r="X31" s="11" t="b">
        <f t="shared" si="58"/>
        <v>0</v>
      </c>
      <c r="Y31" s="11" t="b">
        <f t="shared" si="59"/>
        <v>0</v>
      </c>
      <c r="AB31" s="22" cm="1">
        <f t="array" ref="AB31:AD31">+LINEST(AC28:AC30,AB28:AB30^{1,2})</f>
        <v>6.6073914322126214E-4</v>
      </c>
      <c r="AC31" s="22">
        <v>-8.4825349573571529</v>
      </c>
      <c r="AD31" s="22">
        <v>132303.36200430352</v>
      </c>
      <c r="AF31" s="21">
        <f>+OR(AF28=MIN(AF28:AF30,AB28:AB30),AF28=MAX(AF28:AF30,AB28:AB30))*1</f>
        <v>1</v>
      </c>
      <c r="AI31" s="22" cm="1">
        <f t="array" ref="AI31:AK31">+LINEST(AJ28:AJ30,AI28:AI30^{1,2})</f>
        <v>1.4016253636623783E-3</v>
      </c>
      <c r="AJ31" s="22">
        <v>-3.5755463027027288</v>
      </c>
      <c r="AK31" s="22">
        <v>125233.62176978019</v>
      </c>
      <c r="AL31" s="22"/>
      <c r="AM31" s="21">
        <f>+OR(AM28=MIN(AM28:AM30,AI28:AI30),AM28=MAX(AM28:AM30,AI28:AI30))*1</f>
        <v>0</v>
      </c>
      <c r="AP31" s="22" cm="1">
        <f t="array" ref="AP31:AR31">+LINEST(AQ28:AQ30,AP28:AP30^{1,2})</f>
        <v>8.6226554884119566E-5</v>
      </c>
      <c r="AQ31" s="22">
        <v>-1.3632418327179301</v>
      </c>
      <c r="AR31" s="22">
        <v>128321.74267228233</v>
      </c>
      <c r="AS31" s="22"/>
      <c r="AT31" s="21">
        <f>+OR(AT28=MIN(AT28:AT30,AP28:AP30),AT28=MAX(AT28:AT30,AP28:AP30))*1</f>
        <v>0</v>
      </c>
      <c r="AW31" s="22" cm="1">
        <f t="array" ref="AW31:AY31">+LINEST(AX28:AX30,AW28:AW30^{1,2})</f>
        <v>2.3006245400992991E-6</v>
      </c>
      <c r="AX31" s="22">
        <v>-0.26750232311723254</v>
      </c>
      <c r="AY31" s="22">
        <v>129034.52445766119</v>
      </c>
      <c r="AZ31" s="22"/>
      <c r="BA31" s="21">
        <f>+OR(BA28=MIN(BA28:BA30,AW28:AW30),BA28=MAX(BA28:BA30,AW28:AW30))*1</f>
        <v>1</v>
      </c>
      <c r="BD31" s="22" cm="1">
        <f t="array" ref="BD31:BF31">+LINEST(BE28:BE30,BD28:BD30^{1,2})</f>
        <v>-4.8473449171775745E-4</v>
      </c>
      <c r="BE31" s="22">
        <v>8.3999681380640308</v>
      </c>
      <c r="BF31" s="22">
        <v>86609.220256088476</v>
      </c>
      <c r="BG31" s="22"/>
      <c r="BH31" s="21">
        <f>+OR(BH28=MIN(BH28:BH30,BD28:BD30),BH28=MAX(BH28:BH30,BD28:BD30))*1</f>
        <v>0</v>
      </c>
      <c r="BK31" s="22" cm="1">
        <f t="array" ref="BK31:BM31">+LINEST(BL28:BL30,BK28:BK30^{1,2})</f>
        <v>3.7852620364802646E-6</v>
      </c>
      <c r="BL31" s="22">
        <v>-0.57066006008398129</v>
      </c>
      <c r="BM31" s="22">
        <v>134864.44585627477</v>
      </c>
      <c r="BN31" s="22"/>
      <c r="BO31" s="21">
        <f>+OR(BO28=MIN(BO28:BO30,BK28:BK30),BO28=MAX(BO28:BO30,BK28:BK30))*1</f>
        <v>1</v>
      </c>
    </row>
    <row r="32" spans="1:68" x14ac:dyDescent="0.25">
      <c r="A32" s="6" t="str">
        <f>+'Table 5-6 - inputs'!A35</f>
        <v>Health state cost- Post-cystectomy</v>
      </c>
      <c r="B32" s="28">
        <f>+'Table 5-6 - inputs'!B35</f>
        <v>8665</v>
      </c>
      <c r="C32" s="28">
        <f>+'Table 5-6 - inputs'!C35</f>
        <v>6498</v>
      </c>
      <c r="D32" s="28">
        <f>+'Table 5-6 - inputs'!D35</f>
        <v>10831</v>
      </c>
      <c r="E32" s="11">
        <f>+'Table 5-6 - inputs'!E35</f>
        <v>123000</v>
      </c>
      <c r="F32" s="11">
        <f>+'Table 5-6 - inputs'!F35</f>
        <v>120724.7821</v>
      </c>
      <c r="G32" s="11">
        <f>+'Table 5-6 - inputs'!G35</f>
        <v>120724.8</v>
      </c>
      <c r="H32" s="10">
        <f>+'Table 5-6 - inputs'!H35</f>
        <v>8665</v>
      </c>
      <c r="I32" s="10">
        <f>+'Table 5-6 - inputs'!I35</f>
        <v>9027</v>
      </c>
      <c r="J32" s="11">
        <f>+BI29</f>
        <v>121483.19406164005</v>
      </c>
      <c r="K32" s="11">
        <f>+BI30</f>
        <v>121483.22480273915</v>
      </c>
      <c r="L32" s="12">
        <f t="shared" si="51"/>
        <v>6.2428616824376001E-3</v>
      </c>
      <c r="M32" s="14" t="str">
        <f t="shared" si="52"/>
        <v>NO</v>
      </c>
      <c r="N32" s="14" t="str">
        <f t="shared" si="53"/>
        <v>NO</v>
      </c>
      <c r="O32" s="6"/>
      <c r="P32" s="44">
        <f t="shared" si="54"/>
        <v>121483.19406164005</v>
      </c>
      <c r="Q32" s="44">
        <f t="shared" si="55"/>
        <v>121483.22480273915</v>
      </c>
      <c r="R32" s="44">
        <f t="shared" si="56"/>
        <v>123000</v>
      </c>
      <c r="S32" s="45">
        <f t="shared" si="57"/>
        <v>6.2428616824376001E-3</v>
      </c>
      <c r="T32" s="6" t="b">
        <f t="shared" si="47"/>
        <v>0</v>
      </c>
      <c r="U32" s="45" t="b">
        <f t="shared" si="48"/>
        <v>1</v>
      </c>
      <c r="V32" s="6" t="b">
        <f t="shared" si="49"/>
        <v>1</v>
      </c>
      <c r="W32" s="45" t="b">
        <f t="shared" si="50"/>
        <v>0</v>
      </c>
      <c r="X32" s="11" t="b">
        <f t="shared" si="58"/>
        <v>0</v>
      </c>
      <c r="Y32" s="11" t="b">
        <f t="shared" si="59"/>
        <v>0</v>
      </c>
      <c r="AC32" s="22" cm="1">
        <f t="array" ref="AC32:AD32">+LINEST(AC28:AC30,AB28:AB30^{1})</f>
        <v>-6.882224752475258</v>
      </c>
      <c r="AD32" s="22">
        <v>131374.81537524753</v>
      </c>
      <c r="AF32" s="21">
        <f>+NOT(AF31)*1</f>
        <v>0</v>
      </c>
      <c r="AJ32" s="22" cm="1">
        <f t="array" ref="AJ32:AK32">+LINEST(AJ28:AJ30,AI28:AI30^{1})</f>
        <v>0.50995802873191731</v>
      </c>
      <c r="AK32" s="22">
        <v>122380.6277467851</v>
      </c>
      <c r="AL32" s="22"/>
      <c r="AM32" s="21">
        <f>+NOT(AM31)*1</f>
        <v>1</v>
      </c>
      <c r="AQ32" s="22" cm="1">
        <f t="array" ref="AQ32:AR32">+LINEST(AQ28:AQ30,AP28:AP30^{1})</f>
        <v>-0.15151442802232618</v>
      </c>
      <c r="AR32" s="22">
        <v>124242.04794757022</v>
      </c>
      <c r="AS32" s="22"/>
      <c r="AT32" s="21">
        <f>+NOT(AT31)*1</f>
        <v>1</v>
      </c>
      <c r="AX32" s="22" cm="1">
        <f t="array" ref="AX32:AY32">+LINEST(AX28:AX30,AW28:AW30^{1})</f>
        <v>-0.12658638597418923</v>
      </c>
      <c r="AY32" s="22">
        <v>126966.6195325882</v>
      </c>
      <c r="AZ32" s="22"/>
      <c r="BA32" s="21">
        <f>+NOT(BA31)*1</f>
        <v>0</v>
      </c>
      <c r="BE32" s="22" cm="1">
        <f t="array" ref="BE32:BF32">+LINEST(BE28:BE30,BD28:BD30^{1})</f>
        <v>8.4920163223785325E-5</v>
      </c>
      <c r="BF32" s="22">
        <v>121482.45822842572</v>
      </c>
      <c r="BG32" s="22"/>
      <c r="BH32" s="21">
        <f>+NOT(BH31)*1</f>
        <v>1</v>
      </c>
      <c r="BL32" s="22" cm="1">
        <f t="array" ref="BL32:BM32">+LINEST(BL28:BL30,BK28:BK30^{1})</f>
        <v>-0.38211615804689936</v>
      </c>
      <c r="BM32" s="22">
        <v>132614.42184949137</v>
      </c>
      <c r="BN32" s="22"/>
      <c r="BO32" s="21">
        <f>+NOT(BO31)*1</f>
        <v>0</v>
      </c>
    </row>
    <row r="33" spans="1:65" x14ac:dyDescent="0.25">
      <c r="A33" s="6" t="str">
        <f>+'Table 5-6 - inputs'!A36</f>
        <v>Health state cost- Metastatic disease</v>
      </c>
      <c r="B33" s="28">
        <f>+'Table 5-6 - inputs'!B36</f>
        <v>24905</v>
      </c>
      <c r="C33" s="28">
        <f>+'Table 5-6 - inputs'!C36</f>
        <v>18679</v>
      </c>
      <c r="D33" s="28">
        <f>+'Table 5-6 - inputs'!D36</f>
        <v>31131</v>
      </c>
      <c r="E33" s="11">
        <f>+'Table 5-6 - inputs'!E36</f>
        <v>123000</v>
      </c>
      <c r="F33" s="11">
        <f>+'Table 5-6 - inputs'!F36</f>
        <v>125525.7836</v>
      </c>
      <c r="G33" s="11">
        <f>+'Table 5-6 - inputs'!G36</f>
        <v>120767.6732</v>
      </c>
      <c r="H33" s="10">
        <f>+'Table 5-6 - inputs'!H36</f>
        <v>24905</v>
      </c>
      <c r="I33" s="10">
        <f>+'Table 5-6 - inputs'!I36</f>
        <v>25953</v>
      </c>
      <c r="J33" s="11">
        <f>+BP29</f>
        <v>122999.99999999999</v>
      </c>
      <c r="K33" s="11">
        <f>+BP30</f>
        <v>122603.69963480256</v>
      </c>
      <c r="L33" s="12">
        <f t="shared" si="51"/>
        <v>1.6109770942985496E-3</v>
      </c>
      <c r="M33" s="14" t="str">
        <f t="shared" si="52"/>
        <v>NO</v>
      </c>
      <c r="N33" s="14" t="str">
        <f t="shared" si="53"/>
        <v>NO</v>
      </c>
      <c r="O33" s="6"/>
      <c r="P33" s="44">
        <f t="shared" si="54"/>
        <v>122603.69963480256</v>
      </c>
      <c r="Q33" s="44">
        <f t="shared" si="55"/>
        <v>122999.99999999999</v>
      </c>
      <c r="R33" s="44">
        <f t="shared" si="56"/>
        <v>123000</v>
      </c>
      <c r="S33" s="45">
        <f t="shared" si="57"/>
        <v>1.6109770942985496E-3</v>
      </c>
      <c r="T33" s="6" t="b">
        <f t="shared" si="47"/>
        <v>0</v>
      </c>
      <c r="U33" s="45" t="b">
        <f t="shared" si="48"/>
        <v>1</v>
      </c>
      <c r="V33" s="6" t="b">
        <f t="shared" si="49"/>
        <v>1</v>
      </c>
      <c r="W33" s="45" t="b">
        <f t="shared" si="50"/>
        <v>0</v>
      </c>
      <c r="X33" s="11" t="b">
        <f t="shared" si="58"/>
        <v>0</v>
      </c>
      <c r="Y33" s="11" t="b">
        <f t="shared" si="59"/>
        <v>0</v>
      </c>
      <c r="AB33" s="22">
        <f>+SUMPRODUCT(AB31:AB32,AF31:AF32)</f>
        <v>6.6073914322126214E-4</v>
      </c>
      <c r="AC33" s="22">
        <f>+SUMPRODUCT(AC31:AC32,AF31:AF32)</f>
        <v>-8.4825349573571529</v>
      </c>
      <c r="AD33" s="22">
        <f>+SUMPRODUCT(AD31:AD32,AF31:AF32)</f>
        <v>132303.36200430352</v>
      </c>
      <c r="AI33" s="22">
        <f>+SUMPRODUCT(AI31:AI32,AM31:AM32)</f>
        <v>0</v>
      </c>
      <c r="AJ33" s="22">
        <f>+SUMPRODUCT(AJ31:AJ32,AM31:AM32)</f>
        <v>0.50995802873191731</v>
      </c>
      <c r="AK33" s="22">
        <f>+SUMPRODUCT(AK31:AK32,AM31:AM32)</f>
        <v>122380.6277467851</v>
      </c>
      <c r="AP33" s="22">
        <f>+SUMPRODUCT(AP31:AP32,AT31:AT32)</f>
        <v>0</v>
      </c>
      <c r="AQ33" s="22">
        <f>+SUMPRODUCT(AQ31:AQ32,AT31:AT32)</f>
        <v>-0.15151442802232618</v>
      </c>
      <c r="AR33" s="22">
        <f>+SUMPRODUCT(AR31:AR32,AT31:AT32)</f>
        <v>124242.04794757022</v>
      </c>
      <c r="AU33" s="3"/>
      <c r="AW33" s="22">
        <f>+SUMPRODUCT(AW31:AW32,BA31:BA32)</f>
        <v>2.3006245400992991E-6</v>
      </c>
      <c r="AX33" s="22">
        <f>+SUMPRODUCT(AX31:AX32,BA31:BA32)</f>
        <v>-0.26750232311723254</v>
      </c>
      <c r="AY33" s="22">
        <f>+SUMPRODUCT(AY31:AY32,BA31:BA32)</f>
        <v>129034.52445766119</v>
      </c>
      <c r="BD33" s="22">
        <f>+SUMPRODUCT(BD31:BD32,BH31:BH32)</f>
        <v>0</v>
      </c>
      <c r="BE33" s="22">
        <f>+SUMPRODUCT(BE31:BE32,BH31:BH32)</f>
        <v>8.4920163223785325E-5</v>
      </c>
      <c r="BF33" s="22">
        <f>+SUMPRODUCT(BF31:BF32,BH31:BH32)</f>
        <v>121482.45822842572</v>
      </c>
      <c r="BI33" s="3"/>
      <c r="BK33" s="22">
        <f>+SUMPRODUCT(BK31:BK32,BO31:BO32)</f>
        <v>3.7852620364802646E-6</v>
      </c>
      <c r="BL33" s="22">
        <f>+SUMPRODUCT(BL31:BL32,BO31:BO32)</f>
        <v>-0.57066006008398129</v>
      </c>
      <c r="BM33" s="22">
        <f>+SUMPRODUCT(BM31:BM32,BO31:BO32)</f>
        <v>134864.44585627477</v>
      </c>
    </row>
    <row r="53" spans="1:9" x14ac:dyDescent="0.25">
      <c r="A53" s="2"/>
    </row>
    <row r="54" spans="1:9" x14ac:dyDescent="0.25">
      <c r="B54" s="15"/>
      <c r="C54" s="15"/>
      <c r="D54" s="1"/>
      <c r="E54" s="1"/>
      <c r="F54" s="15"/>
      <c r="G54" s="15"/>
      <c r="H54" s="13"/>
      <c r="I54" s="13"/>
    </row>
    <row r="57" spans="1:9" x14ac:dyDescent="0.25">
      <c r="A57" s="2"/>
    </row>
    <row r="58" spans="1:9" x14ac:dyDescent="0.25">
      <c r="B58" s="15"/>
      <c r="C58" s="15"/>
      <c r="D58" s="1"/>
      <c r="E58" s="1"/>
      <c r="F58" s="15"/>
      <c r="G58" s="15"/>
      <c r="H58" s="13"/>
      <c r="I58" s="13"/>
    </row>
  </sheetData>
  <mergeCells count="29">
    <mergeCell ref="AI2:AN2"/>
    <mergeCell ref="AP2:AU2"/>
    <mergeCell ref="AW2:BB2"/>
    <mergeCell ref="AB11:AG11"/>
    <mergeCell ref="AI11:AN11"/>
    <mergeCell ref="AP11:AU11"/>
    <mergeCell ref="AW11:BB11"/>
    <mergeCell ref="AB2:AG2"/>
    <mergeCell ref="B1:D1"/>
    <mergeCell ref="E1:G1"/>
    <mergeCell ref="H1:I1"/>
    <mergeCell ref="J1:K1"/>
    <mergeCell ref="L1:N1"/>
    <mergeCell ref="BD2:BI2"/>
    <mergeCell ref="BK2:BP2"/>
    <mergeCell ref="BD11:BI11"/>
    <mergeCell ref="BK11:BP11"/>
    <mergeCell ref="AB27:AG27"/>
    <mergeCell ref="AI27:AN27"/>
    <mergeCell ref="AP27:AU27"/>
    <mergeCell ref="AW27:BB27"/>
    <mergeCell ref="BD27:BI27"/>
    <mergeCell ref="BK27:BP27"/>
    <mergeCell ref="AB19:AG19"/>
    <mergeCell ref="AI19:AN19"/>
    <mergeCell ref="AP19:AU19"/>
    <mergeCell ref="AW19:BB19"/>
    <mergeCell ref="BD19:BI19"/>
    <mergeCell ref="BK19:BP19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11B3A-E37F-446C-80C8-B7B6239A483B}">
  <sheetPr>
    <tabColor rgb="FF92D050"/>
  </sheetPr>
  <dimension ref="A1:U33"/>
  <sheetViews>
    <sheetView topLeftCell="A19" workbookViewId="0">
      <selection activeCell="D40" sqref="D40"/>
    </sheetView>
  </sheetViews>
  <sheetFormatPr defaultRowHeight="15" x14ac:dyDescent="0.25"/>
  <cols>
    <col min="1" max="1" width="27.85546875" customWidth="1"/>
    <col min="2" max="2" width="9.140625" customWidth="1"/>
    <col min="3" max="3" width="8.7109375" customWidth="1"/>
    <col min="4" max="4" width="11.28515625" bestFit="1" customWidth="1"/>
    <col min="5" max="7" width="6" customWidth="1"/>
    <col min="8" max="8" width="8.85546875" style="1" customWidth="1"/>
    <col min="9" max="9" width="8.5703125" style="1" customWidth="1"/>
    <col min="10" max="11" width="6" customWidth="1"/>
  </cols>
  <sheetData>
    <row r="1" spans="1:21" ht="39.75" customHeight="1" x14ac:dyDescent="0.25">
      <c r="A1" s="34"/>
      <c r="B1" s="80" t="str">
        <f>+'Table 5-6'!B1</f>
        <v>Monthly cost assumptions from ICER (i)</v>
      </c>
      <c r="C1" s="80"/>
      <c r="D1" s="80"/>
      <c r="E1" s="80" t="str">
        <f>+'Table 5-6'!E1</f>
        <v>CE ratios from ICER ($000/QALY) (ii)</v>
      </c>
      <c r="F1" s="80"/>
      <c r="G1" s="80"/>
      <c r="H1" s="81" t="str">
        <f>+'Table 5-6'!H1</f>
        <v>Expert group monthly cost assumptions (iii)</v>
      </c>
      <c r="I1" s="81"/>
      <c r="J1" s="80" t="str">
        <f>+'Table 5-6'!J1</f>
        <v>Expert group imputed CE ratios (iv)</v>
      </c>
      <c r="K1" s="80"/>
      <c r="L1" s="80" t="str">
        <f>+'Table 5-6'!L1</f>
        <v>Influence measures (v)</v>
      </c>
      <c r="M1" s="80"/>
      <c r="N1" s="80"/>
      <c r="O1" s="2"/>
    </row>
    <row r="2" spans="1:21" ht="36" customHeight="1" x14ac:dyDescent="0.25">
      <c r="A2" s="35"/>
      <c r="B2" s="36" t="str">
        <f>+'Table 5-6'!B2</f>
        <v>Base case</v>
      </c>
      <c r="C2" s="36" t="str">
        <f>+'Table 5-6'!C2</f>
        <v>Lower bound</v>
      </c>
      <c r="D2" s="36" t="str">
        <f>+'Table 5-6'!D2</f>
        <v>Upper bound</v>
      </c>
      <c r="E2" s="36" t="str">
        <f>+'Table 5-6'!E2</f>
        <v>Base case</v>
      </c>
      <c r="F2" s="36" t="str">
        <f>+'Table 5-6'!F2</f>
        <v>Lower bound assumption</v>
      </c>
      <c r="G2" s="36" t="str">
        <f>+'Table 5-6'!G2</f>
        <v>Upper bound assumption</v>
      </c>
      <c r="H2" s="62" t="str">
        <f>+'Table 5-6'!H2</f>
        <v>Expert Group 1</v>
      </c>
      <c r="I2" s="62" t="str">
        <f>+'Table 5-6'!I2</f>
        <v>Expert Group 2</v>
      </c>
      <c r="J2" s="36" t="str">
        <f>+'Table 5-6'!J2</f>
        <v>Expert Group 1</v>
      </c>
      <c r="K2" s="36" t="str">
        <f>+'Table 5-6'!K2</f>
        <v>Expert Group 2</v>
      </c>
      <c r="L2" s="36" t="str">
        <f>+'Table 5-6'!L2</f>
        <v>Avg pct deviation</v>
      </c>
      <c r="M2" s="36" t="str">
        <f>+'Table 5-6'!M2</f>
        <v>Cross $100K benchmark</v>
      </c>
      <c r="N2" s="36" t="str">
        <f>+'Table 5-6'!N2</f>
        <v>Cross $150K benchmark</v>
      </c>
    </row>
    <row r="3" spans="1:21" x14ac:dyDescent="0.25">
      <c r="A3" s="68" t="str">
        <f>+'Table 5-6'!A3</f>
        <v>Analysis (a): NF for CIS+/- Ta/T1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70"/>
      <c r="U3" s="1"/>
    </row>
    <row r="4" spans="1:21" x14ac:dyDescent="0.25">
      <c r="A4" s="35" t="str">
        <f>+'Table 5-6'!A4</f>
        <v>Health state cost- Disease Free</v>
      </c>
      <c r="B4" s="41">
        <f>+'Table 5-6'!B4</f>
        <v>1211</v>
      </c>
      <c r="C4" s="41">
        <f>+'Table 5-6'!C4</f>
        <v>908</v>
      </c>
      <c r="D4" s="41">
        <f>+'Table 5-6'!D4</f>
        <v>1514</v>
      </c>
      <c r="E4" s="38">
        <f>+ROUND('Table 5-6'!E4/CE_Scale,RoundPlace)</f>
        <v>151</v>
      </c>
      <c r="F4" s="38">
        <f>+ROUND('Table 5-6'!F4/CE_Scale,RoundPlace)</f>
        <v>148</v>
      </c>
      <c r="G4" s="38">
        <f>+ROUND('Table 5-6'!G4/CE_Scale,RoundPlace)</f>
        <v>152</v>
      </c>
      <c r="H4" s="41">
        <f>+'Table 5-6'!H4</f>
        <v>1211</v>
      </c>
      <c r="I4" s="41">
        <f>+'Table 5-6'!I4</f>
        <v>1682</v>
      </c>
      <c r="J4" s="38">
        <f>+ROUND('Table 5-6'!J4/CE_Scale,RoundPlace)</f>
        <v>150</v>
      </c>
      <c r="K4" s="38">
        <f>+ROUND('Table 5-6'!K4/CE_Scale,RoundPlace)</f>
        <v>153</v>
      </c>
      <c r="L4" s="39">
        <f>+'Table 5-6'!L4</f>
        <v>8.725641480886507E-3</v>
      </c>
      <c r="M4" s="46" t="str">
        <f>+'Table 5-6'!M4</f>
        <v>NO</v>
      </c>
      <c r="N4" s="46" t="str">
        <f>+'Table 5-6'!N4</f>
        <v>NO</v>
      </c>
      <c r="U4" s="1"/>
    </row>
    <row r="5" spans="1:21" x14ac:dyDescent="0.25">
      <c r="A5" s="35" t="str">
        <f>+'Table 5-6'!A5</f>
        <v>Health state cost- Persistent/ Recurrent NMIBC</v>
      </c>
      <c r="B5" s="41">
        <f>+'Table 5-6'!B5</f>
        <v>1458</v>
      </c>
      <c r="C5" s="41">
        <f>+'Table 5-6'!C5</f>
        <v>1093</v>
      </c>
      <c r="D5" s="41">
        <f>+'Table 5-6'!D5</f>
        <v>1822</v>
      </c>
      <c r="E5" s="38">
        <f>+ROUND('Table 5-6'!E5/CE_Scale,RoundPlace)</f>
        <v>151</v>
      </c>
      <c r="F5" s="38">
        <f>+ROUND('Table 5-6'!F5/CE_Scale,RoundPlace)</f>
        <v>150</v>
      </c>
      <c r="G5" s="38">
        <f>+ROUND('Table 5-6'!G5/CE_Scale,RoundPlace)</f>
        <v>151</v>
      </c>
      <c r="H5" s="41">
        <f>+'Table 5-6'!H5</f>
        <v>1458</v>
      </c>
      <c r="I5" s="41">
        <f>+'Table 5-6'!I5</f>
        <v>2025</v>
      </c>
      <c r="J5" s="38">
        <f>+ROUND('Table 5-6'!J5/CE_Scale,RoundPlace)</f>
        <v>151</v>
      </c>
      <c r="K5" s="38">
        <f>+ROUND('Table 5-6'!K5/CE_Scale,RoundPlace)</f>
        <v>152</v>
      </c>
      <c r="L5" s="39">
        <f>+'Table 5-6'!L5</f>
        <v>3.6239603604568786E-3</v>
      </c>
      <c r="M5" s="46" t="str">
        <f>+'Table 5-6'!M5</f>
        <v>NO</v>
      </c>
      <c r="N5" s="46" t="str">
        <f>+'Table 5-6'!N5</f>
        <v>NO</v>
      </c>
      <c r="U5" s="1"/>
    </row>
    <row r="6" spans="1:21" x14ac:dyDescent="0.25">
      <c r="A6" s="35" t="str">
        <f>+'Table 5-6'!A6</f>
        <v>Health state cost- MIBC</v>
      </c>
      <c r="B6" s="41">
        <f>+'Table 5-6'!B6</f>
        <v>7027</v>
      </c>
      <c r="C6" s="41">
        <f>+'Table 5-6'!C6</f>
        <v>5270</v>
      </c>
      <c r="D6" s="41">
        <f>+'Table 5-6'!D6</f>
        <v>8783</v>
      </c>
      <c r="E6" s="38">
        <f>+ROUND('Table 5-6'!E6/CE_Scale,RoundPlace)</f>
        <v>151</v>
      </c>
      <c r="F6" s="38">
        <f>+ROUND('Table 5-6'!F6/CE_Scale,RoundPlace)</f>
        <v>150</v>
      </c>
      <c r="G6" s="38">
        <f>+ROUND('Table 5-6'!G6/CE_Scale,RoundPlace)</f>
        <v>149</v>
      </c>
      <c r="H6" s="41">
        <f>+'Table 5-6'!H6</f>
        <v>7027</v>
      </c>
      <c r="I6" s="41">
        <f>+'Table 5-6'!I6</f>
        <v>7300</v>
      </c>
      <c r="J6" s="38">
        <f>+ROUND('Table 5-6'!J6/CE_Scale,RoundPlace)</f>
        <v>150</v>
      </c>
      <c r="K6" s="38">
        <f>+ROUND('Table 5-6'!K6/CE_Scale,RoundPlace)</f>
        <v>150</v>
      </c>
      <c r="L6" s="39">
        <f>+'Table 5-6'!L6</f>
        <v>2.9227381131725879E-3</v>
      </c>
      <c r="M6" s="46" t="str">
        <f>+'Table 5-6'!M6</f>
        <v>NO</v>
      </c>
      <c r="N6" s="46" t="str">
        <f>+'Table 5-6'!N6</f>
        <v>NO</v>
      </c>
      <c r="U6" s="1"/>
    </row>
    <row r="7" spans="1:21" x14ac:dyDescent="0.25">
      <c r="A7" s="35" t="str">
        <f>+'Table 5-6'!A7</f>
        <v>Health state cost- Cystectomy</v>
      </c>
      <c r="B7" s="41">
        <f>+'Table 5-6'!B7</f>
        <v>30625</v>
      </c>
      <c r="C7" s="41">
        <f>+'Table 5-6'!C7</f>
        <v>22969</v>
      </c>
      <c r="D7" s="41">
        <f>+'Table 5-6'!D7</f>
        <v>38282</v>
      </c>
      <c r="E7" s="38">
        <f>+ROUND('Table 5-6'!E7/CE_Scale,RoundPlace)</f>
        <v>151</v>
      </c>
      <c r="F7" s="38">
        <f>+ROUND('Table 5-6'!F7/CE_Scale,RoundPlace)</f>
        <v>151</v>
      </c>
      <c r="G7" s="38">
        <f>+ROUND('Table 5-6'!G7/CE_Scale,RoundPlace)</f>
        <v>149</v>
      </c>
      <c r="H7" s="41">
        <f>+'Table 5-6'!H7</f>
        <v>30625</v>
      </c>
      <c r="I7" s="41">
        <f>+'Table 5-6'!I7</f>
        <v>31914</v>
      </c>
      <c r="J7" s="38">
        <f>+ROUND('Table 5-6'!J7/CE_Scale,RoundPlace)</f>
        <v>150</v>
      </c>
      <c r="K7" s="38">
        <f>+ROUND('Table 5-6'!K7/CE_Scale,RoundPlace)</f>
        <v>150</v>
      </c>
      <c r="L7" s="39">
        <f>+'Table 5-6'!L7</f>
        <v>2.8648011034942849E-3</v>
      </c>
      <c r="M7" s="46" t="str">
        <f>+'Table 5-6'!M7</f>
        <v>NO</v>
      </c>
      <c r="N7" s="46" t="str">
        <f>+'Table 5-6'!N7</f>
        <v>NO</v>
      </c>
      <c r="U7" s="1"/>
    </row>
    <row r="8" spans="1:21" x14ac:dyDescent="0.25">
      <c r="A8" s="35" t="str">
        <f>+'Table 5-6'!A8</f>
        <v>Health state cost- Post-cystectomy</v>
      </c>
      <c r="B8" s="41">
        <f>+'Table 5-6'!B8</f>
        <v>8665</v>
      </c>
      <c r="C8" s="41">
        <f>+'Table 5-6'!C8</f>
        <v>6498</v>
      </c>
      <c r="D8" s="41">
        <f>+'Table 5-6'!D8</f>
        <v>10831</v>
      </c>
      <c r="E8" s="38">
        <f>+ROUND('Table 5-6'!E8/CE_Scale,RoundPlace)</f>
        <v>151</v>
      </c>
      <c r="F8" s="38">
        <f>+ROUND('Table 5-6'!F8/CE_Scale,RoundPlace)</f>
        <v>152</v>
      </c>
      <c r="G8" s="38">
        <f>+ROUND('Table 5-6'!G8/CE_Scale,RoundPlace)</f>
        <v>148</v>
      </c>
      <c r="H8" s="41">
        <f>+'Table 5-6'!H8</f>
        <v>8665</v>
      </c>
      <c r="I8" s="41">
        <f>+'Table 5-6'!I8</f>
        <v>9027</v>
      </c>
      <c r="J8" s="38">
        <f>+ROUND('Table 5-6'!J8/CE_Scale,RoundPlace)</f>
        <v>150</v>
      </c>
      <c r="K8" s="38">
        <f>+ROUND('Table 5-6'!K8/CE_Scale,RoundPlace)</f>
        <v>150</v>
      </c>
      <c r="L8" s="39">
        <f>+'Table 5-6'!L8</f>
        <v>3.7660014967481384E-3</v>
      </c>
      <c r="M8" s="46" t="str">
        <f>+'Table 5-6'!M8</f>
        <v>NO</v>
      </c>
      <c r="N8" s="46" t="str">
        <f>+'Table 5-6'!N8</f>
        <v>YES</v>
      </c>
      <c r="U8" s="1"/>
    </row>
    <row r="9" spans="1:21" x14ac:dyDescent="0.25">
      <c r="A9" s="35" t="str">
        <f>+'Table 5-6'!A9</f>
        <v>Health state cost- Metastatic disease</v>
      </c>
      <c r="B9" s="41">
        <f>+'Table 5-6'!B9</f>
        <v>24905</v>
      </c>
      <c r="C9" s="41">
        <f>+'Table 5-6'!C9</f>
        <v>18679</v>
      </c>
      <c r="D9" s="41">
        <f>+'Table 5-6'!D9</f>
        <v>31131</v>
      </c>
      <c r="E9" s="38">
        <f>+ROUND('Table 5-6'!E9/CE_Scale,RoundPlace)</f>
        <v>151</v>
      </c>
      <c r="F9" s="38">
        <f>+ROUND('Table 5-6'!F9/CE_Scale,RoundPlace)</f>
        <v>152</v>
      </c>
      <c r="G9" s="38">
        <f>+ROUND('Table 5-6'!G9/CE_Scale,RoundPlace)</f>
        <v>147</v>
      </c>
      <c r="H9" s="41">
        <f>+'Table 5-6'!H9</f>
        <v>24905</v>
      </c>
      <c r="I9" s="41">
        <f>+'Table 5-6'!I9</f>
        <v>25953</v>
      </c>
      <c r="J9" s="38">
        <f>+ROUND('Table 5-6'!J9/CE_Scale,RoundPlace)</f>
        <v>151</v>
      </c>
      <c r="K9" s="38">
        <f>+ROUND('Table 5-6'!K9/CE_Scale,RoundPlace)</f>
        <v>151</v>
      </c>
      <c r="L9" s="39">
        <f>+'Table 5-6'!L9</f>
        <v>1.5542995672444011E-3</v>
      </c>
      <c r="M9" s="46" t="str">
        <f>+'Table 5-6'!M9</f>
        <v>NO</v>
      </c>
      <c r="N9" s="46" t="str">
        <f>+'Table 5-6'!N9</f>
        <v>NO</v>
      </c>
      <c r="U9" s="1"/>
    </row>
    <row r="10" spans="1:21" x14ac:dyDescent="0.25">
      <c r="A10" s="50"/>
      <c r="B10" s="51"/>
      <c r="C10" s="51"/>
      <c r="D10" s="51"/>
      <c r="E10" s="52"/>
      <c r="F10" s="52"/>
      <c r="G10" s="52"/>
      <c r="H10" s="51"/>
      <c r="I10" s="51"/>
      <c r="J10" s="52"/>
      <c r="K10" s="52"/>
      <c r="L10" s="54"/>
      <c r="M10" s="55"/>
      <c r="N10" s="56"/>
      <c r="U10" s="1"/>
    </row>
    <row r="11" spans="1:21" x14ac:dyDescent="0.25">
      <c r="A11" s="68" t="str">
        <f>+'Table 5-6'!A11</f>
        <v>Analysis (b): OM for CIS+/- Ta/T1</v>
      </c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70"/>
    </row>
    <row r="12" spans="1:21" x14ac:dyDescent="0.25">
      <c r="A12" s="35" t="str">
        <f>+'Table 5-6'!A12</f>
        <v>Health state cost- Disease Free</v>
      </c>
      <c r="B12" s="41">
        <f>B4</f>
        <v>1211</v>
      </c>
      <c r="C12" s="41">
        <f t="shared" ref="C12:D12" si="0">C4</f>
        <v>908</v>
      </c>
      <c r="D12" s="41">
        <f t="shared" si="0"/>
        <v>1514</v>
      </c>
      <c r="E12" s="38">
        <f>+ROUND('Table 5-6'!E12/CE_Scale,RoundPlace)</f>
        <v>382</v>
      </c>
      <c r="F12" s="38">
        <f>+ROUND('Table 5-6'!F12/CE_Scale,RoundPlace)</f>
        <v>385</v>
      </c>
      <c r="G12" s="38">
        <f>+ROUND('Table 5-6'!G12/CE_Scale,RoundPlace)</f>
        <v>381</v>
      </c>
      <c r="H12" s="41">
        <f>+'Table 5-6'!H12</f>
        <v>1211</v>
      </c>
      <c r="I12" s="41">
        <f>+'Table 5-6'!I12</f>
        <v>1682</v>
      </c>
      <c r="J12" s="38">
        <f>+ROUND('Table 5-6'!J12/CE_Scale,RoundPlace)</f>
        <v>383</v>
      </c>
      <c r="K12" s="38">
        <f>+ROUND('Table 5-6'!K12/CE_Scale,RoundPlace)</f>
        <v>380</v>
      </c>
      <c r="L12" s="39">
        <f>+'Table 5-6'!L12</f>
        <v>3.8211515927116641E-3</v>
      </c>
      <c r="M12" s="39" t="str">
        <f>+'Table 5-6'!M12</f>
        <v>NO</v>
      </c>
      <c r="N12" s="39" t="str">
        <f>+'Table 5-6'!N12</f>
        <v>NO</v>
      </c>
    </row>
    <row r="13" spans="1:21" x14ac:dyDescent="0.25">
      <c r="A13" s="35" t="str">
        <f>+'Table 5-6'!A13</f>
        <v>Health state cost- Persistent/ Recurrent NMIBC</v>
      </c>
      <c r="B13" s="41">
        <f t="shared" ref="B13:D13" si="1">B5</f>
        <v>1458</v>
      </c>
      <c r="C13" s="41">
        <f t="shared" si="1"/>
        <v>1093</v>
      </c>
      <c r="D13" s="41">
        <f t="shared" si="1"/>
        <v>1822</v>
      </c>
      <c r="E13" s="38">
        <f>+ROUND('Table 5-6'!E13/CE_Scale,RoundPlace)</f>
        <v>382</v>
      </c>
      <c r="F13" s="38">
        <f>+ROUND('Table 5-6'!F13/CE_Scale,RoundPlace)</f>
        <v>384</v>
      </c>
      <c r="G13" s="38">
        <f>+ROUND('Table 5-6'!G13/CE_Scale,RoundPlace)</f>
        <v>382</v>
      </c>
      <c r="H13" s="41">
        <f>+'Table 5-6'!H13</f>
        <v>1458</v>
      </c>
      <c r="I13" s="41">
        <f>+'Table 5-6'!I13</f>
        <v>2025</v>
      </c>
      <c r="J13" s="38">
        <f>+ROUND('Table 5-6'!J13/CE_Scale,RoundPlace)</f>
        <v>383</v>
      </c>
      <c r="K13" s="38">
        <f>+ROUND('Table 5-6'!K13/CE_Scale,RoundPlace)</f>
        <v>381</v>
      </c>
      <c r="L13" s="39">
        <f>+'Table 5-6'!L13</f>
        <v>1.5763336852310512E-3</v>
      </c>
      <c r="M13" s="39" t="str">
        <f>+'Table 5-6'!M13</f>
        <v>NO</v>
      </c>
      <c r="N13" s="39" t="str">
        <f>+'Table 5-6'!N13</f>
        <v>NO</v>
      </c>
    </row>
    <row r="14" spans="1:21" x14ac:dyDescent="0.25">
      <c r="A14" s="35" t="str">
        <f>+'Table 5-6'!A14</f>
        <v>Health state cost- MIBC</v>
      </c>
      <c r="B14" s="41">
        <f t="shared" ref="B14:D14" si="2">B6</f>
        <v>7027</v>
      </c>
      <c r="C14" s="41">
        <f t="shared" si="2"/>
        <v>5270</v>
      </c>
      <c r="D14" s="41">
        <f t="shared" si="2"/>
        <v>8783</v>
      </c>
      <c r="E14" s="38">
        <f>+ROUND('Table 5-6'!E14/CE_Scale,RoundPlace)</f>
        <v>382</v>
      </c>
      <c r="F14" s="38">
        <f>+ROUND('Table 5-6'!F14/CE_Scale,RoundPlace)</f>
        <v>384</v>
      </c>
      <c r="G14" s="38">
        <f>+ROUND('Table 5-6'!G14/CE_Scale,RoundPlace)</f>
        <v>384</v>
      </c>
      <c r="H14" s="41">
        <f>+'Table 5-6'!H14</f>
        <v>7027</v>
      </c>
      <c r="I14" s="41">
        <f>+'Table 5-6'!I14</f>
        <v>7300</v>
      </c>
      <c r="J14" s="38">
        <f>+ROUND('Table 5-6'!J14/CE_Scale,RoundPlace)</f>
        <v>383</v>
      </c>
      <c r="K14" s="38">
        <f>+ROUND('Table 5-6'!K14/CE_Scale,RoundPlace)</f>
        <v>383</v>
      </c>
      <c r="L14" s="39">
        <f>+'Table 5-6'!L14</f>
        <v>1.9482051576571401E-3</v>
      </c>
      <c r="M14" s="39" t="str">
        <f>+'Table 5-6'!M14</f>
        <v>NO</v>
      </c>
      <c r="N14" s="39" t="str">
        <f>+'Table 5-6'!N14</f>
        <v>NO</v>
      </c>
    </row>
    <row r="15" spans="1:21" x14ac:dyDescent="0.25">
      <c r="A15" s="35" t="str">
        <f>+'Table 5-6'!A15</f>
        <v>Health state cost- Cystectomy</v>
      </c>
      <c r="B15" s="41">
        <f t="shared" ref="B15:D15" si="3">B7</f>
        <v>30625</v>
      </c>
      <c r="C15" s="41">
        <f t="shared" si="3"/>
        <v>22969</v>
      </c>
      <c r="D15" s="41">
        <f t="shared" si="3"/>
        <v>38282</v>
      </c>
      <c r="E15" s="38">
        <f>+ROUND('Table 5-6'!E15/CE_Scale,RoundPlace)</f>
        <v>382</v>
      </c>
      <c r="F15" s="38">
        <f>+ROUND('Table 5-6'!F15/CE_Scale,RoundPlace)</f>
        <v>382</v>
      </c>
      <c r="G15" s="38">
        <f>+ROUND('Table 5-6'!G15/CE_Scale,RoundPlace)</f>
        <v>384</v>
      </c>
      <c r="H15" s="41">
        <f>+'Table 5-6'!H15</f>
        <v>30625</v>
      </c>
      <c r="I15" s="41">
        <f>+'Table 5-6'!I15</f>
        <v>31914</v>
      </c>
      <c r="J15" s="38">
        <f>+ROUND('Table 5-6'!J15/CE_Scale,RoundPlace)</f>
        <v>383</v>
      </c>
      <c r="K15" s="38">
        <f>+ROUND('Table 5-6'!K15/CE_Scale,RoundPlace)</f>
        <v>383</v>
      </c>
      <c r="L15" s="39">
        <f>+'Table 5-6'!L15</f>
        <v>1.1993959895515781E-3</v>
      </c>
      <c r="M15" s="39" t="str">
        <f>+'Table 5-6'!M15</f>
        <v>NO</v>
      </c>
      <c r="N15" s="39" t="str">
        <f>+'Table 5-6'!N15</f>
        <v>NO</v>
      </c>
    </row>
    <row r="16" spans="1:21" x14ac:dyDescent="0.25">
      <c r="A16" s="35" t="str">
        <f>+'Table 5-6'!A16</f>
        <v>Health state cost- Post-cystectomy</v>
      </c>
      <c r="B16" s="41">
        <f t="shared" ref="B16:D16" si="4">B8</f>
        <v>8665</v>
      </c>
      <c r="C16" s="41">
        <f t="shared" si="4"/>
        <v>6498</v>
      </c>
      <c r="D16" s="41">
        <f t="shared" si="4"/>
        <v>10831</v>
      </c>
      <c r="E16" s="38">
        <f>+ROUND('Table 5-6'!E16/CE_Scale,RoundPlace)</f>
        <v>382</v>
      </c>
      <c r="F16" s="38">
        <f>+ROUND('Table 5-6'!F16/CE_Scale,RoundPlace)</f>
        <v>381</v>
      </c>
      <c r="G16" s="38">
        <f>+ROUND('Table 5-6'!G16/CE_Scale,RoundPlace)</f>
        <v>386</v>
      </c>
      <c r="H16" s="41">
        <f>+'Table 5-6'!H16</f>
        <v>8665</v>
      </c>
      <c r="I16" s="41">
        <f>+'Table 5-6'!I16</f>
        <v>9027</v>
      </c>
      <c r="J16" s="38">
        <f>+ROUND('Table 5-6'!J16/CE_Scale,RoundPlace)</f>
        <v>383</v>
      </c>
      <c r="K16" s="38">
        <f>+ROUND('Table 5-6'!K16/CE_Scale,RoundPlace)</f>
        <v>383</v>
      </c>
      <c r="L16" s="39">
        <f>+'Table 5-6'!L16</f>
        <v>1.8089670003959488E-3</v>
      </c>
      <c r="M16" s="39" t="str">
        <f>+'Table 5-6'!M16</f>
        <v>NO</v>
      </c>
      <c r="N16" s="39" t="str">
        <f>+'Table 5-6'!N16</f>
        <v>NO</v>
      </c>
    </row>
    <row r="17" spans="1:21" x14ac:dyDescent="0.25">
      <c r="A17" s="35" t="str">
        <f>+'Table 5-6'!A17</f>
        <v>Health state cost- Metastatic disease</v>
      </c>
      <c r="B17" s="41">
        <f t="shared" ref="B17:D17" si="5">B9</f>
        <v>24905</v>
      </c>
      <c r="C17" s="41">
        <f t="shared" si="5"/>
        <v>18679</v>
      </c>
      <c r="D17" s="41">
        <f t="shared" si="5"/>
        <v>31131</v>
      </c>
      <c r="E17" s="38">
        <f>+ROUND('Table 5-6'!E17/CE_Scale,RoundPlace)</f>
        <v>382</v>
      </c>
      <c r="F17" s="38">
        <f>+ROUND('Table 5-6'!F17/CE_Scale,RoundPlace)</f>
        <v>386</v>
      </c>
      <c r="G17" s="38">
        <f>+ROUND('Table 5-6'!G17/CE_Scale,RoundPlace)</f>
        <v>381</v>
      </c>
      <c r="H17" s="41">
        <f>+'Table 5-6'!H17</f>
        <v>24905</v>
      </c>
      <c r="I17" s="41">
        <f>+'Table 5-6'!I17</f>
        <v>25953</v>
      </c>
      <c r="J17" s="38">
        <f>+ROUND('Table 5-6'!J17/CE_Scale,RoundPlace)</f>
        <v>383</v>
      </c>
      <c r="K17" s="38">
        <f>+ROUND('Table 5-6'!K17/CE_Scale,RoundPlace)</f>
        <v>383</v>
      </c>
      <c r="L17" s="39">
        <f>+'Table 5-6'!L17</f>
        <v>1.3892459204896469E-3</v>
      </c>
      <c r="M17" s="39" t="str">
        <f>+'Table 5-6'!M17</f>
        <v>NO</v>
      </c>
      <c r="N17" s="39" t="str">
        <f>+'Table 5-6'!N17</f>
        <v>NO</v>
      </c>
    </row>
    <row r="19" spans="1:21" x14ac:dyDescent="0.25">
      <c r="A19" s="68" t="str">
        <f>+'Table 5-6'!A19</f>
        <v>Analysis (c): NF for HG Ta/T1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70"/>
      <c r="U19" s="1"/>
    </row>
    <row r="20" spans="1:21" x14ac:dyDescent="0.25">
      <c r="A20" s="35" t="str">
        <f>+'Table 5-6'!A20</f>
        <v>Health state cost- Disease Free</v>
      </c>
      <c r="B20" s="41">
        <f t="shared" ref="B20:D20" si="6">B12</f>
        <v>1211</v>
      </c>
      <c r="C20" s="41">
        <f t="shared" si="6"/>
        <v>908</v>
      </c>
      <c r="D20" s="41">
        <f t="shared" si="6"/>
        <v>1514</v>
      </c>
      <c r="E20" s="38">
        <f>+ROUND('Table 5-6'!E20/CE_Scale,RoundPlace)</f>
        <v>93</v>
      </c>
      <c r="F20" s="38">
        <f>+ROUND('Table 5-6'!F20/CE_Scale,RoundPlace)</f>
        <v>92</v>
      </c>
      <c r="G20" s="38">
        <f>+ROUND('Table 5-6'!G20/CE_Scale,RoundPlace)</f>
        <v>95</v>
      </c>
      <c r="H20" s="41">
        <f>+'Table 5-6'!H20</f>
        <v>1211</v>
      </c>
      <c r="I20" s="41">
        <f>+'Table 5-6'!I20</f>
        <v>1682</v>
      </c>
      <c r="J20" s="38">
        <f>+ROUND('Table 5-6'!J20/CE_Scale,RoundPlace)</f>
        <v>93</v>
      </c>
      <c r="K20" s="38">
        <f>+ROUND('Table 5-6'!K20/CE_Scale,RoundPlace)</f>
        <v>97</v>
      </c>
      <c r="L20" s="39">
        <f>+'Table 5-6'!L20</f>
        <v>2.3390762236192426E-2</v>
      </c>
      <c r="M20" s="46" t="str">
        <f>+'Table 5-6'!M20</f>
        <v>NO</v>
      </c>
      <c r="N20" s="46" t="str">
        <f>+'Table 5-6'!N20</f>
        <v>NO</v>
      </c>
      <c r="U20" s="1"/>
    </row>
    <row r="21" spans="1:21" x14ac:dyDescent="0.25">
      <c r="A21" s="35" t="str">
        <f>+'Table 5-6'!A21</f>
        <v>Health state cost- Persistent/ Recurrent NMIBC</v>
      </c>
      <c r="B21" s="41">
        <f t="shared" ref="B21:D21" si="7">B13</f>
        <v>1458</v>
      </c>
      <c r="C21" s="41">
        <f t="shared" si="7"/>
        <v>1093</v>
      </c>
      <c r="D21" s="41">
        <f t="shared" si="7"/>
        <v>1822</v>
      </c>
      <c r="E21" s="38">
        <f>+ROUND('Table 5-6'!E21/CE_Scale,RoundPlace)</f>
        <v>93</v>
      </c>
      <c r="F21" s="38">
        <f>+ROUND('Table 5-6'!F21/CE_Scale,RoundPlace)</f>
        <v>94</v>
      </c>
      <c r="G21" s="38">
        <f>+ROUND('Table 5-6'!G21/CE_Scale,RoundPlace)</f>
        <v>94</v>
      </c>
      <c r="H21" s="41">
        <f>+'Table 5-6'!H21</f>
        <v>1458</v>
      </c>
      <c r="I21" s="41">
        <f>+'Table 5-6'!I21</f>
        <v>2025</v>
      </c>
      <c r="J21" s="38">
        <f>+ROUND('Table 5-6'!J21/CE_Scale,RoundPlace)</f>
        <v>94</v>
      </c>
      <c r="K21" s="38">
        <f>+ROUND('Table 5-6'!K21/CE_Scale,RoundPlace)</f>
        <v>94</v>
      </c>
      <c r="L21" s="39">
        <f>+'Table 5-6'!L21</f>
        <v>4.1490339729397877E-3</v>
      </c>
      <c r="M21" s="46" t="str">
        <f>+'Table 5-6'!M21</f>
        <v>NO</v>
      </c>
      <c r="N21" s="46" t="str">
        <f>+'Table 5-6'!N21</f>
        <v>NO</v>
      </c>
      <c r="U21" s="1"/>
    </row>
    <row r="22" spans="1:21" x14ac:dyDescent="0.25">
      <c r="A22" s="35" t="str">
        <f>+'Table 5-6'!A22</f>
        <v>Health state cost- MIBC</v>
      </c>
      <c r="B22" s="41">
        <f t="shared" ref="B22:D22" si="8">B14</f>
        <v>7027</v>
      </c>
      <c r="C22" s="41">
        <f t="shared" si="8"/>
        <v>5270</v>
      </c>
      <c r="D22" s="41">
        <f t="shared" si="8"/>
        <v>8783</v>
      </c>
      <c r="E22" s="38">
        <f>+ROUND('Table 5-6'!E22/CE_Scale,RoundPlace)</f>
        <v>93</v>
      </c>
      <c r="F22" s="38">
        <f>+ROUND('Table 5-6'!F22/CE_Scale,RoundPlace)</f>
        <v>93</v>
      </c>
      <c r="G22" s="38">
        <f>+ROUND('Table 5-6'!G22/CE_Scale,RoundPlace)</f>
        <v>94</v>
      </c>
      <c r="H22" s="41">
        <f>+'Table 5-6'!H22</f>
        <v>7027</v>
      </c>
      <c r="I22" s="41">
        <f>+'Table 5-6'!I22</f>
        <v>7300</v>
      </c>
      <c r="J22" s="38">
        <f>+ROUND('Table 5-6'!J22/CE_Scale,RoundPlace)</f>
        <v>93</v>
      </c>
      <c r="K22" s="38">
        <f>+ROUND('Table 5-6'!K22/CE_Scale,RoundPlace)</f>
        <v>93</v>
      </c>
      <c r="L22" s="39">
        <f>+'Table 5-6'!L22</f>
        <v>2.2737034312472907E-3</v>
      </c>
      <c r="M22" s="46" t="str">
        <f>+'Table 5-6'!M22</f>
        <v>NO</v>
      </c>
      <c r="N22" s="46" t="str">
        <f>+'Table 5-6'!N22</f>
        <v>NO</v>
      </c>
      <c r="U22" s="1"/>
    </row>
    <row r="23" spans="1:21" x14ac:dyDescent="0.25">
      <c r="A23" s="35" t="str">
        <f>+'Table 5-6'!A23</f>
        <v>Health state cost- Cystectomy</v>
      </c>
      <c r="B23" s="41">
        <f t="shared" ref="B23:D23" si="9">B15</f>
        <v>30625</v>
      </c>
      <c r="C23" s="41">
        <f t="shared" si="9"/>
        <v>22969</v>
      </c>
      <c r="D23" s="41">
        <f t="shared" si="9"/>
        <v>38282</v>
      </c>
      <c r="E23" s="38">
        <f>+ROUND('Table 5-6'!E23/CE_Scale,RoundPlace)</f>
        <v>93</v>
      </c>
      <c r="F23" s="38">
        <f>+ROUND('Table 5-6'!F23/CE_Scale,RoundPlace)</f>
        <v>95</v>
      </c>
      <c r="G23" s="38">
        <f>+ROUND('Table 5-6'!G23/CE_Scale,RoundPlace)</f>
        <v>93</v>
      </c>
      <c r="H23" s="41">
        <f>+'Table 5-6'!H23</f>
        <v>30625</v>
      </c>
      <c r="I23" s="41">
        <f>+'Table 5-6'!I23</f>
        <v>31914</v>
      </c>
      <c r="J23" s="38">
        <f>+ROUND('Table 5-6'!J23/CE_Scale,RoundPlace)</f>
        <v>93</v>
      </c>
      <c r="K23" s="38">
        <f>+ROUND('Table 5-6'!K23/CE_Scale,RoundPlace)</f>
        <v>93</v>
      </c>
      <c r="L23" s="39">
        <f>+'Table 5-6'!L23</f>
        <v>2.086962961753841E-3</v>
      </c>
      <c r="M23" s="46" t="str">
        <f>+'Table 5-6'!M23</f>
        <v>NO</v>
      </c>
      <c r="N23" s="46" t="str">
        <f>+'Table 5-6'!N23</f>
        <v>NO</v>
      </c>
      <c r="U23" s="1"/>
    </row>
    <row r="24" spans="1:21" x14ac:dyDescent="0.25">
      <c r="A24" s="35" t="str">
        <f>+'Table 5-6'!A24</f>
        <v>Health state cost- Post-cystectomy</v>
      </c>
      <c r="B24" s="41">
        <f t="shared" ref="B24:D24" si="10">B16</f>
        <v>8665</v>
      </c>
      <c r="C24" s="41">
        <f t="shared" si="10"/>
        <v>6498</v>
      </c>
      <c r="D24" s="41">
        <f t="shared" si="10"/>
        <v>10831</v>
      </c>
      <c r="E24" s="38">
        <f>+ROUND('Table 5-6'!E24/CE_Scale,RoundPlace)</f>
        <v>93</v>
      </c>
      <c r="F24" s="38">
        <f>+ROUND('Table 5-6'!F24/CE_Scale,RoundPlace)</f>
        <v>96</v>
      </c>
      <c r="G24" s="38">
        <f>+ROUND('Table 5-6'!G24/CE_Scale,RoundPlace)</f>
        <v>92</v>
      </c>
      <c r="H24" s="41">
        <f>+'Table 5-6'!H24</f>
        <v>8665</v>
      </c>
      <c r="I24" s="41">
        <f>+'Table 5-6'!I24</f>
        <v>9027</v>
      </c>
      <c r="J24" s="38">
        <f>+ROUND('Table 5-6'!J24/CE_Scale,RoundPlace)</f>
        <v>93</v>
      </c>
      <c r="K24" s="38">
        <f>+ROUND('Table 5-6'!K24/CE_Scale,RoundPlace)</f>
        <v>93</v>
      </c>
      <c r="L24" s="39">
        <f>+'Table 5-6'!L24</f>
        <v>1.7594541539223702E-3</v>
      </c>
      <c r="M24" s="46" t="str">
        <f>+'Table 5-6'!M24</f>
        <v>NO</v>
      </c>
      <c r="N24" s="46" t="str">
        <f>+'Table 5-6'!N24</f>
        <v>NO</v>
      </c>
      <c r="U24" s="1"/>
    </row>
    <row r="25" spans="1:21" x14ac:dyDescent="0.25">
      <c r="A25" s="35" t="str">
        <f>+'Table 5-6'!A25</f>
        <v>Health state cost- Metastatic disease</v>
      </c>
      <c r="B25" s="41">
        <f t="shared" ref="B25:D25" si="11">B17</f>
        <v>24905</v>
      </c>
      <c r="C25" s="41">
        <f t="shared" si="11"/>
        <v>18679</v>
      </c>
      <c r="D25" s="41">
        <f t="shared" si="11"/>
        <v>31131</v>
      </c>
      <c r="E25" s="38">
        <f>+ROUND('Table 5-6'!E25/CE_Scale,RoundPlace)</f>
        <v>93</v>
      </c>
      <c r="F25" s="38">
        <f>+ROUND('Table 5-6'!F25/CE_Scale,RoundPlace)</f>
        <v>96</v>
      </c>
      <c r="G25" s="38">
        <f>+ROUND('Table 5-6'!G25/CE_Scale,RoundPlace)</f>
        <v>93</v>
      </c>
      <c r="H25" s="41">
        <f>+'Table 5-6'!H25</f>
        <v>24905</v>
      </c>
      <c r="I25" s="41">
        <f>+'Table 5-6'!I25</f>
        <v>25953</v>
      </c>
      <c r="J25" s="38">
        <f>+ROUND('Table 5-6'!J25/CE_Scale,RoundPlace)</f>
        <v>94</v>
      </c>
      <c r="K25" s="38">
        <f>+ROUND('Table 5-6'!K25/CE_Scale,RoundPlace)</f>
        <v>94</v>
      </c>
      <c r="L25" s="39">
        <f>+'Table 5-6'!L25</f>
        <v>6.0033971779951774E-3</v>
      </c>
      <c r="M25" s="46" t="str">
        <f>+'Table 5-6'!M25</f>
        <v>NO</v>
      </c>
      <c r="N25" s="46" t="str">
        <f>+'Table 5-6'!N25</f>
        <v>NO</v>
      </c>
      <c r="U25" s="1"/>
    </row>
    <row r="26" spans="1:21" x14ac:dyDescent="0.25">
      <c r="A26" s="50"/>
      <c r="B26" s="51"/>
      <c r="C26" s="51"/>
      <c r="D26" s="51"/>
      <c r="E26" s="52"/>
      <c r="F26" s="52"/>
      <c r="G26" s="52"/>
      <c r="H26" s="51"/>
      <c r="I26" s="51"/>
      <c r="J26" s="52"/>
      <c r="K26" s="52"/>
      <c r="L26" s="54"/>
      <c r="M26" s="55"/>
      <c r="N26" s="56"/>
      <c r="U26" s="1"/>
    </row>
    <row r="27" spans="1:21" x14ac:dyDescent="0.25">
      <c r="A27" s="68" t="str">
        <f>+'Table 5-6'!A27</f>
        <v>Analysis (d): OM for HG Ta/T1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70"/>
    </row>
    <row r="28" spans="1:21" x14ac:dyDescent="0.25">
      <c r="A28" s="35" t="str">
        <f>+'Table 5-6'!A28</f>
        <v>Health state cost- Disease Free</v>
      </c>
      <c r="B28" s="41">
        <f t="shared" ref="B28:D28" si="12">B20</f>
        <v>1211</v>
      </c>
      <c r="C28" s="41">
        <f t="shared" si="12"/>
        <v>908</v>
      </c>
      <c r="D28" s="41">
        <f t="shared" si="12"/>
        <v>1514</v>
      </c>
      <c r="E28" s="38">
        <f>+ROUND('Table 5-6'!E28/CE_Scale,RoundPlace)</f>
        <v>123</v>
      </c>
      <c r="F28" s="38">
        <f>+ROUND('Table 5-6'!F28/CE_Scale,RoundPlace)</f>
        <v>125</v>
      </c>
      <c r="G28" s="38">
        <f>+ROUND('Table 5-6'!G28/CE_Scale,RoundPlace)</f>
        <v>121</v>
      </c>
      <c r="H28" s="41">
        <f>+'Table 5-6'!H28</f>
        <v>1211</v>
      </c>
      <c r="I28" s="41">
        <f>+'Table 5-6'!I28</f>
        <v>1682</v>
      </c>
      <c r="J28" s="38">
        <f>+ROUND('Table 5-6'!J28/CE_Scale,RoundPlace)</f>
        <v>123</v>
      </c>
      <c r="K28" s="38">
        <f>+ROUND('Table 5-6'!K28/CE_Scale,RoundPlace)</f>
        <v>120</v>
      </c>
      <c r="L28" s="39">
        <f>+'Table 5-6'!L28</f>
        <v>1.2581092789205316E-2</v>
      </c>
      <c r="M28" s="39" t="str">
        <f>+'Table 5-6'!M28</f>
        <v>NO</v>
      </c>
      <c r="N28" s="39" t="str">
        <f>+'Table 5-6'!N28</f>
        <v>NO</v>
      </c>
    </row>
    <row r="29" spans="1:21" x14ac:dyDescent="0.25">
      <c r="A29" s="35" t="str">
        <f>+'Table 5-6'!A29</f>
        <v>Health state cost- Persistent/ Recurrent NMIBC</v>
      </c>
      <c r="B29" s="41">
        <f t="shared" ref="B29:D29" si="13">B21</f>
        <v>1458</v>
      </c>
      <c r="C29" s="41">
        <f t="shared" si="13"/>
        <v>1093</v>
      </c>
      <c r="D29" s="41">
        <f t="shared" si="13"/>
        <v>1822</v>
      </c>
      <c r="E29" s="38">
        <f>+ROUND('Table 5-6'!E29/CE_Scale,RoundPlace)</f>
        <v>123</v>
      </c>
      <c r="F29" s="38">
        <f>+ROUND('Table 5-6'!F29/CE_Scale,RoundPlace)</f>
        <v>123</v>
      </c>
      <c r="G29" s="38">
        <f>+ROUND('Table 5-6'!G29/CE_Scale,RoundPlace)</f>
        <v>123</v>
      </c>
      <c r="H29" s="41">
        <f>+'Table 5-6'!H29</f>
        <v>1458</v>
      </c>
      <c r="I29" s="41">
        <f>+'Table 5-6'!I29</f>
        <v>2025</v>
      </c>
      <c r="J29" s="38">
        <f>+ROUND('Table 5-6'!J29/CE_Scale,RoundPlace)</f>
        <v>123</v>
      </c>
      <c r="K29" s="38">
        <f>+ROUND('Table 5-6'!K29/CE_Scale,RoundPlace)</f>
        <v>123</v>
      </c>
      <c r="L29" s="39">
        <f>+'Table 5-6'!L29</f>
        <v>1.6783578466893663E-3</v>
      </c>
      <c r="M29" s="39" t="str">
        <f>+'Table 5-6'!M29</f>
        <v>NO</v>
      </c>
      <c r="N29" s="39" t="str">
        <f>+'Table 5-6'!N29</f>
        <v>NO</v>
      </c>
    </row>
    <row r="30" spans="1:21" x14ac:dyDescent="0.25">
      <c r="A30" s="35" t="str">
        <f>+'Table 5-6'!A30</f>
        <v>Health state cost- MIBC</v>
      </c>
      <c r="B30" s="41">
        <f t="shared" ref="B30:D30" si="14">B22</f>
        <v>7027</v>
      </c>
      <c r="C30" s="41">
        <f t="shared" si="14"/>
        <v>5270</v>
      </c>
      <c r="D30" s="41">
        <f t="shared" si="14"/>
        <v>8783</v>
      </c>
      <c r="E30" s="38">
        <f>+ROUND('Table 5-6'!E30/CE_Scale,RoundPlace)</f>
        <v>123</v>
      </c>
      <c r="F30" s="38">
        <f>+ROUND('Table 5-6'!F30/CE_Scale,RoundPlace)</f>
        <v>124</v>
      </c>
      <c r="G30" s="38">
        <f>+ROUND('Table 5-6'!G30/CE_Scale,RoundPlace)</f>
        <v>123</v>
      </c>
      <c r="H30" s="41">
        <f>+'Table 5-6'!H30</f>
        <v>7027</v>
      </c>
      <c r="I30" s="41">
        <f>+'Table 5-6'!I30</f>
        <v>7300</v>
      </c>
      <c r="J30" s="38">
        <f>+ROUND('Table 5-6'!J30/CE_Scale,RoundPlace)</f>
        <v>123</v>
      </c>
      <c r="K30" s="38">
        <f>+ROUND('Table 5-6'!K30/CE_Scale,RoundPlace)</f>
        <v>123</v>
      </c>
      <c r="L30" s="39">
        <f>+'Table 5-6'!L30</f>
        <v>7.2016336604487953E-4</v>
      </c>
      <c r="M30" s="39" t="str">
        <f>+'Table 5-6'!M30</f>
        <v>NO</v>
      </c>
      <c r="N30" s="39" t="str">
        <f>+'Table 5-6'!N30</f>
        <v>NO</v>
      </c>
    </row>
    <row r="31" spans="1:21" x14ac:dyDescent="0.25">
      <c r="A31" s="35" t="str">
        <f>+'Table 5-6'!A31</f>
        <v>Health state cost- Cystectomy</v>
      </c>
      <c r="B31" s="41">
        <f t="shared" ref="B31:D31" si="15">B23</f>
        <v>30625</v>
      </c>
      <c r="C31" s="41">
        <f t="shared" si="15"/>
        <v>22969</v>
      </c>
      <c r="D31" s="41">
        <f t="shared" si="15"/>
        <v>38282</v>
      </c>
      <c r="E31" s="38">
        <f>+ROUND('Table 5-6'!E31/CE_Scale,RoundPlace)</f>
        <v>123</v>
      </c>
      <c r="F31" s="38">
        <f>+ROUND('Table 5-6'!F31/CE_Scale,RoundPlace)</f>
        <v>124</v>
      </c>
      <c r="G31" s="38">
        <f>+ROUND('Table 5-6'!G31/CE_Scale,RoundPlace)</f>
        <v>122</v>
      </c>
      <c r="H31" s="41">
        <f>+'Table 5-6'!H31</f>
        <v>30625</v>
      </c>
      <c r="I31" s="41">
        <f>+'Table 5-6'!I31</f>
        <v>31914</v>
      </c>
      <c r="J31" s="38">
        <f>+ROUND('Table 5-6'!J31/CE_Scale,RoundPlace)</f>
        <v>123</v>
      </c>
      <c r="K31" s="38">
        <f>+ROUND('Table 5-6'!K31/CE_Scale,RoundPlace)</f>
        <v>123</v>
      </c>
      <c r="L31" s="39">
        <f>+'Table 5-6'!L31</f>
        <v>6.4776737922807304E-4</v>
      </c>
      <c r="M31" s="39" t="str">
        <f>+'Table 5-6'!M31</f>
        <v>NO</v>
      </c>
      <c r="N31" s="39" t="str">
        <f>+'Table 5-6'!N31</f>
        <v>NO</v>
      </c>
    </row>
    <row r="32" spans="1:21" x14ac:dyDescent="0.25">
      <c r="A32" s="35" t="str">
        <f>+'Table 5-6'!A32</f>
        <v>Health state cost- Post-cystectomy</v>
      </c>
      <c r="B32" s="41">
        <f t="shared" ref="B32:D32" si="16">B24</f>
        <v>8665</v>
      </c>
      <c r="C32" s="41">
        <f t="shared" si="16"/>
        <v>6498</v>
      </c>
      <c r="D32" s="41">
        <f t="shared" si="16"/>
        <v>10831</v>
      </c>
      <c r="E32" s="38">
        <f>+ROUND('Table 5-6'!E32/CE_Scale,RoundPlace)</f>
        <v>123</v>
      </c>
      <c r="F32" s="38">
        <f>+ROUND('Table 5-6'!F32/CE_Scale,RoundPlace)</f>
        <v>121</v>
      </c>
      <c r="G32" s="38">
        <f>+ROUND('Table 5-6'!G32/CE_Scale,RoundPlace)</f>
        <v>121</v>
      </c>
      <c r="H32" s="41">
        <f>+'Table 5-6'!H32</f>
        <v>8665</v>
      </c>
      <c r="I32" s="41">
        <f>+'Table 5-6'!I32</f>
        <v>9027</v>
      </c>
      <c r="J32" s="38">
        <f>+ROUND('Table 5-6'!J32/CE_Scale,RoundPlace)</f>
        <v>121</v>
      </c>
      <c r="K32" s="38">
        <f>+ROUND('Table 5-6'!K32/CE_Scale,RoundPlace)</f>
        <v>121</v>
      </c>
      <c r="L32" s="39">
        <f>+'Table 5-6'!L32</f>
        <v>6.2428616824376001E-3</v>
      </c>
      <c r="M32" s="39" t="str">
        <f>+'Table 5-6'!M32</f>
        <v>NO</v>
      </c>
      <c r="N32" s="39" t="str">
        <f>+'Table 5-6'!N32</f>
        <v>NO</v>
      </c>
    </row>
    <row r="33" spans="1:14" x14ac:dyDescent="0.25">
      <c r="A33" s="35" t="str">
        <f>+'Table 5-6'!A33</f>
        <v>Health state cost- Metastatic disease</v>
      </c>
      <c r="B33" s="41">
        <f t="shared" ref="B33:D33" si="17">B25</f>
        <v>24905</v>
      </c>
      <c r="C33" s="41">
        <f t="shared" si="17"/>
        <v>18679</v>
      </c>
      <c r="D33" s="41">
        <f t="shared" si="17"/>
        <v>31131</v>
      </c>
      <c r="E33" s="38">
        <f>+ROUND('Table 5-6'!E33/CE_Scale,RoundPlace)</f>
        <v>123</v>
      </c>
      <c r="F33" s="38">
        <f>+ROUND('Table 5-6'!F33/CE_Scale,RoundPlace)</f>
        <v>126</v>
      </c>
      <c r="G33" s="38">
        <f>+ROUND('Table 5-6'!G33/CE_Scale,RoundPlace)</f>
        <v>121</v>
      </c>
      <c r="H33" s="41">
        <f>+'Table 5-6'!H33</f>
        <v>24905</v>
      </c>
      <c r="I33" s="41">
        <f>+'Table 5-6'!I33</f>
        <v>25953</v>
      </c>
      <c r="J33" s="38">
        <f>+ROUND('Table 5-6'!J33/CE_Scale,RoundPlace)</f>
        <v>123</v>
      </c>
      <c r="K33" s="38">
        <f>+ROUND('Table 5-6'!K33/CE_Scale,RoundPlace)</f>
        <v>123</v>
      </c>
      <c r="L33" s="39">
        <f>+'Table 5-6'!L33</f>
        <v>1.6109770942985496E-3</v>
      </c>
      <c r="M33" s="39" t="str">
        <f>+'Table 5-6'!M33</f>
        <v>NO</v>
      </c>
      <c r="N33" s="39" t="str">
        <f>+'Table 5-6'!N33</f>
        <v>NO</v>
      </c>
    </row>
  </sheetData>
  <mergeCells count="5">
    <mergeCell ref="B1:D1"/>
    <mergeCell ref="E1:G1"/>
    <mergeCell ref="H1:I1"/>
    <mergeCell ref="J1:K1"/>
    <mergeCell ref="L1:N1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592C-9552-4D99-9F14-0320277828B9}">
  <sheetPr>
    <tabColor rgb="FFFFC000"/>
  </sheetPr>
  <dimension ref="A2:O51"/>
  <sheetViews>
    <sheetView workbookViewId="0">
      <selection activeCell="J31" sqref="J31"/>
    </sheetView>
  </sheetViews>
  <sheetFormatPr defaultColWidth="9.140625" defaultRowHeight="12.75" x14ac:dyDescent="0.2"/>
  <cols>
    <col min="1" max="1" width="55" style="16" customWidth="1"/>
    <col min="2" max="4" width="9.140625" style="16"/>
    <col min="5" max="5" width="9.140625" style="16" customWidth="1"/>
    <col min="6" max="6" width="13.42578125" style="16" bestFit="1" customWidth="1"/>
    <col min="7" max="7" width="14.140625" style="16" bestFit="1" customWidth="1"/>
    <col min="8" max="15" width="9.85546875" style="16" customWidth="1"/>
    <col min="16" max="16384" width="9.140625" style="16"/>
  </cols>
  <sheetData>
    <row r="2" spans="1:15" x14ac:dyDescent="0.2">
      <c r="B2" s="73" t="s">
        <v>45</v>
      </c>
      <c r="C2" s="73"/>
      <c r="D2" s="73"/>
      <c r="E2" s="73" t="s">
        <v>46</v>
      </c>
      <c r="F2" s="73"/>
      <c r="G2" s="73"/>
      <c r="H2" s="73" t="s">
        <v>53</v>
      </c>
      <c r="I2" s="73"/>
      <c r="J2" s="71"/>
      <c r="K2" s="71"/>
      <c r="L2" s="71"/>
      <c r="M2" s="71"/>
      <c r="N2" s="71"/>
      <c r="O2" s="71"/>
    </row>
    <row r="3" spans="1:15" ht="25.5" x14ac:dyDescent="0.2">
      <c r="A3" s="17" t="str">
        <f>+'Table 5-5 - inputs'!A3</f>
        <v>Analysis (a): NF for CIS+/- Ta/T1</v>
      </c>
      <c r="B3" s="43" t="s">
        <v>47</v>
      </c>
      <c r="C3" s="43" t="s">
        <v>48</v>
      </c>
      <c r="D3" s="43" t="s">
        <v>49</v>
      </c>
      <c r="E3" s="43" t="s">
        <v>50</v>
      </c>
      <c r="F3" s="43" t="s">
        <v>51</v>
      </c>
      <c r="G3" s="43" t="s">
        <v>52</v>
      </c>
      <c r="H3" s="43" t="s">
        <v>89</v>
      </c>
      <c r="I3" s="43" t="s">
        <v>90</v>
      </c>
      <c r="J3" s="43"/>
      <c r="K3" s="43"/>
      <c r="L3" s="43"/>
      <c r="M3" s="43"/>
      <c r="N3" s="43"/>
      <c r="O3" s="43"/>
    </row>
    <row r="4" spans="1:15" x14ac:dyDescent="0.2">
      <c r="A4" s="16" t="s">
        <v>71</v>
      </c>
      <c r="B4" s="18">
        <v>1.4E-2</v>
      </c>
      <c r="C4" s="18">
        <v>0</v>
      </c>
      <c r="D4" s="18">
        <v>5.0599999999999999E-2</v>
      </c>
      <c r="E4" s="47">
        <v>151000</v>
      </c>
      <c r="F4" s="47">
        <v>250157.42439999999</v>
      </c>
      <c r="G4" s="47">
        <v>103456.51549999999</v>
      </c>
      <c r="H4" s="27">
        <v>0.03</v>
      </c>
      <c r="I4" s="27">
        <v>0.03</v>
      </c>
      <c r="J4" s="27"/>
      <c r="K4" s="27"/>
      <c r="L4" s="27"/>
      <c r="M4" s="27"/>
      <c r="N4" s="27"/>
      <c r="O4" s="27"/>
    </row>
    <row r="5" spans="1:15" x14ac:dyDescent="0.2">
      <c r="A5" s="16" t="s">
        <v>72</v>
      </c>
      <c r="B5" s="18">
        <v>0.05</v>
      </c>
      <c r="C5" s="18">
        <v>4.9500000000000002E-2</v>
      </c>
      <c r="D5" s="18">
        <v>5.2499999999999998E-2</v>
      </c>
      <c r="E5" s="47">
        <v>151000</v>
      </c>
      <c r="F5" s="47">
        <v>149260.48360000001</v>
      </c>
      <c r="G5" s="47">
        <v>151542.75539999999</v>
      </c>
      <c r="H5" s="27">
        <v>0.05</v>
      </c>
      <c r="I5" s="27">
        <v>0.05</v>
      </c>
      <c r="J5" s="27"/>
      <c r="K5" s="27"/>
      <c r="L5" s="27"/>
      <c r="M5" s="27"/>
      <c r="N5" s="27"/>
      <c r="O5" s="27"/>
    </row>
    <row r="6" spans="1:15" x14ac:dyDescent="0.2">
      <c r="A6" s="16" t="s">
        <v>73</v>
      </c>
      <c r="B6" s="18">
        <v>0.5</v>
      </c>
      <c r="C6" s="18">
        <v>0.49120000000000003</v>
      </c>
      <c r="D6" s="18">
        <v>0.50880000000000003</v>
      </c>
      <c r="E6" s="47">
        <v>151000</v>
      </c>
      <c r="F6" s="47">
        <v>150058.50510000001</v>
      </c>
      <c r="G6" s="47">
        <v>151094.65349999999</v>
      </c>
      <c r="H6" s="27">
        <v>0.5</v>
      </c>
      <c r="I6" s="27">
        <v>0.5</v>
      </c>
      <c r="J6" s="27"/>
      <c r="K6" s="27"/>
      <c r="L6" s="27"/>
      <c r="M6" s="27"/>
      <c r="N6" s="27"/>
      <c r="O6" s="27"/>
    </row>
    <row r="7" spans="1:15" x14ac:dyDescent="0.2">
      <c r="A7" s="16" t="s">
        <v>74</v>
      </c>
      <c r="B7" s="18">
        <v>3.9E-2</v>
      </c>
      <c r="C7" s="18">
        <v>3.2800000000000003E-2</v>
      </c>
      <c r="D7" s="18">
        <v>4.5199999999999997E-2</v>
      </c>
      <c r="E7" s="47">
        <v>151000</v>
      </c>
      <c r="F7" s="47">
        <v>150495.98989999999</v>
      </c>
      <c r="G7" s="47">
        <v>151000</v>
      </c>
      <c r="H7" s="27">
        <v>0.04</v>
      </c>
      <c r="I7" s="27">
        <v>3.9E-2</v>
      </c>
      <c r="J7" s="27"/>
      <c r="K7" s="27"/>
      <c r="L7" s="27"/>
      <c r="M7" s="27"/>
      <c r="N7" s="27"/>
      <c r="O7" s="27"/>
    </row>
    <row r="8" spans="1:15" x14ac:dyDescent="0.2">
      <c r="A8" s="16" t="s">
        <v>75</v>
      </c>
      <c r="B8" s="18">
        <v>5.7000000000000002E-2</v>
      </c>
      <c r="C8" s="18">
        <v>4.9099999999999998E-2</v>
      </c>
      <c r="D8" s="18">
        <v>6.4600000000000005E-2</v>
      </c>
      <c r="E8" s="47">
        <v>151000</v>
      </c>
      <c r="F8" s="47">
        <v>150748.5097</v>
      </c>
      <c r="G8" s="47">
        <v>151000</v>
      </c>
      <c r="H8" s="27">
        <v>0.06</v>
      </c>
      <c r="I8" s="27">
        <v>0.06</v>
      </c>
      <c r="J8" s="27"/>
      <c r="K8" s="27"/>
      <c r="L8" s="27"/>
      <c r="M8" s="27"/>
      <c r="N8" s="27"/>
      <c r="O8" s="27"/>
    </row>
    <row r="9" spans="1:15" x14ac:dyDescent="0.2">
      <c r="B9" s="49"/>
      <c r="C9" s="48"/>
      <c r="D9" s="48"/>
      <c r="E9" s="47"/>
      <c r="F9" s="47"/>
      <c r="G9" s="47"/>
      <c r="H9" s="27"/>
      <c r="I9" s="27"/>
      <c r="J9" s="27"/>
      <c r="K9" s="27"/>
      <c r="L9" s="27"/>
      <c r="M9" s="27"/>
      <c r="N9" s="27"/>
      <c r="O9" s="27"/>
    </row>
    <row r="10" spans="1:15" x14ac:dyDescent="0.2">
      <c r="B10" s="73" t="s">
        <v>45</v>
      </c>
      <c r="C10" s="73"/>
      <c r="D10" s="73"/>
      <c r="E10" s="73" t="s">
        <v>46</v>
      </c>
      <c r="F10" s="73"/>
      <c r="G10" s="73"/>
      <c r="H10" s="73" t="s">
        <v>53</v>
      </c>
      <c r="I10" s="73"/>
      <c r="J10" s="71"/>
      <c r="K10" s="71"/>
      <c r="L10" s="71"/>
      <c r="M10" s="71"/>
      <c r="N10" s="71"/>
      <c r="O10" s="71"/>
    </row>
    <row r="11" spans="1:15" ht="25.5" x14ac:dyDescent="0.2">
      <c r="A11" s="17" t="str">
        <f>+'Table 5-5 - inputs'!A10</f>
        <v>Analysis (b): OM for CIS+/- Ta/T1</v>
      </c>
      <c r="B11" s="43" t="s">
        <v>47</v>
      </c>
      <c r="C11" s="43" t="s">
        <v>48</v>
      </c>
      <c r="D11" s="43" t="s">
        <v>49</v>
      </c>
      <c r="E11" s="43" t="s">
        <v>50</v>
      </c>
      <c r="F11" s="43" t="s">
        <v>51</v>
      </c>
      <c r="G11" s="43" t="s">
        <v>52</v>
      </c>
      <c r="H11" s="43" t="s">
        <v>89</v>
      </c>
      <c r="I11" s="43" t="s">
        <v>90</v>
      </c>
      <c r="J11" s="43"/>
      <c r="K11" s="43"/>
      <c r="L11" s="43"/>
      <c r="M11" s="43"/>
      <c r="N11" s="43"/>
      <c r="O11" s="43"/>
    </row>
    <row r="12" spans="1:15" x14ac:dyDescent="0.2">
      <c r="A12" s="16" t="str">
        <f t="shared" ref="A12:D16" si="0">+A4</f>
        <v>Transition probability: Progression to MIBC</v>
      </c>
      <c r="B12" s="18">
        <f t="shared" si="0"/>
        <v>1.4E-2</v>
      </c>
      <c r="C12" s="18">
        <f t="shared" si="0"/>
        <v>0</v>
      </c>
      <c r="D12" s="18">
        <f t="shared" si="0"/>
        <v>5.0599999999999999E-2</v>
      </c>
      <c r="E12" s="47">
        <v>382000</v>
      </c>
      <c r="F12" s="47">
        <v>449780.179</v>
      </c>
      <c r="G12" s="47">
        <v>250000.1519</v>
      </c>
      <c r="H12" s="57">
        <f>H4</f>
        <v>0.03</v>
      </c>
      <c r="I12" s="57">
        <f t="shared" ref="I12:I16" si="1">I4</f>
        <v>0.03</v>
      </c>
      <c r="J12" s="57"/>
      <c r="K12" s="57"/>
      <c r="L12" s="57"/>
      <c r="M12" s="57"/>
      <c r="N12" s="57"/>
      <c r="O12" s="57"/>
    </row>
    <row r="13" spans="1:15" x14ac:dyDescent="0.2">
      <c r="A13" s="16" t="str">
        <f t="shared" si="0"/>
        <v>Transition probability: NMIBC Cystectomy</v>
      </c>
      <c r="B13" s="27">
        <f t="shared" si="0"/>
        <v>0.05</v>
      </c>
      <c r="C13" s="18">
        <f t="shared" si="0"/>
        <v>4.9500000000000002E-2</v>
      </c>
      <c r="D13" s="18">
        <f t="shared" si="0"/>
        <v>5.2499999999999998E-2</v>
      </c>
      <c r="E13" s="47">
        <v>382000</v>
      </c>
      <c r="F13" s="47">
        <v>383411.36060000001</v>
      </c>
      <c r="G13" s="47">
        <v>380212.87560000003</v>
      </c>
      <c r="H13" s="57">
        <f t="shared" ref="H13" si="2">H5</f>
        <v>0.05</v>
      </c>
      <c r="I13" s="57">
        <f t="shared" si="1"/>
        <v>0.05</v>
      </c>
      <c r="J13" s="57"/>
      <c r="K13" s="57"/>
      <c r="L13" s="57"/>
      <c r="M13" s="57"/>
      <c r="N13" s="57"/>
      <c r="O13" s="57"/>
    </row>
    <row r="14" spans="1:15" x14ac:dyDescent="0.2">
      <c r="A14" s="16" t="str">
        <f t="shared" si="0"/>
        <v>Transition probability: MIBC Cystectomy</v>
      </c>
      <c r="B14" s="27">
        <f t="shared" si="0"/>
        <v>0.5</v>
      </c>
      <c r="C14" s="18">
        <f t="shared" si="0"/>
        <v>0.49120000000000003</v>
      </c>
      <c r="D14" s="18">
        <f t="shared" si="0"/>
        <v>0.50880000000000003</v>
      </c>
      <c r="E14" s="47">
        <v>382000</v>
      </c>
      <c r="F14" s="47">
        <v>381195.36599999998</v>
      </c>
      <c r="G14" s="47">
        <v>382000.00210637174</v>
      </c>
      <c r="H14" s="57">
        <f t="shared" ref="H14" si="3">H6</f>
        <v>0.5</v>
      </c>
      <c r="I14" s="57">
        <f t="shared" si="1"/>
        <v>0.5</v>
      </c>
      <c r="J14" s="57"/>
      <c r="K14" s="57"/>
      <c r="L14" s="57"/>
      <c r="M14" s="57"/>
      <c r="N14" s="57"/>
      <c r="O14" s="57"/>
    </row>
    <row r="15" spans="1:15" x14ac:dyDescent="0.2">
      <c r="A15" s="16" t="str">
        <f t="shared" si="0"/>
        <v>Transition probability: MIBC to Metastatic Disease</v>
      </c>
      <c r="B15" s="27">
        <f t="shared" si="0"/>
        <v>3.9E-2</v>
      </c>
      <c r="C15" s="18">
        <f t="shared" si="0"/>
        <v>3.2800000000000003E-2</v>
      </c>
      <c r="D15" s="18">
        <f t="shared" si="0"/>
        <v>4.5199999999999997E-2</v>
      </c>
      <c r="E15" s="47">
        <v>382000</v>
      </c>
      <c r="F15" s="47">
        <v>381081.36330000003</v>
      </c>
      <c r="G15" s="47">
        <v>382000.00210637174</v>
      </c>
      <c r="H15" s="57">
        <f t="shared" ref="H15" si="4">H7</f>
        <v>0.04</v>
      </c>
      <c r="I15" s="57">
        <f t="shared" si="1"/>
        <v>3.9E-2</v>
      </c>
      <c r="J15" s="57"/>
      <c r="K15" s="57"/>
      <c r="L15" s="57"/>
      <c r="M15" s="57"/>
      <c r="N15" s="57"/>
      <c r="O15" s="57"/>
    </row>
    <row r="16" spans="1:15" x14ac:dyDescent="0.2">
      <c r="A16" s="16" t="str">
        <f t="shared" si="0"/>
        <v>Transition probability: Post-Cystectomy to Metastatic Disease</v>
      </c>
      <c r="B16" s="27">
        <f t="shared" si="0"/>
        <v>5.7000000000000002E-2</v>
      </c>
      <c r="C16" s="18">
        <f t="shared" si="0"/>
        <v>4.9099999999999998E-2</v>
      </c>
      <c r="D16" s="18">
        <f t="shared" si="0"/>
        <v>6.4600000000000005E-2</v>
      </c>
      <c r="E16" s="47">
        <v>382000</v>
      </c>
      <c r="F16" s="47">
        <v>379687.14169999998</v>
      </c>
      <c r="G16" s="47">
        <v>383525.56170000002</v>
      </c>
      <c r="H16" s="57">
        <f t="shared" ref="H16" si="5">H8</f>
        <v>0.06</v>
      </c>
      <c r="I16" s="57">
        <f t="shared" si="1"/>
        <v>0.06</v>
      </c>
      <c r="J16" s="57"/>
      <c r="K16" s="57"/>
      <c r="L16" s="57"/>
      <c r="M16" s="57"/>
      <c r="N16" s="57"/>
      <c r="O16" s="57"/>
    </row>
    <row r="17" spans="1:15" x14ac:dyDescent="0.2">
      <c r="E17" s="47"/>
      <c r="F17" s="47"/>
      <c r="G17" s="47"/>
      <c r="H17" s="57"/>
      <c r="I17" s="57"/>
      <c r="J17" s="57"/>
      <c r="K17" s="57"/>
      <c r="L17" s="57"/>
      <c r="M17" s="57"/>
      <c r="N17" s="57"/>
      <c r="O17" s="57"/>
    </row>
    <row r="18" spans="1:15" x14ac:dyDescent="0.2">
      <c r="B18" s="73" t="s">
        <v>45</v>
      </c>
      <c r="C18" s="73"/>
      <c r="D18" s="73"/>
      <c r="E18" s="73" t="s">
        <v>46</v>
      </c>
      <c r="F18" s="73"/>
      <c r="G18" s="73"/>
      <c r="H18" s="73" t="s">
        <v>53</v>
      </c>
      <c r="I18" s="73"/>
      <c r="J18" s="71"/>
      <c r="K18" s="71"/>
      <c r="L18" s="71"/>
      <c r="M18" s="71"/>
      <c r="N18" s="71"/>
      <c r="O18" s="71"/>
    </row>
    <row r="19" spans="1:15" ht="25.5" x14ac:dyDescent="0.2">
      <c r="A19" s="17" t="str">
        <f>+'Table 5-5 - inputs'!A17</f>
        <v>Analysis (c): NF for HG Ta/T1</v>
      </c>
      <c r="B19" s="43" t="s">
        <v>47</v>
      </c>
      <c r="C19" s="43" t="s">
        <v>48</v>
      </c>
      <c r="D19" s="43" t="s">
        <v>49</v>
      </c>
      <c r="E19" s="43" t="s">
        <v>50</v>
      </c>
      <c r="F19" s="43" t="s">
        <v>51</v>
      </c>
      <c r="G19" s="43" t="s">
        <v>52</v>
      </c>
      <c r="H19" s="43" t="s">
        <v>89</v>
      </c>
      <c r="I19" s="43" t="s">
        <v>90</v>
      </c>
      <c r="J19" s="43"/>
      <c r="K19" s="43"/>
      <c r="L19" s="43"/>
      <c r="M19" s="43"/>
      <c r="N19" s="43"/>
      <c r="O19" s="43"/>
    </row>
    <row r="20" spans="1:15" x14ac:dyDescent="0.2">
      <c r="A20" s="16" t="str">
        <f t="shared" ref="A20:D22" si="6">+A12</f>
        <v>Transition probability: Progression to MIBC</v>
      </c>
      <c r="B20" s="18">
        <f t="shared" si="6"/>
        <v>1.4E-2</v>
      </c>
      <c r="C20" s="18">
        <f t="shared" si="6"/>
        <v>0</v>
      </c>
      <c r="D20" s="18">
        <f t="shared" si="6"/>
        <v>5.0599999999999999E-2</v>
      </c>
      <c r="E20" s="47">
        <v>93000</v>
      </c>
      <c r="F20" s="47">
        <v>176989.42069999999</v>
      </c>
      <c r="G20" s="47">
        <v>71053.050069999998</v>
      </c>
      <c r="H20" s="57">
        <f>H12</f>
        <v>0.03</v>
      </c>
      <c r="I20" s="57">
        <f t="shared" ref="I20:I24" si="7">I12</f>
        <v>0.03</v>
      </c>
      <c r="J20" s="57"/>
      <c r="K20" s="57"/>
      <c r="L20" s="57"/>
      <c r="M20" s="57"/>
      <c r="N20" s="57"/>
      <c r="O20" s="57"/>
    </row>
    <row r="21" spans="1:15" x14ac:dyDescent="0.2">
      <c r="A21" s="16" t="str">
        <f t="shared" si="6"/>
        <v>Transition probability: NMIBC Cystectomy</v>
      </c>
      <c r="B21" s="27">
        <f t="shared" si="6"/>
        <v>0.05</v>
      </c>
      <c r="C21" s="18">
        <f t="shared" si="6"/>
        <v>4.9500000000000002E-2</v>
      </c>
      <c r="D21" s="18">
        <f t="shared" si="6"/>
        <v>5.2499999999999998E-2</v>
      </c>
      <c r="E21" s="47">
        <v>93000</v>
      </c>
      <c r="F21" s="47">
        <v>93000.004904070112</v>
      </c>
      <c r="G21" s="47">
        <v>92543.921480000005</v>
      </c>
      <c r="H21" s="57">
        <f t="shared" ref="H21" si="8">H13</f>
        <v>0.05</v>
      </c>
      <c r="I21" s="57">
        <f t="shared" si="7"/>
        <v>0.05</v>
      </c>
      <c r="J21" s="57"/>
      <c r="K21" s="57"/>
      <c r="L21" s="57"/>
      <c r="M21" s="57"/>
      <c r="N21" s="57"/>
      <c r="O21" s="57"/>
    </row>
    <row r="22" spans="1:15" x14ac:dyDescent="0.2">
      <c r="A22" s="16" t="str">
        <f>+A14</f>
        <v>Transition probability: MIBC Cystectomy</v>
      </c>
      <c r="B22" s="27">
        <f t="shared" si="6"/>
        <v>0.5</v>
      </c>
      <c r="C22" s="18">
        <f t="shared" si="6"/>
        <v>0.49120000000000003</v>
      </c>
      <c r="D22" s="18">
        <f>+D14</f>
        <v>0.50880000000000003</v>
      </c>
      <c r="E22" s="47">
        <v>93000</v>
      </c>
      <c r="F22" s="47">
        <v>92429.701759999996</v>
      </c>
      <c r="G22" s="47">
        <v>93000.006132239141</v>
      </c>
      <c r="H22" s="57">
        <f t="shared" ref="H22" si="9">H14</f>
        <v>0.5</v>
      </c>
      <c r="I22" s="57">
        <f t="shared" si="7"/>
        <v>0.5</v>
      </c>
      <c r="J22" s="57"/>
      <c r="K22" s="57"/>
      <c r="L22" s="57"/>
      <c r="M22" s="57"/>
      <c r="N22" s="57"/>
      <c r="O22" s="57"/>
    </row>
    <row r="23" spans="1:15" x14ac:dyDescent="0.2">
      <c r="A23" s="16" t="str">
        <f>+A15</f>
        <v>Transition probability: MIBC to Metastatic Disease</v>
      </c>
      <c r="B23" s="27">
        <f>+B15</f>
        <v>3.9E-2</v>
      </c>
      <c r="C23" s="18">
        <f>+C15</f>
        <v>3.2800000000000003E-2</v>
      </c>
      <c r="D23" s="18">
        <f>+D15</f>
        <v>4.5199999999999997E-2</v>
      </c>
      <c r="E23" s="47">
        <v>93000</v>
      </c>
      <c r="F23" s="47">
        <v>93181.80601</v>
      </c>
      <c r="G23" s="47">
        <v>92501.641250000001</v>
      </c>
      <c r="H23" s="57">
        <f t="shared" ref="H23" si="10">H15</f>
        <v>0.04</v>
      </c>
      <c r="I23" s="57">
        <f t="shared" si="7"/>
        <v>3.9E-2</v>
      </c>
      <c r="J23" s="57"/>
      <c r="K23" s="57"/>
      <c r="L23" s="57"/>
      <c r="M23" s="57"/>
      <c r="N23" s="57"/>
      <c r="O23" s="57"/>
    </row>
    <row r="24" spans="1:15" x14ac:dyDescent="0.2">
      <c r="A24" s="16" t="str">
        <f>+A16</f>
        <v>Transition probability: Post-Cystectomy to Metastatic Disease</v>
      </c>
      <c r="B24" s="27">
        <f>+B16</f>
        <v>5.7000000000000002E-2</v>
      </c>
      <c r="C24" s="18">
        <f>+C16</f>
        <v>4.9099999999999998E-2</v>
      </c>
      <c r="D24" s="18">
        <f>+D16</f>
        <v>6.4600000000000005E-2</v>
      </c>
      <c r="E24" s="47">
        <v>93000</v>
      </c>
      <c r="F24" s="47">
        <v>93211.561870000005</v>
      </c>
      <c r="G24" s="47">
        <v>92304.895709999997</v>
      </c>
      <c r="H24" s="57">
        <f t="shared" ref="H24" si="11">H16</f>
        <v>0.06</v>
      </c>
      <c r="I24" s="57">
        <f t="shared" si="7"/>
        <v>0.06</v>
      </c>
      <c r="J24" s="57"/>
      <c r="K24" s="57"/>
      <c r="L24" s="57"/>
      <c r="M24" s="57"/>
      <c r="N24" s="57"/>
      <c r="O24" s="57"/>
    </row>
    <row r="25" spans="1:15" x14ac:dyDescent="0.2">
      <c r="E25" s="47"/>
      <c r="F25" s="47"/>
      <c r="G25" s="47"/>
      <c r="H25" s="57"/>
      <c r="I25" s="57"/>
      <c r="J25" s="57"/>
      <c r="K25" s="57"/>
      <c r="L25" s="57"/>
      <c r="M25" s="57"/>
      <c r="N25" s="57"/>
      <c r="O25" s="57"/>
    </row>
    <row r="26" spans="1:15" x14ac:dyDescent="0.2">
      <c r="B26" s="73" t="s">
        <v>45</v>
      </c>
      <c r="C26" s="73"/>
      <c r="D26" s="73"/>
      <c r="E26" s="73" t="s">
        <v>46</v>
      </c>
      <c r="F26" s="73"/>
      <c r="G26" s="73"/>
      <c r="H26" s="73" t="s">
        <v>53</v>
      </c>
      <c r="I26" s="73"/>
      <c r="J26" s="71"/>
      <c r="K26" s="71"/>
      <c r="L26" s="71"/>
      <c r="M26" s="71"/>
      <c r="N26" s="71"/>
      <c r="O26" s="71"/>
    </row>
    <row r="27" spans="1:15" ht="25.5" x14ac:dyDescent="0.2">
      <c r="A27" s="17" t="str">
        <f>+'Table 5-5 - inputs'!A24</f>
        <v>Analysis (d): OM for HG Ta/T1</v>
      </c>
      <c r="B27" s="43" t="s">
        <v>47</v>
      </c>
      <c r="C27" s="43" t="s">
        <v>48</v>
      </c>
      <c r="D27" s="43" t="s">
        <v>49</v>
      </c>
      <c r="E27" s="43" t="s">
        <v>50</v>
      </c>
      <c r="F27" s="43" t="s">
        <v>51</v>
      </c>
      <c r="G27" s="43" t="s">
        <v>52</v>
      </c>
      <c r="H27" s="43" t="s">
        <v>89</v>
      </c>
      <c r="I27" s="43" t="s">
        <v>90</v>
      </c>
      <c r="J27" s="43"/>
      <c r="K27" s="43"/>
      <c r="L27" s="43"/>
      <c r="M27" s="43"/>
      <c r="N27" s="43"/>
      <c r="O27" s="43"/>
    </row>
    <row r="28" spans="1:15" x14ac:dyDescent="0.2">
      <c r="A28" s="16" t="str">
        <f t="shared" ref="A28:D32" si="12">+A20</f>
        <v>Transition probability: Progression to MIBC</v>
      </c>
      <c r="B28" s="18">
        <f t="shared" si="12"/>
        <v>1.4E-2</v>
      </c>
      <c r="C28" s="18">
        <f t="shared" si="12"/>
        <v>0</v>
      </c>
      <c r="D28" s="18">
        <f t="shared" si="12"/>
        <v>5.0599999999999999E-2</v>
      </c>
      <c r="E28" s="47">
        <v>123000</v>
      </c>
      <c r="F28" s="47">
        <v>224975.2752</v>
      </c>
      <c r="G28" s="47">
        <v>88051.866110000003</v>
      </c>
      <c r="H28" s="57">
        <f>H20</f>
        <v>0.03</v>
      </c>
      <c r="I28" s="57">
        <f t="shared" ref="I28:I32" si="13">I20</f>
        <v>0.03</v>
      </c>
      <c r="J28" s="57"/>
      <c r="K28" s="57"/>
      <c r="L28" s="57"/>
      <c r="M28" s="57"/>
      <c r="N28" s="57"/>
      <c r="O28" s="57"/>
    </row>
    <row r="29" spans="1:15" x14ac:dyDescent="0.2">
      <c r="A29" s="16" t="str">
        <f t="shared" si="12"/>
        <v>Transition probability: NMIBC Cystectomy</v>
      </c>
      <c r="B29" s="27">
        <f t="shared" si="12"/>
        <v>0.05</v>
      </c>
      <c r="C29" s="18">
        <f t="shared" si="12"/>
        <v>4.9500000000000002E-2</v>
      </c>
      <c r="D29" s="18">
        <f t="shared" si="12"/>
        <v>5.2499999999999998E-2</v>
      </c>
      <c r="E29" s="47">
        <v>123000</v>
      </c>
      <c r="F29" s="47">
        <v>123511.686</v>
      </c>
      <c r="G29" s="47">
        <v>122257.9218</v>
      </c>
      <c r="H29" s="57">
        <f t="shared" ref="H29" si="14">H21</f>
        <v>0.05</v>
      </c>
      <c r="I29" s="57">
        <f t="shared" si="13"/>
        <v>0.05</v>
      </c>
      <c r="J29" s="57"/>
      <c r="K29" s="57"/>
      <c r="L29" s="57"/>
      <c r="M29" s="57"/>
      <c r="N29" s="57"/>
      <c r="O29" s="57"/>
    </row>
    <row r="30" spans="1:15" x14ac:dyDescent="0.2">
      <c r="A30" s="16" t="str">
        <f t="shared" si="12"/>
        <v>Transition probability: MIBC Cystectomy</v>
      </c>
      <c r="B30" s="27">
        <f t="shared" si="12"/>
        <v>0.5</v>
      </c>
      <c r="C30" s="18">
        <f t="shared" si="12"/>
        <v>0.49120000000000003</v>
      </c>
      <c r="D30" s="18">
        <f t="shared" si="12"/>
        <v>0.50880000000000003</v>
      </c>
      <c r="E30" s="47">
        <v>123000</v>
      </c>
      <c r="F30" s="47">
        <v>123100.67329999999</v>
      </c>
      <c r="G30" s="47">
        <v>122454.53230000001</v>
      </c>
      <c r="H30" s="57">
        <f t="shared" ref="H30" si="15">H22</f>
        <v>0.5</v>
      </c>
      <c r="I30" s="57">
        <f t="shared" si="13"/>
        <v>0.5</v>
      </c>
      <c r="J30" s="57"/>
      <c r="K30" s="57"/>
      <c r="L30" s="57"/>
      <c r="M30" s="57"/>
      <c r="N30" s="57"/>
      <c r="O30" s="57"/>
    </row>
    <row r="31" spans="1:15" x14ac:dyDescent="0.2">
      <c r="A31" s="16" t="str">
        <f t="shared" si="12"/>
        <v>Transition probability: MIBC to Metastatic Disease</v>
      </c>
      <c r="B31" s="27">
        <f t="shared" si="12"/>
        <v>3.9E-2</v>
      </c>
      <c r="C31" s="18">
        <f t="shared" si="12"/>
        <v>3.2800000000000003E-2</v>
      </c>
      <c r="D31" s="18">
        <f t="shared" si="12"/>
        <v>4.5199999999999997E-2</v>
      </c>
      <c r="E31" s="47">
        <v>123000</v>
      </c>
      <c r="F31" s="47">
        <v>123169.65429999999</v>
      </c>
      <c r="G31" s="47">
        <v>122999.99862069674</v>
      </c>
      <c r="H31" s="57">
        <f t="shared" ref="H31" si="16">H23</f>
        <v>0.04</v>
      </c>
      <c r="I31" s="57">
        <f t="shared" si="13"/>
        <v>3.9E-2</v>
      </c>
      <c r="J31" s="57"/>
      <c r="K31" s="57"/>
      <c r="L31" s="57"/>
      <c r="M31" s="57"/>
      <c r="N31" s="57"/>
      <c r="O31" s="57"/>
    </row>
    <row r="32" spans="1:15" x14ac:dyDescent="0.2">
      <c r="A32" s="16" t="str">
        <f t="shared" si="12"/>
        <v>Transition probability: Post-Cystectomy to Metastatic Disease</v>
      </c>
      <c r="B32" s="27">
        <f t="shared" si="12"/>
        <v>5.7000000000000002E-2</v>
      </c>
      <c r="C32" s="18">
        <f t="shared" si="12"/>
        <v>4.9099999999999998E-2</v>
      </c>
      <c r="D32" s="18">
        <f t="shared" si="12"/>
        <v>6.4600000000000005E-2</v>
      </c>
      <c r="E32" s="47">
        <v>123000</v>
      </c>
      <c r="F32" s="47">
        <v>123031.2859</v>
      </c>
      <c r="G32" s="47">
        <v>122502.7876</v>
      </c>
      <c r="H32" s="57">
        <f t="shared" ref="H32" si="17">H24</f>
        <v>0.06</v>
      </c>
      <c r="I32" s="57">
        <f t="shared" si="13"/>
        <v>0.06</v>
      </c>
      <c r="J32" s="57"/>
      <c r="K32" s="57"/>
      <c r="L32" s="57"/>
      <c r="M32" s="57"/>
      <c r="N32" s="57"/>
      <c r="O32" s="57"/>
    </row>
    <row r="33" spans="1:15" x14ac:dyDescent="0.2">
      <c r="E33" s="47"/>
      <c r="F33" s="47"/>
      <c r="G33" s="47"/>
      <c r="H33" s="57"/>
      <c r="I33" s="57"/>
      <c r="J33" s="57"/>
      <c r="K33" s="57"/>
      <c r="L33" s="57"/>
      <c r="M33" s="57"/>
      <c r="N33" s="57"/>
      <c r="O33" s="57"/>
    </row>
    <row r="43" spans="1:15" x14ac:dyDescent="0.2">
      <c r="A43" s="17" t="s">
        <v>60</v>
      </c>
      <c r="B43" s="27" t="s">
        <v>82</v>
      </c>
      <c r="C43" s="21" t="s">
        <v>98</v>
      </c>
    </row>
    <row r="44" spans="1:15" x14ac:dyDescent="0.2">
      <c r="B44" s="27" t="s">
        <v>84</v>
      </c>
      <c r="C44" s="21" t="s">
        <v>99</v>
      </c>
    </row>
    <row r="45" spans="1:15" x14ac:dyDescent="0.2">
      <c r="B45" s="27" t="s">
        <v>92</v>
      </c>
      <c r="C45" s="21" t="s">
        <v>86</v>
      </c>
    </row>
    <row r="46" spans="1:15" x14ac:dyDescent="0.2">
      <c r="B46" s="27" t="s">
        <v>87</v>
      </c>
      <c r="C46" s="21" t="s">
        <v>88</v>
      </c>
    </row>
    <row r="47" spans="1:15" x14ac:dyDescent="0.2">
      <c r="B47" s="27" t="s">
        <v>93</v>
      </c>
      <c r="C47" s="21" t="s">
        <v>100</v>
      </c>
    </row>
    <row r="48" spans="1:15" x14ac:dyDescent="0.2">
      <c r="A48" s="17"/>
      <c r="B48" s="27"/>
    </row>
    <row r="49" spans="2:2" x14ac:dyDescent="0.2">
      <c r="B49" s="27"/>
    </row>
    <row r="50" spans="2:2" x14ac:dyDescent="0.2">
      <c r="B50" s="27"/>
    </row>
    <row r="51" spans="2:2" x14ac:dyDescent="0.2">
      <c r="B51" s="27"/>
    </row>
  </sheetData>
  <mergeCells count="12">
    <mergeCell ref="B2:D2"/>
    <mergeCell ref="E2:G2"/>
    <mergeCell ref="H2:I2"/>
    <mergeCell ref="B26:D26"/>
    <mergeCell ref="E26:G26"/>
    <mergeCell ref="H26:I26"/>
    <mergeCell ref="B10:D10"/>
    <mergeCell ref="E10:G10"/>
    <mergeCell ref="H10:I10"/>
    <mergeCell ref="B18:D18"/>
    <mergeCell ref="E18:G18"/>
    <mergeCell ref="H18:I18"/>
  </mergeCell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BD024-1096-4DDA-ACB4-5690BC69A9E8}">
  <sheetPr>
    <tabColor rgb="FFFFFF00"/>
  </sheetPr>
  <dimension ref="A1:BI58"/>
  <sheetViews>
    <sheetView topLeftCell="A16" workbookViewId="0">
      <selection activeCell="M40" sqref="M40"/>
    </sheetView>
  </sheetViews>
  <sheetFormatPr defaultRowHeight="15" x14ac:dyDescent="0.25"/>
  <cols>
    <col min="1" max="1" width="42.42578125" bestFit="1" customWidth="1"/>
    <col min="2" max="2" width="6.5703125" customWidth="1"/>
    <col min="3" max="3" width="6.140625" bestFit="1" customWidth="1"/>
    <col min="4" max="4" width="7.42578125" bestFit="1" customWidth="1"/>
    <col min="5" max="5" width="9.28515625" bestFit="1" customWidth="1"/>
    <col min="6" max="6" width="8.85546875" customWidth="1"/>
    <col min="7" max="7" width="8.5703125" customWidth="1"/>
    <col min="8" max="8" width="8.140625" customWidth="1"/>
    <col min="9" max="9" width="8.28515625" customWidth="1"/>
    <col min="10" max="11" width="10.140625" bestFit="1" customWidth="1"/>
    <col min="12" max="14" width="8.140625" customWidth="1"/>
    <col min="15" max="15" width="3.140625" customWidth="1"/>
    <col min="16" max="17" width="10.140625" bestFit="1" customWidth="1"/>
    <col min="18" max="18" width="8.7109375" customWidth="1"/>
    <col min="19" max="23" width="10.7109375" customWidth="1"/>
    <col min="24" max="24" width="11.42578125" customWidth="1"/>
    <col min="25" max="25" width="9.7109375" customWidth="1"/>
    <col min="26" max="26" width="4" customWidth="1"/>
    <col min="27" max="27" width="3.42578125" customWidth="1"/>
    <col min="28" max="28" width="9.28515625" bestFit="1" customWidth="1"/>
    <col min="29" max="31" width="10" customWidth="1"/>
    <col min="32" max="32" width="8.85546875" customWidth="1"/>
    <col min="33" max="33" width="10.140625" bestFit="1" customWidth="1"/>
    <col min="34" max="34" width="2.7109375" customWidth="1"/>
    <col min="35" max="35" width="11.140625" bestFit="1" customWidth="1"/>
    <col min="36" max="38" width="10" customWidth="1"/>
    <col min="39" max="39" width="8.85546875" customWidth="1"/>
    <col min="41" max="41" width="3.85546875" customWidth="1"/>
    <col min="42" max="42" width="8.85546875" customWidth="1"/>
    <col min="43" max="45" width="10" customWidth="1"/>
    <col min="46" max="46" width="8.85546875" customWidth="1"/>
    <col min="48" max="48" width="3" customWidth="1"/>
    <col min="50" max="50" width="10" bestFit="1" customWidth="1"/>
    <col min="51" max="52" width="10" customWidth="1"/>
    <col min="55" max="55" width="3.140625" customWidth="1"/>
    <col min="57" max="57" width="10" bestFit="1" customWidth="1"/>
    <col min="58" max="59" width="10" customWidth="1"/>
    <col min="61" max="61" width="10.140625" bestFit="1" customWidth="1"/>
    <col min="62" max="62" width="3" customWidth="1"/>
    <col min="63" max="63" width="4" customWidth="1"/>
    <col min="70" max="70" width="3.42578125" customWidth="1"/>
  </cols>
  <sheetData>
    <row r="1" spans="1:61" ht="39.75" customHeight="1" x14ac:dyDescent="0.25">
      <c r="A1" s="2"/>
      <c r="B1" s="75" t="s">
        <v>54</v>
      </c>
      <c r="C1" s="75"/>
      <c r="D1" s="75"/>
      <c r="E1" s="75" t="s">
        <v>44</v>
      </c>
      <c r="F1" s="75"/>
      <c r="G1" s="75"/>
      <c r="H1" s="75" t="s">
        <v>55</v>
      </c>
      <c r="I1" s="75"/>
      <c r="J1" s="75" t="s">
        <v>30</v>
      </c>
      <c r="K1" s="75"/>
      <c r="L1" s="75" t="s">
        <v>31</v>
      </c>
      <c r="M1" s="75"/>
      <c r="N1" s="75"/>
      <c r="O1" s="2"/>
      <c r="X1" s="5" t="s">
        <v>6</v>
      </c>
      <c r="Y1" s="5" t="s">
        <v>7</v>
      </c>
    </row>
    <row r="2" spans="1:61" ht="36" customHeight="1" x14ac:dyDescent="0.25">
      <c r="A2" s="6"/>
      <c r="B2" s="7" t="s">
        <v>0</v>
      </c>
      <c r="C2" s="7" t="s">
        <v>1</v>
      </c>
      <c r="D2" s="7" t="s">
        <v>2</v>
      </c>
      <c r="E2" s="7" t="s">
        <v>0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28</v>
      </c>
      <c r="K2" s="7" t="s">
        <v>29</v>
      </c>
      <c r="L2" s="7" t="s">
        <v>8</v>
      </c>
      <c r="M2" s="7" t="s">
        <v>9</v>
      </c>
      <c r="N2" s="7" t="s">
        <v>10</v>
      </c>
      <c r="P2" s="24" t="s">
        <v>3</v>
      </c>
      <c r="Q2" s="24" t="s">
        <v>4</v>
      </c>
      <c r="R2" s="24" t="s">
        <v>5</v>
      </c>
      <c r="S2" s="8" t="s">
        <v>8</v>
      </c>
      <c r="T2" s="8" t="s">
        <v>11</v>
      </c>
      <c r="U2" s="8" t="s">
        <v>12</v>
      </c>
      <c r="V2" s="8" t="s">
        <v>13</v>
      </c>
      <c r="W2" s="8" t="s">
        <v>14</v>
      </c>
      <c r="X2" s="8" t="s">
        <v>15</v>
      </c>
      <c r="Y2" s="8" t="s">
        <v>16</v>
      </c>
      <c r="AB2" s="76" t="str">
        <f>+A4</f>
        <v>Transition probability: Progression to MIBC</v>
      </c>
      <c r="AC2" s="76"/>
      <c r="AD2" s="76"/>
      <c r="AE2" s="76"/>
      <c r="AF2" s="76"/>
      <c r="AG2" s="76"/>
      <c r="AI2" s="76" t="str">
        <f>+A5</f>
        <v>Transition probability: NMIBC Cystectomy</v>
      </c>
      <c r="AJ2" s="76"/>
      <c r="AK2" s="76"/>
      <c r="AL2" s="76"/>
      <c r="AM2" s="76"/>
      <c r="AN2" s="76"/>
      <c r="AP2" s="76" t="str">
        <f>+A6</f>
        <v>Transition probability: MIBC Cystectomy</v>
      </c>
      <c r="AQ2" s="76"/>
      <c r="AR2" s="76"/>
      <c r="AS2" s="76"/>
      <c r="AT2" s="76"/>
      <c r="AU2" s="76"/>
      <c r="AW2" s="76" t="str">
        <f>+A7</f>
        <v>Transition probability: MIBC to Metastatic Disease</v>
      </c>
      <c r="AX2" s="76"/>
      <c r="AY2" s="76"/>
      <c r="AZ2" s="76"/>
      <c r="BA2" s="76"/>
      <c r="BB2" s="76"/>
      <c r="BD2" s="76" t="str">
        <f>+A8</f>
        <v>Transition probability: Post-Cystectomy to Metastatic Disease</v>
      </c>
      <c r="BE2" s="76"/>
      <c r="BF2" s="76"/>
      <c r="BG2" s="76"/>
      <c r="BH2" s="76"/>
      <c r="BI2" s="76"/>
    </row>
    <row r="3" spans="1:61" x14ac:dyDescent="0.25">
      <c r="A3" s="9" t="str">
        <f>+'Table 5-7 - inputs'!A3</f>
        <v>Analysis (a): NF for CIS+/- Ta/T1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P3" s="21"/>
      <c r="Q3" s="21"/>
      <c r="R3" s="21"/>
    </row>
    <row r="4" spans="1:61" x14ac:dyDescent="0.25">
      <c r="A4" s="6" t="str">
        <f>+'Table 5-7 - inputs'!A4</f>
        <v>Transition probability: Progression to MIBC</v>
      </c>
      <c r="B4" s="63">
        <f>+'Table 5-7 - inputs'!B4</f>
        <v>1.4E-2</v>
      </c>
      <c r="C4" s="63">
        <f>+'Table 5-7 - inputs'!C4</f>
        <v>0</v>
      </c>
      <c r="D4" s="63">
        <f>+'Table 5-7 - inputs'!D4</f>
        <v>5.0599999999999999E-2</v>
      </c>
      <c r="E4" s="11">
        <f>+'Table 5-7 - inputs'!E4</f>
        <v>151000</v>
      </c>
      <c r="F4" s="11">
        <f>+'Table 5-7 - inputs'!F4</f>
        <v>250157.42439999999</v>
      </c>
      <c r="G4" s="11">
        <f>+'Table 5-7 - inputs'!G4</f>
        <v>103456.51549999999</v>
      </c>
      <c r="H4" s="10">
        <f>+'Table 5-7 - inputs'!H4</f>
        <v>0.03</v>
      </c>
      <c r="I4" s="10">
        <f>+'Table 5-7 - inputs'!I4</f>
        <v>0.03</v>
      </c>
      <c r="J4" s="11">
        <f>+AG5</f>
        <v>146393.9519907088</v>
      </c>
      <c r="K4" s="11">
        <f>+AG6</f>
        <v>146393.9519907088</v>
      </c>
      <c r="L4" s="12">
        <f>+S4</f>
        <v>1.5731688183346318E-2</v>
      </c>
      <c r="M4" s="14" t="str">
        <f t="shared" ref="M4:N8" si="0">+IF(X4,"YES","NO")</f>
        <v>NO</v>
      </c>
      <c r="N4" s="14" t="str">
        <f t="shared" si="0"/>
        <v>YES</v>
      </c>
      <c r="O4" s="6"/>
      <c r="P4" s="44">
        <f>+MIN(E4,J4,K4)</f>
        <v>146393.9519907088</v>
      </c>
      <c r="Q4" s="44">
        <f>+MEDIAN(E4,J4,K4)</f>
        <v>146393.9519907088</v>
      </c>
      <c r="R4" s="44">
        <f>+MAX(E4,J4,K4)</f>
        <v>151000</v>
      </c>
      <c r="S4" s="45">
        <f>+AVERAGE((Q4-P4)/Q4,(R4-Q4)/Q4)</f>
        <v>1.5731688183346318E-2</v>
      </c>
      <c r="T4" s="6" t="b">
        <f>+AND(E4&lt;=Benchmark1,J4&lt;=Benchmark1,K4&lt;=Benchmark1)</f>
        <v>0</v>
      </c>
      <c r="U4" s="45" t="b">
        <f>+AND(E4&gt;Benchmark1,J4&gt;Benchmark1,K4&gt;Benchmark1)</f>
        <v>1</v>
      </c>
      <c r="V4" s="6" t="b">
        <f>+AND(E4&lt;=Benchmark2,J4&lt;=Benchmark2,K4&lt;=Benchmark2)</f>
        <v>0</v>
      </c>
      <c r="W4" s="45" t="b">
        <f>+AND(E4&gt;Benchmark2,J4&gt;Benchmark2,K4&gt;Benchmark2)</f>
        <v>0</v>
      </c>
      <c r="X4" s="11" t="b">
        <f>+AND(NOT(T4),NOT(U4))</f>
        <v>0</v>
      </c>
      <c r="Y4" s="11" t="b">
        <f>+AND(NOT(V4),NOT(W4))</f>
        <v>1</v>
      </c>
      <c r="AB4" s="19">
        <f>+B4</f>
        <v>1.4E-2</v>
      </c>
      <c r="AC4" s="20">
        <f>+E4</f>
        <v>151000</v>
      </c>
      <c r="AD4" s="20"/>
      <c r="AE4" s="20" t="s">
        <v>23</v>
      </c>
      <c r="AF4" s="23">
        <f>-AC7/(2*AB7)</f>
        <v>3.7982335525563238E-2</v>
      </c>
      <c r="AG4" s="23"/>
      <c r="AI4" s="19">
        <f>+B5</f>
        <v>0.05</v>
      </c>
      <c r="AJ4" s="20">
        <f>+E5</f>
        <v>151000</v>
      </c>
      <c r="AK4" s="20"/>
      <c r="AL4" s="20" t="s">
        <v>23</v>
      </c>
      <c r="AM4" s="23">
        <f>-AJ7/(2*AI7)</f>
        <v>5.1349834507823752E-2</v>
      </c>
      <c r="AN4" s="23"/>
      <c r="AP4" s="19">
        <f>+B6</f>
        <v>0.5</v>
      </c>
      <c r="AQ4" s="20">
        <f>+E6</f>
        <v>151000</v>
      </c>
      <c r="AR4" s="20"/>
      <c r="AS4" s="20" t="s">
        <v>23</v>
      </c>
      <c r="AT4" s="23">
        <f>-AQ7/(2*AP7)</f>
        <v>0.50538359716470993</v>
      </c>
      <c r="AU4" s="23"/>
      <c r="AW4" s="19">
        <f>+B7</f>
        <v>3.9E-2</v>
      </c>
      <c r="AX4" s="20">
        <f>+E7</f>
        <v>151000</v>
      </c>
      <c r="AY4" s="20"/>
      <c r="AZ4" s="20" t="s">
        <v>23</v>
      </c>
      <c r="BA4" s="23">
        <f>-AX7/(2*AW7)</f>
        <v>4.2099999999999999E-2</v>
      </c>
      <c r="BB4" s="23"/>
      <c r="BD4" s="19">
        <f>+B8</f>
        <v>5.7000000000000002E-2</v>
      </c>
      <c r="BE4" s="20">
        <f>+E8</f>
        <v>151000</v>
      </c>
      <c r="BF4" s="20"/>
      <c r="BG4" s="20" t="s">
        <v>23</v>
      </c>
      <c r="BH4" s="23">
        <f>-BE7/(2*BD7)</f>
        <v>6.0799999999999993E-2</v>
      </c>
      <c r="BI4" s="23"/>
    </row>
    <row r="5" spans="1:61" x14ac:dyDescent="0.25">
      <c r="A5" s="6" t="str">
        <f>+'Table 5-7 - inputs'!A5</f>
        <v>Transition probability: NMIBC Cystectomy</v>
      </c>
      <c r="B5" s="63">
        <f>+'Table 5-7 - inputs'!B5</f>
        <v>0.05</v>
      </c>
      <c r="C5" s="63">
        <f>+'Table 5-7 - inputs'!C5</f>
        <v>4.9500000000000002E-2</v>
      </c>
      <c r="D5" s="63">
        <f>+'Table 5-7 - inputs'!D5</f>
        <v>5.2499999999999998E-2</v>
      </c>
      <c r="E5" s="11">
        <f>+'Table 5-7 - inputs'!E5</f>
        <v>151000</v>
      </c>
      <c r="F5" s="28">
        <f>+'Table 5-7 - inputs'!F5</f>
        <v>149260.48360000001</v>
      </c>
      <c r="G5" s="28">
        <f>+'Table 5-7 - inputs'!G5</f>
        <v>151542.75539999999</v>
      </c>
      <c r="H5" s="10">
        <f>+'Table 5-7 - inputs'!H5</f>
        <v>0.05</v>
      </c>
      <c r="I5" s="10">
        <f>+'Table 5-7 - inputs'!I5</f>
        <v>0.05</v>
      </c>
      <c r="J5" s="11">
        <f>+AN5</f>
        <v>150210.82323225809</v>
      </c>
      <c r="K5" s="11">
        <f>+AN6</f>
        <v>150210.82323225809</v>
      </c>
      <c r="L5" s="12">
        <f t="shared" ref="L5:L8" si="1">+S5</f>
        <v>2.6268971528159318E-3</v>
      </c>
      <c r="M5" s="14" t="str">
        <f t="shared" si="0"/>
        <v>NO</v>
      </c>
      <c r="N5" s="14" t="str">
        <f t="shared" si="0"/>
        <v>NO</v>
      </c>
      <c r="O5" s="6"/>
      <c r="P5" s="44">
        <f>+MIN(E5,J5,K5)</f>
        <v>150210.82323225809</v>
      </c>
      <c r="Q5" s="44">
        <f>+MEDIAN(E5,J5,K5)</f>
        <v>150210.82323225809</v>
      </c>
      <c r="R5" s="44">
        <f>+MAX(E5,J5,K5)</f>
        <v>151000</v>
      </c>
      <c r="S5" s="45">
        <f t="shared" ref="S5:S8" si="2">+AVERAGE((Q5-P5)/Q5,(R5-Q5)/Q5)</f>
        <v>2.6268971528159318E-3</v>
      </c>
      <c r="T5" s="6" t="b">
        <f>+AND(E5&lt;=Benchmark1,J5&lt;=Benchmark1,K5&lt;=Benchmark1)</f>
        <v>0</v>
      </c>
      <c r="U5" s="45" t="b">
        <f>+AND(E5&gt;Benchmark1,J5&gt;Benchmark1,K5&gt;Benchmark1)</f>
        <v>1</v>
      </c>
      <c r="V5" s="6" t="b">
        <f>+AND(E5&lt;=Benchmark2,J5&lt;=Benchmark2,K5&lt;=Benchmark2)</f>
        <v>0</v>
      </c>
      <c r="W5" s="45" t="b">
        <f>+AND(E5&gt;Benchmark2,J5&gt;Benchmark2,K5&gt;Benchmark2)</f>
        <v>1</v>
      </c>
      <c r="X5" s="11" t="b">
        <f>+AND(NOT(T5),NOT(U5))</f>
        <v>0</v>
      </c>
      <c r="Y5" s="11" t="b">
        <f>+AND(NOT(V5),NOT(W5))</f>
        <v>0</v>
      </c>
      <c r="AB5" s="19">
        <f>+C4</f>
        <v>0</v>
      </c>
      <c r="AC5" s="20">
        <f>+F4</f>
        <v>250157.42439999999</v>
      </c>
      <c r="AD5" s="20"/>
      <c r="AE5" s="20" t="s">
        <v>24</v>
      </c>
      <c r="AF5" s="23">
        <f>+H4</f>
        <v>0.03</v>
      </c>
      <c r="AG5" s="20">
        <f>+AB9*AF5^2+AC9*AF5+AD9</f>
        <v>146393.9519907088</v>
      </c>
      <c r="AI5" s="19">
        <f>+C5</f>
        <v>4.9500000000000002E-2</v>
      </c>
      <c r="AJ5" s="20">
        <f>+F5</f>
        <v>149260.48360000001</v>
      </c>
      <c r="AK5" s="20"/>
      <c r="AL5" s="20" t="s">
        <v>24</v>
      </c>
      <c r="AM5" s="23">
        <f>+H5</f>
        <v>0.05</v>
      </c>
      <c r="AN5" s="20">
        <f>+AI9*AM5^2+AJ9*AM5+AK9</f>
        <v>150210.82323225809</v>
      </c>
      <c r="AP5" s="19">
        <f>+C6</f>
        <v>0.49120000000000003</v>
      </c>
      <c r="AQ5" s="20">
        <f>+F6</f>
        <v>150058.50510000001</v>
      </c>
      <c r="AR5" s="20"/>
      <c r="AS5" s="20" t="s">
        <v>24</v>
      </c>
      <c r="AT5" s="23">
        <f>+H6</f>
        <v>0.5</v>
      </c>
      <c r="AU5" s="20">
        <f>+AP9*AT5^2+AQ9*AT5+AR9</f>
        <v>150717.71953333332</v>
      </c>
      <c r="AW5" s="19">
        <f>+C7</f>
        <v>3.2800000000000003E-2</v>
      </c>
      <c r="AX5" s="20">
        <f>+F7</f>
        <v>150495.98989999999</v>
      </c>
      <c r="AY5" s="20"/>
      <c r="AZ5" s="20" t="s">
        <v>24</v>
      </c>
      <c r="BA5" s="23">
        <f>+H7</f>
        <v>0.04</v>
      </c>
      <c r="BB5" s="20">
        <f>+AW9*BA5^2+AX9*BA5+AY9</f>
        <v>150872.64260913979</v>
      </c>
      <c r="BD5" s="19">
        <f>+C8</f>
        <v>4.9099999999999998E-2</v>
      </c>
      <c r="BE5" s="20">
        <f>+F8</f>
        <v>150748.5097</v>
      </c>
      <c r="BF5" s="20"/>
      <c r="BG5" s="20" t="s">
        <v>24</v>
      </c>
      <c r="BH5" s="23">
        <f>+H8</f>
        <v>0.06</v>
      </c>
      <c r="BI5" s="20">
        <f>+BD9*BH5^2+BE9*BH5+BF9</f>
        <v>150966.78614316633</v>
      </c>
    </row>
    <row r="6" spans="1:61" x14ac:dyDescent="0.25">
      <c r="A6" s="6" t="str">
        <f>+'Table 5-7 - inputs'!A6</f>
        <v>Transition probability: MIBC Cystectomy</v>
      </c>
      <c r="B6" s="63">
        <f>+'Table 5-7 - inputs'!B6</f>
        <v>0.5</v>
      </c>
      <c r="C6" s="63">
        <f>+'Table 5-7 - inputs'!C6</f>
        <v>0.49120000000000003</v>
      </c>
      <c r="D6" s="63">
        <f>+'Table 5-7 - inputs'!D6</f>
        <v>0.50880000000000003</v>
      </c>
      <c r="E6" s="11">
        <f>+'Table 5-7 - inputs'!E6</f>
        <v>151000</v>
      </c>
      <c r="F6" s="11">
        <f>+'Table 5-7 - inputs'!F6</f>
        <v>150058.50510000001</v>
      </c>
      <c r="G6" s="11">
        <f>+'Table 5-7 - inputs'!G6</f>
        <v>151094.65349999999</v>
      </c>
      <c r="H6" s="10">
        <f>+'Table 5-7 - inputs'!H6</f>
        <v>0.5</v>
      </c>
      <c r="I6" s="10">
        <f>+'Table 5-7 - inputs'!I6</f>
        <v>0.5</v>
      </c>
      <c r="J6" s="11">
        <f>+AU5</f>
        <v>150717.71953333332</v>
      </c>
      <c r="K6" s="11">
        <f>+AU6</f>
        <v>150717.71953333332</v>
      </c>
      <c r="L6" s="12">
        <f t="shared" si="1"/>
        <v>9.36454146004537E-4</v>
      </c>
      <c r="M6" s="14" t="str">
        <f t="shared" si="0"/>
        <v>NO</v>
      </c>
      <c r="N6" s="14" t="str">
        <f t="shared" si="0"/>
        <v>NO</v>
      </c>
      <c r="O6" s="6"/>
      <c r="P6" s="44">
        <f>+MIN(E6,J6,K6)</f>
        <v>150717.71953333332</v>
      </c>
      <c r="Q6" s="44">
        <f>+MEDIAN(E6,J6,K6)</f>
        <v>150717.71953333332</v>
      </c>
      <c r="R6" s="44">
        <f>+MAX(E6,J6,K6)</f>
        <v>151000</v>
      </c>
      <c r="S6" s="45">
        <f t="shared" si="2"/>
        <v>9.36454146004537E-4</v>
      </c>
      <c r="T6" s="6" t="b">
        <f>+AND(E6&lt;=Benchmark1,J6&lt;=Benchmark1,K6&lt;=Benchmark1)</f>
        <v>0</v>
      </c>
      <c r="U6" s="45" t="b">
        <f>+AND(E6&gt;Benchmark1,J6&gt;Benchmark1,K6&gt;Benchmark1)</f>
        <v>1</v>
      </c>
      <c r="V6" s="6" t="b">
        <f>+AND(E6&lt;=Benchmark2,J6&lt;=Benchmark2,K6&lt;=Benchmark2)</f>
        <v>0</v>
      </c>
      <c r="W6" s="45" t="b">
        <f>+AND(E6&gt;Benchmark2,J6&gt;Benchmark2,K6&gt;Benchmark2)</f>
        <v>1</v>
      </c>
      <c r="X6" s="11" t="b">
        <f>+AND(NOT(T6),NOT(U6))</f>
        <v>0</v>
      </c>
      <c r="Y6" s="11" t="b">
        <f>+AND(NOT(V6),NOT(W6))</f>
        <v>0</v>
      </c>
      <c r="AB6" s="19">
        <f>+D4</f>
        <v>5.0599999999999999E-2</v>
      </c>
      <c r="AC6" s="20">
        <f>+G4</f>
        <v>103456.51549999999</v>
      </c>
      <c r="AD6" s="20"/>
      <c r="AE6" s="20" t="s">
        <v>25</v>
      </c>
      <c r="AF6" s="23">
        <f>+I4</f>
        <v>0.03</v>
      </c>
      <c r="AG6" s="20">
        <f>+AB9*AF6^2+AC9*AF6+AD9</f>
        <v>146393.9519907088</v>
      </c>
      <c r="AI6" s="19">
        <f>+D5</f>
        <v>5.2499999999999998E-2</v>
      </c>
      <c r="AJ6" s="20">
        <f>+G5</f>
        <v>151542.75539999999</v>
      </c>
      <c r="AK6" s="20"/>
      <c r="AL6" s="20" t="s">
        <v>25</v>
      </c>
      <c r="AM6" s="23">
        <f>+I5</f>
        <v>0.05</v>
      </c>
      <c r="AN6" s="20">
        <f>+AI9*AM6^2+AJ9*AM6+AK9</f>
        <v>150210.82323225809</v>
      </c>
      <c r="AP6" s="19">
        <f>+D6</f>
        <v>0.50880000000000003</v>
      </c>
      <c r="AQ6" s="20">
        <f>+G6</f>
        <v>151094.65349999999</v>
      </c>
      <c r="AR6" s="20"/>
      <c r="AS6" s="20" t="s">
        <v>25</v>
      </c>
      <c r="AT6" s="23">
        <f>+I6</f>
        <v>0.5</v>
      </c>
      <c r="AU6" s="20">
        <f>+AP9*AT6^2+AQ9*AT6+AR9</f>
        <v>150717.71953333332</v>
      </c>
      <c r="AW6" s="19">
        <f>+D7</f>
        <v>4.5199999999999997E-2</v>
      </c>
      <c r="AX6" s="20">
        <f>+G7</f>
        <v>151000</v>
      </c>
      <c r="AY6" s="20"/>
      <c r="AZ6" s="20" t="s">
        <v>25</v>
      </c>
      <c r="BA6" s="23">
        <f>+I7</f>
        <v>3.9E-2</v>
      </c>
      <c r="BB6" s="20">
        <f>+AW9*BA6^2+AX9*BA6+AY9</f>
        <v>150831.99663333333</v>
      </c>
      <c r="BD6" s="19">
        <f>+D8</f>
        <v>6.4600000000000005E-2</v>
      </c>
      <c r="BE6" s="20">
        <f>+G8</f>
        <v>151000</v>
      </c>
      <c r="BF6" s="20"/>
      <c r="BG6" s="20" t="s">
        <v>25</v>
      </c>
      <c r="BH6" s="23">
        <f>+I8</f>
        <v>0.06</v>
      </c>
      <c r="BI6" s="20">
        <f>+BD9*BH6^2+BE9*BH6+BF9</f>
        <v>150966.78614316633</v>
      </c>
    </row>
    <row r="7" spans="1:61" x14ac:dyDescent="0.25">
      <c r="A7" s="6" t="str">
        <f>+'Table 5-7 - inputs'!A7</f>
        <v>Transition probability: MIBC to Metastatic Disease</v>
      </c>
      <c r="B7" s="63">
        <f>+'Table 5-7 - inputs'!B7</f>
        <v>3.9E-2</v>
      </c>
      <c r="C7" s="63">
        <f>+'Table 5-7 - inputs'!C7</f>
        <v>3.2800000000000003E-2</v>
      </c>
      <c r="D7" s="63">
        <f>+'Table 5-7 - inputs'!D7</f>
        <v>4.5199999999999997E-2</v>
      </c>
      <c r="E7" s="11">
        <f>+'Table 5-7 - inputs'!E7</f>
        <v>151000</v>
      </c>
      <c r="F7" s="11">
        <f>+'Table 5-7 - inputs'!F7</f>
        <v>150495.98989999999</v>
      </c>
      <c r="G7" s="11">
        <f>+'Table 5-7 - inputs'!G7</f>
        <v>151000</v>
      </c>
      <c r="H7" s="10">
        <f>+'Table 5-7 - inputs'!H7</f>
        <v>0.04</v>
      </c>
      <c r="I7" s="10">
        <f>+'Table 5-7 - inputs'!I7</f>
        <v>3.9E-2</v>
      </c>
      <c r="J7" s="11">
        <f>+BB5</f>
        <v>150872.64260913979</v>
      </c>
      <c r="K7" s="11">
        <f>+BB6</f>
        <v>150831.99663333333</v>
      </c>
      <c r="L7" s="12">
        <f t="shared" si="1"/>
        <v>5.5677213496522202E-4</v>
      </c>
      <c r="M7" s="14" t="str">
        <f t="shared" si="0"/>
        <v>NO</v>
      </c>
      <c r="N7" s="14" t="str">
        <f t="shared" si="0"/>
        <v>NO</v>
      </c>
      <c r="O7" s="6"/>
      <c r="P7" s="44">
        <f>+MIN(E7,J7,K7)</f>
        <v>150831.99663333333</v>
      </c>
      <c r="Q7" s="44">
        <f>+MEDIAN(E7,J7,K7)</f>
        <v>150872.64260913979</v>
      </c>
      <c r="R7" s="44">
        <f>+MAX(E7,J7,K7)</f>
        <v>151000</v>
      </c>
      <c r="S7" s="45">
        <f t="shared" si="2"/>
        <v>5.5677213496522202E-4</v>
      </c>
      <c r="T7" s="6" t="b">
        <f>+AND(E7&lt;=Benchmark1,J7&lt;=Benchmark1,K7&lt;=Benchmark1)</f>
        <v>0</v>
      </c>
      <c r="U7" s="45" t="b">
        <f>+AND(E7&gt;Benchmark1,J7&gt;Benchmark1,K7&gt;Benchmark1)</f>
        <v>1</v>
      </c>
      <c r="V7" s="6" t="b">
        <f>+AND(E7&lt;=Benchmark2,J7&lt;=Benchmark2,K7&lt;=Benchmark2)</f>
        <v>0</v>
      </c>
      <c r="W7" s="45" t="b">
        <f>+AND(E7&gt;Benchmark2,J7&gt;Benchmark2,K7&gt;Benchmark2)</f>
        <v>1</v>
      </c>
      <c r="X7" s="11" t="b">
        <f>+AND(NOT(T7),NOT(U7))</f>
        <v>0</v>
      </c>
      <c r="Y7" s="11" t="b">
        <f>+AND(NOT(V7),NOT(W7))</f>
        <v>0</v>
      </c>
      <c r="AB7" s="22" cm="1">
        <f t="array" ref="AB7:AD7">+LINEST(AC4:AC6,AB4:AB6^{1,2})</f>
        <v>114301795.70524505</v>
      </c>
      <c r="AC7" s="22">
        <v>-8682898.3113020007</v>
      </c>
      <c r="AD7" s="22">
        <v>250157.42440000002</v>
      </c>
      <c r="AF7" s="21">
        <f>+OR(AF4=MIN(AF4:AF6,AB4:AB6),AF4=MAX(AF4:AF6,AB4:AB6))*1</f>
        <v>0</v>
      </c>
      <c r="AH7" s="4"/>
      <c r="AI7" s="22" cm="1">
        <f t="array" ref="AI7:AK7">+LINEST(AJ4:AJ6,AI4:AI6^{1,2})</f>
        <v>-1087310213.3336036</v>
      </c>
      <c r="AJ7" s="22">
        <v>111666399.02669416</v>
      </c>
      <c r="AK7" s="22">
        <v>-2714044.4180006986</v>
      </c>
      <c r="AL7" s="22"/>
      <c r="AM7" s="21">
        <f>+OR(AM4=MIN(AM4:AM6,AI4:AI6),AM4=MAX(AM4:AM6,AI4:AI6))*1</f>
        <v>0</v>
      </c>
      <c r="AP7" s="22" cm="1">
        <f t="array" ref="AP7:AR7">+LINEST(AQ4:AQ6,AP4:AP6^{1,2})</f>
        <v>-5467725.981405206</v>
      </c>
      <c r="AQ7" s="22">
        <v>5526598.0495870141</v>
      </c>
      <c r="AR7" s="22">
        <v>-1245367.5294422056</v>
      </c>
      <c r="AS7" s="22"/>
      <c r="AT7" s="21">
        <f>+OR(AT4=MIN(AT4:AT6,AP4:AP6),AT4=MAX(AT4:AT6,AP4:AP6))*1</f>
        <v>0</v>
      </c>
      <c r="AW7" s="22" cm="1">
        <f t="array" ref="AW7:AY7">+LINEST(AX4:AX6,AW4:AW6^{1,2})</f>
        <v>-6555802.5494278483</v>
      </c>
      <c r="AX7" s="22">
        <v>551998.57466182485</v>
      </c>
      <c r="AY7" s="22">
        <v>139443.4312658686</v>
      </c>
      <c r="AZ7" s="22"/>
      <c r="BA7" s="21">
        <f>+OR(BA4=MIN(BA4:BA6,AW4:AW6),BA4=MAX(BA4:BA6,AW4:AW6))*1</f>
        <v>0</v>
      </c>
      <c r="BD7" s="22" cm="1">
        <f t="array" ref="BD7:BF7">+LINEST(BE4:BE6,BD4:BD6^{1,2})</f>
        <v>-2053820.3348305805</v>
      </c>
      <c r="BE7" s="22">
        <v>249744.55271539857</v>
      </c>
      <c r="BF7" s="22">
        <v>143437.42276308683</v>
      </c>
      <c r="BG7" s="22"/>
      <c r="BH7" s="21">
        <f>+OR(BH4=MIN(BH4:BH6,BD4:BD6),BH4=MAX(BH4:BH6,BD4:BD6))*1</f>
        <v>0</v>
      </c>
    </row>
    <row r="8" spans="1:61" x14ac:dyDescent="0.25">
      <c r="A8" s="6" t="str">
        <f>+'Table 5-7 - inputs'!A8</f>
        <v>Transition probability: Post-Cystectomy to Metastatic Disease</v>
      </c>
      <c r="B8" s="63">
        <f>+'Table 5-7 - inputs'!B8</f>
        <v>5.7000000000000002E-2</v>
      </c>
      <c r="C8" s="63">
        <f>+'Table 5-7 - inputs'!C8</f>
        <v>4.9099999999999998E-2</v>
      </c>
      <c r="D8" s="63">
        <f>+'Table 5-7 - inputs'!D8</f>
        <v>6.4600000000000005E-2</v>
      </c>
      <c r="E8" s="11">
        <f>+'Table 5-7 - inputs'!E8</f>
        <v>151000</v>
      </c>
      <c r="F8" s="11">
        <f>+'Table 5-7 - inputs'!F8</f>
        <v>150748.5097</v>
      </c>
      <c r="G8" s="11">
        <f>+'Table 5-7 - inputs'!G8</f>
        <v>151000</v>
      </c>
      <c r="H8" s="10">
        <f>+'Table 5-7 - inputs'!H8</f>
        <v>0.06</v>
      </c>
      <c r="I8" s="10">
        <f>+'Table 5-7 - inputs'!I8</f>
        <v>0.06</v>
      </c>
      <c r="J8" s="61">
        <f>+BI5</f>
        <v>150966.78614316633</v>
      </c>
      <c r="K8" s="61">
        <f>+BI6</f>
        <v>150966.78614316633</v>
      </c>
      <c r="L8" s="12">
        <f t="shared" si="1"/>
        <v>1.1000385476236176E-4</v>
      </c>
      <c r="M8" s="14" t="str">
        <f t="shared" si="0"/>
        <v>NO</v>
      </c>
      <c r="N8" s="14" t="str">
        <f t="shared" si="0"/>
        <v>NO</v>
      </c>
      <c r="O8" s="6"/>
      <c r="P8" s="44">
        <f>+MIN(E8,J8,K8)</f>
        <v>150966.78614316633</v>
      </c>
      <c r="Q8" s="44">
        <f t="shared" ref="Q8" si="3">+MEDIAN(E8,J8,K8)</f>
        <v>150966.78614316633</v>
      </c>
      <c r="R8" s="44">
        <f t="shared" ref="R8" si="4">+MAX(E8,J8,K8)</f>
        <v>151000</v>
      </c>
      <c r="S8" s="45">
        <f t="shared" si="2"/>
        <v>1.1000385476236176E-4</v>
      </c>
      <c r="T8" s="6" t="b">
        <f>+AND(E8&lt;=Benchmark1,J8&lt;=Benchmark1,K8&lt;=Benchmark1)</f>
        <v>0</v>
      </c>
      <c r="U8" s="45" t="b">
        <f>+AND(E8&gt;Benchmark1,J8&gt;Benchmark1,K8&gt;Benchmark1)</f>
        <v>1</v>
      </c>
      <c r="V8" s="6" t="b">
        <f>+AND(E8&lt;=Benchmark2,J8&lt;=Benchmark2,K8&lt;=Benchmark2)</f>
        <v>0</v>
      </c>
      <c r="W8" s="45" t="b">
        <f>+AND(E8&gt;Benchmark2,J8&gt;Benchmark2,K8&gt;Benchmark2)</f>
        <v>1</v>
      </c>
      <c r="X8" s="11" t="b">
        <f t="shared" ref="X8" si="5">+AND(NOT(T8),NOT(U8))</f>
        <v>0</v>
      </c>
      <c r="Y8" s="11" t="b">
        <f t="shared" ref="Y8" si="6">+AND(NOT(V8),NOT(W8))</f>
        <v>0</v>
      </c>
      <c r="AC8" s="22" cm="1">
        <f t="array" ref="AC8:AD8">+LINEST(AC4:AC6,AB4:AB6^{1})</f>
        <v>-2576066.2963729762</v>
      </c>
      <c r="AD8" s="22">
        <v>223675.94088189807</v>
      </c>
      <c r="AF8" s="21">
        <f>+NOT(AF7)*1</f>
        <v>1</v>
      </c>
      <c r="AJ8" s="22" cm="1">
        <f t="array" ref="AJ8:AK8">+LINEST(AJ4:AJ6,AI4:AI6^{1})</f>
        <v>585384.65161290078</v>
      </c>
      <c r="AK8" s="22">
        <v>120941.59065161305</v>
      </c>
      <c r="AL8" s="22"/>
      <c r="AM8" s="21">
        <f>+NOT(AM7)*1</f>
        <v>1</v>
      </c>
      <c r="AQ8" s="22" cm="1">
        <f t="array" ref="AQ8:AR8">+LINEST(AQ4:AQ6,AP4:AP6^{1})</f>
        <v>58872.06818181678</v>
      </c>
      <c r="AR8" s="22">
        <v>121281.68544242493</v>
      </c>
      <c r="AS8" s="22"/>
      <c r="AT8" s="21">
        <f>+NOT(AT7)*1</f>
        <v>1</v>
      </c>
      <c r="AX8" s="22" cm="1">
        <f t="array" ref="AX8:AY8">+LINEST(AX4:AX6,AW4:AW6^{1})</f>
        <v>40645.975806452756</v>
      </c>
      <c r="AY8" s="22">
        <v>149246.80357688168</v>
      </c>
      <c r="AZ8" s="22"/>
      <c r="BA8" s="21">
        <f>+NOT(BA7)*1</f>
        <v>1</v>
      </c>
      <c r="BE8" s="22" cm="1">
        <f t="array" ref="BE8:BF8">+LINEST(BE4:BE6,BD4:BD6^{1})</f>
        <v>16327.820376228041</v>
      </c>
      <c r="BF8" s="22">
        <v>149987.11692059264</v>
      </c>
      <c r="BG8" s="22"/>
      <c r="BH8" s="21">
        <f>+NOT(BH7)*1</f>
        <v>1</v>
      </c>
    </row>
    <row r="9" spans="1:61" x14ac:dyDescent="0.25">
      <c r="A9" s="6"/>
      <c r="B9" s="64"/>
      <c r="C9" s="64"/>
      <c r="D9" s="64"/>
      <c r="E9" s="11"/>
      <c r="F9" s="11"/>
      <c r="G9" s="11"/>
      <c r="H9" s="10"/>
      <c r="I9" s="10"/>
      <c r="J9" s="11"/>
      <c r="K9" s="11"/>
      <c r="L9" s="12"/>
      <c r="M9" s="14"/>
      <c r="N9" s="14"/>
      <c r="O9" s="6"/>
      <c r="P9" s="44"/>
      <c r="Q9" s="44"/>
      <c r="R9" s="44"/>
      <c r="S9" s="45"/>
      <c r="T9" s="6"/>
      <c r="U9" s="45"/>
      <c r="V9" s="6"/>
      <c r="W9" s="45"/>
      <c r="X9" s="11"/>
      <c r="Y9" s="11"/>
      <c r="AB9" s="22">
        <f>+SUMPRODUCT(AB7:AB8,AF7:AF8)</f>
        <v>0</v>
      </c>
      <c r="AC9" s="22">
        <f>+SUMPRODUCT(AC7:AC8,AF7:AF8)</f>
        <v>-2576066.2963729762</v>
      </c>
      <c r="AD9" s="22">
        <f>+SUMPRODUCT(AD7:AD8,AF7:AF8)</f>
        <v>223675.94088189807</v>
      </c>
      <c r="AI9" s="22">
        <f>+SUMPRODUCT(AI7:AI8,AM7:AM8)</f>
        <v>0</v>
      </c>
      <c r="AJ9" s="22">
        <f>+SUMPRODUCT(AJ7:AJ8,AM7:AM8)</f>
        <v>585384.65161290078</v>
      </c>
      <c r="AK9" s="22">
        <f>+SUMPRODUCT(AK7:AK8,AM7:AM8)</f>
        <v>120941.59065161305</v>
      </c>
      <c r="AP9" s="22">
        <f>+SUMPRODUCT(AP7:AP8,AT7:AT8)</f>
        <v>0</v>
      </c>
      <c r="AQ9" s="22">
        <f>+SUMPRODUCT(AQ7:AQ8,AT7:AT8)</f>
        <v>58872.06818181678</v>
      </c>
      <c r="AR9" s="22">
        <f>+SUMPRODUCT(AR7:AR8,AT7:AT8)</f>
        <v>121281.68544242493</v>
      </c>
      <c r="AS9" s="22"/>
      <c r="AT9" s="21"/>
      <c r="AW9" s="22">
        <f>+SUMPRODUCT(AW7:AW8,BA7:BA8)</f>
        <v>0</v>
      </c>
      <c r="AX9" s="22">
        <f>+SUMPRODUCT(AX7:AX8,BA7:BA8)</f>
        <v>40645.975806452756</v>
      </c>
      <c r="AY9" s="22">
        <f>+SUMPRODUCT(AY7:AY8,BA7:BA8)</f>
        <v>149246.80357688168</v>
      </c>
      <c r="AZ9" s="22"/>
      <c r="BA9" s="21"/>
      <c r="BD9" s="22">
        <f>+SUMPRODUCT(BD7:BD8,BH7:BH8)</f>
        <v>0</v>
      </c>
      <c r="BE9" s="22">
        <f>+SUMPRODUCT(BE7:BE8,BH7:BH8)</f>
        <v>16327.820376228041</v>
      </c>
      <c r="BF9" s="22">
        <f>+SUMPRODUCT(BF7:BF8,BH7:BH8)</f>
        <v>149987.11692059264</v>
      </c>
      <c r="BG9" s="22"/>
      <c r="BH9" s="21"/>
    </row>
    <row r="10" spans="1:61" x14ac:dyDescent="0.25">
      <c r="A10" s="6"/>
      <c r="B10" s="10"/>
      <c r="C10" s="10"/>
      <c r="D10" s="10"/>
      <c r="E10" s="6"/>
      <c r="F10" s="6"/>
      <c r="G10" s="6"/>
      <c r="H10" s="10"/>
      <c r="I10" s="10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AC10" s="22"/>
      <c r="AD10" s="22"/>
      <c r="AF10" s="21"/>
      <c r="AJ10" s="22"/>
      <c r="AK10" s="22"/>
      <c r="AL10" s="22"/>
      <c r="AM10" s="21"/>
      <c r="AQ10" s="22"/>
      <c r="AR10" s="22"/>
      <c r="AS10" s="22"/>
      <c r="AT10" s="21"/>
      <c r="AX10" s="22"/>
      <c r="AY10" s="22"/>
      <c r="AZ10" s="22"/>
      <c r="BA10" s="21"/>
      <c r="BE10" s="22"/>
      <c r="BF10" s="22"/>
      <c r="BG10" s="22"/>
      <c r="BH10" s="21"/>
    </row>
    <row r="11" spans="1:61" x14ac:dyDescent="0.25">
      <c r="A11" s="9" t="str">
        <f>+'Table 5-7 - inputs'!A11</f>
        <v>Analysis (b): OM for CIS+/- Ta/T1</v>
      </c>
      <c r="B11" s="10"/>
      <c r="C11" s="10"/>
      <c r="D11" s="10"/>
      <c r="E11" s="6"/>
      <c r="F11" s="6"/>
      <c r="G11" s="6"/>
      <c r="H11" s="10"/>
      <c r="I11" s="10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AB11" s="74" t="str">
        <f>+A12</f>
        <v>Transition probability: Progression to MIBC</v>
      </c>
      <c r="AC11" s="74"/>
      <c r="AD11" s="74"/>
      <c r="AE11" s="74"/>
      <c r="AF11" s="74"/>
      <c r="AG11" s="74"/>
      <c r="AI11" s="74" t="str">
        <f>+A13</f>
        <v>Transition probability: NMIBC Cystectomy</v>
      </c>
      <c r="AJ11" s="74"/>
      <c r="AK11" s="74"/>
      <c r="AL11" s="74"/>
      <c r="AM11" s="74"/>
      <c r="AN11" s="74"/>
      <c r="AP11" s="74" t="str">
        <f>+A14</f>
        <v>Transition probability: MIBC Cystectomy</v>
      </c>
      <c r="AQ11" s="74"/>
      <c r="AR11" s="74"/>
      <c r="AS11" s="74"/>
      <c r="AT11" s="74"/>
      <c r="AU11" s="74"/>
      <c r="AW11" s="74" t="str">
        <f>+A15</f>
        <v>Transition probability: MIBC to Metastatic Disease</v>
      </c>
      <c r="AX11" s="74"/>
      <c r="AY11" s="74"/>
      <c r="AZ11" s="74"/>
      <c r="BA11" s="74"/>
      <c r="BB11" s="74"/>
      <c r="BD11" s="74" t="str">
        <f>BD2</f>
        <v>Transition probability: Post-Cystectomy to Metastatic Disease</v>
      </c>
      <c r="BE11" s="74"/>
      <c r="BF11" s="74"/>
      <c r="BG11" s="74"/>
      <c r="BH11" s="74"/>
      <c r="BI11" s="74"/>
    </row>
    <row r="12" spans="1:61" x14ac:dyDescent="0.25">
      <c r="A12" s="6" t="str">
        <f>+'Table 5-7 - inputs'!A4</f>
        <v>Transition probability: Progression to MIBC</v>
      </c>
      <c r="B12" s="63">
        <f>+'Table 5-7 - inputs'!B12</f>
        <v>1.4E-2</v>
      </c>
      <c r="C12" s="63">
        <f>+'Table 5-7 - inputs'!C12</f>
        <v>0</v>
      </c>
      <c r="D12" s="63">
        <f>+'Table 5-7 - inputs'!D12</f>
        <v>5.0599999999999999E-2</v>
      </c>
      <c r="E12" s="11">
        <f>+'Table 5-7 - inputs'!E12</f>
        <v>382000</v>
      </c>
      <c r="F12" s="11">
        <f>+'Table 5-7 - inputs'!F12</f>
        <v>449780.179</v>
      </c>
      <c r="G12" s="11">
        <f>+'Table 5-7 - inputs'!G12</f>
        <v>250000.1519</v>
      </c>
      <c r="H12" s="10">
        <f>+'Table 5-7 - inputs'!H12</f>
        <v>0.03</v>
      </c>
      <c r="I12" s="10">
        <f>+'Table 5-7 - inputs'!I12</f>
        <v>0.03</v>
      </c>
      <c r="J12" s="11">
        <f>+AG13</f>
        <v>316251.29209156631</v>
      </c>
      <c r="K12" s="11">
        <f>+AG14</f>
        <v>316251.29209156631</v>
      </c>
      <c r="L12" s="12">
        <f>+S12</f>
        <v>0.10395010163214927</v>
      </c>
      <c r="M12" s="14" t="str">
        <f t="shared" ref="M12:N16" si="7">+IF(X12,"YES","NO")</f>
        <v>NO</v>
      </c>
      <c r="N12" s="14" t="str">
        <f t="shared" si="7"/>
        <v>NO</v>
      </c>
      <c r="O12" s="6"/>
      <c r="P12" s="44">
        <f>+MIN(E12,J12,K12)</f>
        <v>316251.29209156631</v>
      </c>
      <c r="Q12" s="44">
        <f>+MEDIAN(E12,J12,K12)</f>
        <v>316251.29209156631</v>
      </c>
      <c r="R12" s="44">
        <f>+MAX(E12,J12,K12)</f>
        <v>382000</v>
      </c>
      <c r="S12" s="45">
        <f t="shared" ref="S12:S16" si="8">+AVERAGE((Q12-P12)/Q12,(R12-Q12)/Q12)</f>
        <v>0.10395010163214927</v>
      </c>
      <c r="T12" s="6" t="b">
        <f>+AND(E12&lt;=Benchmark1,J12&lt;=Benchmark1,K12&lt;=Benchmark1)</f>
        <v>0</v>
      </c>
      <c r="U12" s="45" t="b">
        <f>+AND(E12&gt;Benchmark1,J12&gt;Benchmark1,K12&gt;Benchmark1)</f>
        <v>1</v>
      </c>
      <c r="V12" s="6" t="b">
        <f>+AND(E12&lt;=Benchmark2,J12&lt;=Benchmark2,K12&lt;=Benchmark2)</f>
        <v>0</v>
      </c>
      <c r="W12" s="45" t="b">
        <f>+AND(E12&gt;Benchmark2,J12&gt;Benchmark2,K12&gt;Benchmark2)</f>
        <v>1</v>
      </c>
      <c r="X12" s="11" t="b">
        <f>+AND(NOT(T12),NOT(U12))</f>
        <v>0</v>
      </c>
      <c r="Y12" s="11" t="b">
        <f>+AND(NOT(V12),NOT(W12))</f>
        <v>0</v>
      </c>
      <c r="AB12" s="19">
        <f>+B12</f>
        <v>1.4E-2</v>
      </c>
      <c r="AC12" s="20">
        <f>+E12</f>
        <v>382000</v>
      </c>
      <c r="AD12" s="20"/>
      <c r="AE12" s="20" t="s">
        <v>23</v>
      </c>
      <c r="AF12" s="23">
        <f>-AC15/(2*AB15)</f>
        <v>0.10618992929288383</v>
      </c>
      <c r="AG12" s="23"/>
      <c r="AI12" s="19">
        <f>+B13</f>
        <v>0.05</v>
      </c>
      <c r="AJ12" s="20">
        <f>+E13</f>
        <v>382000</v>
      </c>
      <c r="AK12" s="20"/>
      <c r="AL12" s="20" t="s">
        <v>23</v>
      </c>
      <c r="AM12" s="23">
        <f>-AJ15/(2*AI15)</f>
        <v>5.1758700208016248E-2</v>
      </c>
      <c r="AN12" s="23"/>
      <c r="AP12" s="19">
        <f>+B14</f>
        <v>0.5</v>
      </c>
      <c r="AQ12" s="20">
        <f>+E14</f>
        <v>382000</v>
      </c>
      <c r="AR12" s="20"/>
      <c r="AS12" s="20" t="s">
        <v>23</v>
      </c>
      <c r="AT12" s="23">
        <f>-AQ15/(2*AP15)</f>
        <v>0.50440002303670872</v>
      </c>
      <c r="AU12" s="23"/>
      <c r="AW12" s="19">
        <f>+B15</f>
        <v>3.9E-2</v>
      </c>
      <c r="AX12" s="20">
        <f>+E15</f>
        <v>382000</v>
      </c>
      <c r="AY12" s="20"/>
      <c r="AZ12" s="20" t="s">
        <v>23</v>
      </c>
      <c r="BA12" s="23">
        <f>-AX15/(2*AW15)</f>
        <v>4.210001421621274E-2</v>
      </c>
      <c r="BB12" s="23"/>
      <c r="BD12" s="19">
        <f>+B16</f>
        <v>5.7000000000000002E-2</v>
      </c>
      <c r="BE12" s="20">
        <f>+E16</f>
        <v>382000</v>
      </c>
      <c r="BF12" s="20"/>
      <c r="BG12" s="20" t="s">
        <v>23</v>
      </c>
      <c r="BH12" s="23">
        <f>-BE15/(2*BD15)</f>
        <v>7.7703028998691123E-2</v>
      </c>
      <c r="BI12" s="23"/>
    </row>
    <row r="13" spans="1:61" x14ac:dyDescent="0.25">
      <c r="A13" s="6" t="str">
        <f>+'Table 5-7 - inputs'!A5</f>
        <v>Transition probability: NMIBC Cystectomy</v>
      </c>
      <c r="B13" s="63">
        <f>+'Table 5-7 - inputs'!B13</f>
        <v>0.05</v>
      </c>
      <c r="C13" s="63">
        <f>+'Table 5-7 - inputs'!C13</f>
        <v>4.9500000000000002E-2</v>
      </c>
      <c r="D13" s="63">
        <f>+'Table 5-7 - inputs'!D13</f>
        <v>5.2499999999999998E-2</v>
      </c>
      <c r="E13" s="11">
        <f>+'Table 5-7 - inputs'!E13</f>
        <v>382000</v>
      </c>
      <c r="F13" s="11">
        <f>+'Table 5-7 - inputs'!F13</f>
        <v>383411.36060000001</v>
      </c>
      <c r="G13" s="11">
        <f>+'Table 5-7 - inputs'!G13</f>
        <v>380212.87560000003</v>
      </c>
      <c r="H13" s="10">
        <f>+'Table 5-7 - inputs'!H13</f>
        <v>0.05</v>
      </c>
      <c r="I13" s="10">
        <f>+'Table 5-7 - inputs'!I13</f>
        <v>0.05</v>
      </c>
      <c r="J13" s="11">
        <f>+AN13</f>
        <v>382509.96889677428</v>
      </c>
      <c r="K13" s="11">
        <f>+AN14</f>
        <v>382509.96889677428</v>
      </c>
      <c r="L13" s="12">
        <f t="shared" ref="L13:L16" si="9">+S13</f>
        <v>6.6660863538422761E-4</v>
      </c>
      <c r="M13" s="14" t="str">
        <f t="shared" si="7"/>
        <v>NO</v>
      </c>
      <c r="N13" s="14" t="str">
        <f t="shared" si="7"/>
        <v>NO</v>
      </c>
      <c r="O13" s="6"/>
      <c r="P13" s="44">
        <f>+MIN(E13,J13,K13)</f>
        <v>382000</v>
      </c>
      <c r="Q13" s="44">
        <f>+MEDIAN(E13,J13,K13)</f>
        <v>382509.96889677428</v>
      </c>
      <c r="R13" s="44">
        <f>+MAX(E13,J13,K13)</f>
        <v>382509.96889677428</v>
      </c>
      <c r="S13" s="45">
        <f t="shared" si="8"/>
        <v>6.6660863538422761E-4</v>
      </c>
      <c r="T13" s="6" t="b">
        <f>+AND(E13&lt;=Benchmark1,J13&lt;=Benchmark1,K13&lt;=Benchmark1)</f>
        <v>0</v>
      </c>
      <c r="U13" s="45" t="b">
        <f>+AND(E13&gt;Benchmark1,J13&gt;Benchmark1,K13&gt;Benchmark1)</f>
        <v>1</v>
      </c>
      <c r="V13" s="6" t="b">
        <f>+AND(E13&lt;=Benchmark2,J13&lt;=Benchmark2,K13&lt;=Benchmark2)</f>
        <v>0</v>
      </c>
      <c r="W13" s="45" t="b">
        <f>+AND(E13&gt;Benchmark2,J13&gt;Benchmark2,K13&gt;Benchmark2)</f>
        <v>1</v>
      </c>
      <c r="X13" s="11" t="b">
        <f t="shared" ref="X13:X16" si="10">+AND(NOT(T13),NOT(U13))</f>
        <v>0</v>
      </c>
      <c r="Y13" s="11" t="b">
        <f t="shared" ref="Y13:Y16" si="11">+AND(NOT(V13),NOT(W13))</f>
        <v>0</v>
      </c>
      <c r="AB13" s="19">
        <f>+C12</f>
        <v>0</v>
      </c>
      <c r="AC13" s="20">
        <f>+F12</f>
        <v>449780.179</v>
      </c>
      <c r="AD13" s="20"/>
      <c r="AE13" s="20" t="s">
        <v>24</v>
      </c>
      <c r="AF13" s="23">
        <f>+H12</f>
        <v>0.03</v>
      </c>
      <c r="AG13" s="20">
        <f>+AB17*AF13^2+AC17*AF13+AD17</f>
        <v>316251.29209156631</v>
      </c>
      <c r="AI13" s="19">
        <f>+C13</f>
        <v>4.9500000000000002E-2</v>
      </c>
      <c r="AJ13" s="20">
        <f>+F13</f>
        <v>383411.36060000001</v>
      </c>
      <c r="AK13" s="20"/>
      <c r="AL13" s="20" t="s">
        <v>24</v>
      </c>
      <c r="AM13" s="23">
        <f>+H13</f>
        <v>0.05</v>
      </c>
      <c r="AN13" s="20">
        <f>+AI17*AM13^2+AJ17*AM13+AK17</f>
        <v>382509.96889677428</v>
      </c>
      <c r="AP13" s="19">
        <f>+C14</f>
        <v>0.49120000000000003</v>
      </c>
      <c r="AQ13" s="20">
        <f>+F14</f>
        <v>381195.36599999998</v>
      </c>
      <c r="AR13" s="20"/>
      <c r="AS13" s="20" t="s">
        <v>24</v>
      </c>
      <c r="AT13" s="23">
        <f>+H14</f>
        <v>0.5</v>
      </c>
      <c r="AU13" s="20">
        <f>+AP17*AT13^2+AQ17*AT13+AR17</f>
        <v>381731.78936879057</v>
      </c>
      <c r="AW13" s="19">
        <f>+C15</f>
        <v>3.2800000000000003E-2</v>
      </c>
      <c r="AX13" s="20">
        <f>+F15</f>
        <v>381081.36330000003</v>
      </c>
      <c r="AY13" s="20"/>
      <c r="AZ13" s="20" t="s">
        <v>24</v>
      </c>
      <c r="BA13" s="23">
        <f>+H15</f>
        <v>0.04</v>
      </c>
      <c r="BB13" s="20">
        <f>+AW17*BA13^2+AX17*BA13+AY17</f>
        <v>381767.87224349804</v>
      </c>
      <c r="BD13" s="19">
        <f>+C16</f>
        <v>4.9099999999999998E-2</v>
      </c>
      <c r="BE13" s="20">
        <f>+F16</f>
        <v>379687.14169999998</v>
      </c>
      <c r="BF13" s="20"/>
      <c r="BG13" s="20" t="s">
        <v>24</v>
      </c>
      <c r="BH13" s="23">
        <f>+H16</f>
        <v>0.06</v>
      </c>
      <c r="BI13" s="20">
        <f>+BD17*BH13^2+BE17*BH13+BF17</f>
        <v>382684.13630962692</v>
      </c>
    </row>
    <row r="14" spans="1:61" x14ac:dyDescent="0.25">
      <c r="A14" s="6" t="str">
        <f>+'Table 5-7 - inputs'!A6</f>
        <v>Transition probability: MIBC Cystectomy</v>
      </c>
      <c r="B14" s="63">
        <f>+'Table 5-7 - inputs'!B14</f>
        <v>0.5</v>
      </c>
      <c r="C14" s="63">
        <f>+'Table 5-7 - inputs'!C14</f>
        <v>0.49120000000000003</v>
      </c>
      <c r="D14" s="63">
        <f>+'Table 5-7 - inputs'!D14</f>
        <v>0.50880000000000003</v>
      </c>
      <c r="E14" s="11">
        <f>+'Table 5-7 - inputs'!E14</f>
        <v>382000</v>
      </c>
      <c r="F14" s="11">
        <f>+'Table 5-7 - inputs'!F14</f>
        <v>381195.36599999998</v>
      </c>
      <c r="G14" s="11">
        <f>+'Table 5-7 - inputs'!G14</f>
        <v>382000.00210637174</v>
      </c>
      <c r="H14" s="10">
        <f>+'Table 5-7 - inputs'!H14</f>
        <v>0.5</v>
      </c>
      <c r="I14" s="10">
        <f>+'Table 5-7 - inputs'!I14</f>
        <v>0.5</v>
      </c>
      <c r="J14" s="11">
        <f>+AU13</f>
        <v>381731.78936879057</v>
      </c>
      <c r="K14" s="11">
        <f>+AU14</f>
        <v>381731.78936879057</v>
      </c>
      <c r="L14" s="12">
        <f t="shared" si="9"/>
        <v>3.5130769650193802E-4</v>
      </c>
      <c r="M14" s="14" t="str">
        <f t="shared" si="7"/>
        <v>NO</v>
      </c>
      <c r="N14" s="14" t="str">
        <f t="shared" si="7"/>
        <v>NO</v>
      </c>
      <c r="O14" s="6"/>
      <c r="P14" s="44">
        <f>+MIN(E14,J14,K14)</f>
        <v>381731.78936879057</v>
      </c>
      <c r="Q14" s="44">
        <f>+MEDIAN(E14,J14,K14)</f>
        <v>381731.78936879057</v>
      </c>
      <c r="R14" s="44">
        <f>+MAX(E14,J14,K14)</f>
        <v>382000</v>
      </c>
      <c r="S14" s="45">
        <f t="shared" si="8"/>
        <v>3.5130769650193802E-4</v>
      </c>
      <c r="T14" s="6" t="b">
        <f>+AND(E14&lt;=Benchmark1,J14&lt;=Benchmark1,K14&lt;=Benchmark1)</f>
        <v>0</v>
      </c>
      <c r="U14" s="45" t="b">
        <f>+AND(E14&gt;Benchmark1,J14&gt;Benchmark1,K14&gt;Benchmark1)</f>
        <v>1</v>
      </c>
      <c r="V14" s="6" t="b">
        <f>+AND(E14&lt;=Benchmark2,J14&lt;=Benchmark2,K14&lt;=Benchmark2)</f>
        <v>0</v>
      </c>
      <c r="W14" s="45" t="b">
        <f>+AND(E14&gt;Benchmark2,J14&gt;Benchmark2,K14&gt;Benchmark2)</f>
        <v>1</v>
      </c>
      <c r="X14" s="11" t="b">
        <f t="shared" si="10"/>
        <v>0</v>
      </c>
      <c r="Y14" s="11" t="b">
        <f t="shared" si="11"/>
        <v>0</v>
      </c>
      <c r="AB14" s="19">
        <f>+D12</f>
        <v>5.0599999999999999E-2</v>
      </c>
      <c r="AC14" s="20">
        <f>+G12</f>
        <v>250000.1519</v>
      </c>
      <c r="AD14" s="20"/>
      <c r="AE14" s="20" t="s">
        <v>25</v>
      </c>
      <c r="AF14" s="23">
        <f>+I12</f>
        <v>0.03</v>
      </c>
      <c r="AG14" s="20">
        <f>+AB17*AF14^2+AC17*AF14+AD17</f>
        <v>316251.29209156631</v>
      </c>
      <c r="AI14" s="19">
        <f>+D13</f>
        <v>5.2499999999999998E-2</v>
      </c>
      <c r="AJ14" s="20">
        <f>+G13</f>
        <v>380212.87560000003</v>
      </c>
      <c r="AK14" s="20"/>
      <c r="AL14" s="20" t="s">
        <v>25</v>
      </c>
      <c r="AM14" s="23">
        <f>+I13</f>
        <v>0.05</v>
      </c>
      <c r="AN14" s="20">
        <f>+AI17*AM14^2+AJ17*AM14+AK17</f>
        <v>382509.96889677428</v>
      </c>
      <c r="AP14" s="19">
        <f>+D14</f>
        <v>0.50880000000000003</v>
      </c>
      <c r="AQ14" s="20">
        <f>+G14</f>
        <v>382000.00210637174</v>
      </c>
      <c r="AR14" s="20"/>
      <c r="AS14" s="20" t="s">
        <v>25</v>
      </c>
      <c r="AT14" s="23">
        <f>+I14</f>
        <v>0.5</v>
      </c>
      <c r="AU14" s="20">
        <f>+AP17*AT14^2+AQ17*AT14+AR17</f>
        <v>381731.78936879057</v>
      </c>
      <c r="AW14" s="19">
        <f>+D15</f>
        <v>4.5199999999999997E-2</v>
      </c>
      <c r="AX14" s="20">
        <f>+G15</f>
        <v>382000.00210637174</v>
      </c>
      <c r="AY14" s="20"/>
      <c r="AZ14" s="20" t="s">
        <v>25</v>
      </c>
      <c r="BA14" s="23">
        <f>+I15</f>
        <v>3.9E-2</v>
      </c>
      <c r="BB14" s="20">
        <f>+AW17*BA14^2+AX17*BA14+AY17</f>
        <v>381693.78846879065</v>
      </c>
      <c r="BD14" s="19">
        <f>+D16</f>
        <v>6.4600000000000005E-2</v>
      </c>
      <c r="BE14" s="20">
        <f>+G16</f>
        <v>383525.56170000002</v>
      </c>
      <c r="BF14" s="20"/>
      <c r="BG14" s="20" t="s">
        <v>25</v>
      </c>
      <c r="BH14" s="23">
        <f>+I16</f>
        <v>0.06</v>
      </c>
      <c r="BI14" s="20">
        <f>+BD17*BH14^2+BE17*BH14+BF17</f>
        <v>382684.13630962692</v>
      </c>
    </row>
    <row r="15" spans="1:61" x14ac:dyDescent="0.25">
      <c r="A15" s="6" t="str">
        <f>+'Table 5-7 - inputs'!A7</f>
        <v>Transition probability: MIBC to Metastatic Disease</v>
      </c>
      <c r="B15" s="63">
        <f>+'Table 5-7 - inputs'!B15</f>
        <v>3.9E-2</v>
      </c>
      <c r="C15" s="63">
        <f>+'Table 5-7 - inputs'!C15</f>
        <v>3.2800000000000003E-2</v>
      </c>
      <c r="D15" s="63">
        <f>+'Table 5-7 - inputs'!D15</f>
        <v>4.5199999999999997E-2</v>
      </c>
      <c r="E15" s="11">
        <f>+'Table 5-7 - inputs'!E15</f>
        <v>382000</v>
      </c>
      <c r="F15" s="11">
        <f>+'Table 5-7 - inputs'!F15</f>
        <v>381081.36330000003</v>
      </c>
      <c r="G15" s="11">
        <f>+'Table 5-7 - inputs'!G15</f>
        <v>382000.00210637174</v>
      </c>
      <c r="H15" s="10">
        <f>+'Table 5-7 - inputs'!H15</f>
        <v>0.04</v>
      </c>
      <c r="I15" s="10">
        <f>+'Table 5-7 - inputs'!I15</f>
        <v>3.9E-2</v>
      </c>
      <c r="J15" s="11">
        <f>+BB13</f>
        <v>381767.87224349804</v>
      </c>
      <c r="K15" s="11">
        <f>+BB14</f>
        <v>381693.78846879065</v>
      </c>
      <c r="L15" s="12">
        <f t="shared" si="9"/>
        <v>4.0104413371647607E-4</v>
      </c>
      <c r="M15" s="14" t="str">
        <f t="shared" si="7"/>
        <v>NO</v>
      </c>
      <c r="N15" s="14" t="str">
        <f t="shared" si="7"/>
        <v>NO</v>
      </c>
      <c r="O15" s="6"/>
      <c r="P15" s="44">
        <f>+MIN(E15,J15,K15)</f>
        <v>381693.78846879065</v>
      </c>
      <c r="Q15" s="44">
        <f>+MEDIAN(E15,J15,K15)</f>
        <v>381767.87224349804</v>
      </c>
      <c r="R15" s="44">
        <f>+MAX(E15,J15,K15)</f>
        <v>382000</v>
      </c>
      <c r="S15" s="45">
        <f t="shared" si="8"/>
        <v>4.0104413371647607E-4</v>
      </c>
      <c r="T15" s="6" t="b">
        <f>+AND(E15&lt;=Benchmark1,J15&lt;=Benchmark1,K15&lt;=Benchmark1)</f>
        <v>0</v>
      </c>
      <c r="U15" s="45" t="b">
        <f>+AND(E15&gt;Benchmark1,J15&gt;Benchmark1,K15&gt;Benchmark1)</f>
        <v>1</v>
      </c>
      <c r="V15" s="6" t="b">
        <f>+AND(E15&lt;=Benchmark2,J15&lt;=Benchmark2,K15&lt;=Benchmark2)</f>
        <v>0</v>
      </c>
      <c r="W15" s="45" t="b">
        <f>+AND(E15&gt;Benchmark2,J15&gt;Benchmark2,K15&gt;Benchmark2)</f>
        <v>1</v>
      </c>
      <c r="X15" s="11" t="b">
        <f t="shared" si="10"/>
        <v>0</v>
      </c>
      <c r="Y15" s="11" t="b">
        <f t="shared" si="11"/>
        <v>0</v>
      </c>
      <c r="AB15" s="22" cm="1">
        <f t="array" ref="AB15:AD15">+LINEST(AC12:AC14,AB12:AB14^{1,2})</f>
        <v>24404903.762191683</v>
      </c>
      <c r="AC15" s="22">
        <v>-5183110.0098135388</v>
      </c>
      <c r="AD15" s="22">
        <v>449780.17899999995</v>
      </c>
      <c r="AF15" s="21">
        <f>+OR(AF12=MIN(AF12:AF14,AB12:AB14),AF12=MAX(AF12:AF14,AB12:AB14))*1</f>
        <v>1</v>
      </c>
      <c r="AI15" s="22" cm="1">
        <f t="array" ref="AI15:AK15">+LINEST(AJ12:AJ14,AI12:AI14^{1,2})</f>
        <v>702623813.33352304</v>
      </c>
      <c r="AJ15" s="22">
        <v>-72733790.626685977</v>
      </c>
      <c r="AK15" s="22">
        <v>2262129.9980004914</v>
      </c>
      <c r="AL15" s="22"/>
      <c r="AM15" s="21">
        <f>+OR(AM12=MIN(AM12:AM14,AI12:AI14),AM12=MAX(AM12:AM14,AI12:AI14))*1</f>
        <v>0</v>
      </c>
      <c r="AP15" s="22" cm="1">
        <f t="array" ref="AP15:AR15">+LINEST(AQ12:AQ14,AP12:AP14^{1,2})</f>
        <v>-5195195.5941910362</v>
      </c>
      <c r="AQ15" s="22">
        <v>5240913.5547803324</v>
      </c>
      <c r="AR15" s="22">
        <v>-939657.87884240691</v>
      </c>
      <c r="AS15" s="22"/>
      <c r="AT15" s="21">
        <f>+OR(AT12=MIN(AT12:AT14,AP12:AP14),AT12=MAX(AT12:AT14,AP12:AP14))*1</f>
        <v>0</v>
      </c>
      <c r="AW15" s="22" cm="1">
        <f t="array" ref="AW15:AY15">+LINEST(AX12:AX14,AW12:AW14^{1,2})</f>
        <v>-11948941.12419652</v>
      </c>
      <c r="AX15" s="22">
        <v>1006101.182394725</v>
      </c>
      <c r="AY15" s="22">
        <v>360936.39333650866</v>
      </c>
      <c r="AZ15" s="22"/>
      <c r="BA15" s="21">
        <f>+OR(BA12=MIN(BA12:BA14,AW12:AW14),BA12=MAX(BA12:BA14,AW12:AW14))*1</f>
        <v>0</v>
      </c>
      <c r="BD15" s="22" cm="1">
        <f t="array" ref="BD15:BF15">+LINEST(BE12:BE14,BD12:BD14^{1,2})</f>
        <v>-5937746.502331771</v>
      </c>
      <c r="BE15" s="22">
        <v>922761.77731512475</v>
      </c>
      <c r="BF15" s="22">
        <v>348694.3170791138</v>
      </c>
      <c r="BG15" s="22"/>
      <c r="BH15" s="21">
        <f>+OR(BH12=MIN(BH12:BH14,BD12:BD14),BH12=MAX(BH12:BH14,BD12:BD14))*1</f>
        <v>1</v>
      </c>
    </row>
    <row r="16" spans="1:61" x14ac:dyDescent="0.25">
      <c r="A16" s="6" t="str">
        <f>+'Table 5-7 - inputs'!A8</f>
        <v>Transition probability: Post-Cystectomy to Metastatic Disease</v>
      </c>
      <c r="B16" s="63">
        <f>+'Table 5-7 - inputs'!B16</f>
        <v>5.7000000000000002E-2</v>
      </c>
      <c r="C16" s="63">
        <f>+'Table 5-7 - inputs'!C16</f>
        <v>4.9099999999999998E-2</v>
      </c>
      <c r="D16" s="63">
        <f>+'Table 5-7 - inputs'!D16</f>
        <v>6.4600000000000005E-2</v>
      </c>
      <c r="E16" s="11">
        <f>+'Table 5-7 - inputs'!E16</f>
        <v>382000</v>
      </c>
      <c r="F16" s="11">
        <f>+'Table 5-7 - inputs'!F16</f>
        <v>379687.14169999998</v>
      </c>
      <c r="G16" s="11">
        <f>+'Table 5-7 - inputs'!G16</f>
        <v>383525.56170000002</v>
      </c>
      <c r="H16" s="10">
        <f>+'Table 5-7 - inputs'!H16</f>
        <v>0.06</v>
      </c>
      <c r="I16" s="10">
        <f>+'Table 5-7 - inputs'!I16</f>
        <v>0.06</v>
      </c>
      <c r="J16" s="11">
        <f>+BI13</f>
        <v>382684.13630962692</v>
      </c>
      <c r="K16" s="11">
        <f>+BI14</f>
        <v>382684.13630962692</v>
      </c>
      <c r="L16" s="12">
        <f t="shared" si="9"/>
        <v>8.9386552082392835E-4</v>
      </c>
      <c r="M16" s="14" t="str">
        <f t="shared" si="7"/>
        <v>NO</v>
      </c>
      <c r="N16" s="14" t="str">
        <f t="shared" si="7"/>
        <v>NO</v>
      </c>
      <c r="O16" s="6"/>
      <c r="P16" s="44">
        <f>+MIN(E16,J16,K16)</f>
        <v>382000</v>
      </c>
      <c r="Q16" s="44">
        <f t="shared" ref="Q16" si="12">+MEDIAN(E16,J16,K16)</f>
        <v>382684.13630962692</v>
      </c>
      <c r="R16" s="44">
        <f t="shared" ref="R16" si="13">+MAX(E16,J16,K16)</f>
        <v>382684.13630962692</v>
      </c>
      <c r="S16" s="45">
        <f t="shared" si="8"/>
        <v>8.9386552082392835E-4</v>
      </c>
      <c r="T16" s="6" t="b">
        <f>+AND(E16&lt;=Benchmark1,J16&lt;=Benchmark1,K16&lt;=Benchmark1)</f>
        <v>0</v>
      </c>
      <c r="U16" s="45" t="b">
        <f>+AND(E16&gt;Benchmark1,J16&gt;Benchmark1,K16&gt;Benchmark1)</f>
        <v>1</v>
      </c>
      <c r="V16" s="6" t="b">
        <f>+AND(E16&lt;=Benchmark2,J16&lt;=Benchmark2,K16&lt;=Benchmark2)</f>
        <v>0</v>
      </c>
      <c r="W16" s="45" t="b">
        <f>+AND(E16&gt;Benchmark2,J16&gt;Benchmark2,K16&gt;Benchmark2)</f>
        <v>1</v>
      </c>
      <c r="X16" s="11" t="b">
        <f t="shared" si="10"/>
        <v>0</v>
      </c>
      <c r="Y16" s="11" t="b">
        <f t="shared" si="11"/>
        <v>0</v>
      </c>
      <c r="AC16" s="22" cm="1">
        <f t="array" ref="AC16:AD16">+LINEST(AC12:AC14,AB12:AB14^{1})</f>
        <v>-3879222.8162952396</v>
      </c>
      <c r="AD16" s="22">
        <v>444126.04161089082</v>
      </c>
      <c r="AF16" s="21">
        <f>+NOT(AF15)*1</f>
        <v>0</v>
      </c>
      <c r="AJ16" s="22" cm="1">
        <f t="array" ref="AJ16:AK16">+LINEST(AJ12:AJ14,AI12:AI14^{1})</f>
        <v>-952835.24516128504</v>
      </c>
      <c r="AK16" s="22">
        <v>430151.73115483852</v>
      </c>
      <c r="AL16" s="22"/>
      <c r="AM16" s="21">
        <f>+NOT(AM15)*1</f>
        <v>1</v>
      </c>
      <c r="AQ16" s="22" cm="1">
        <f t="array" ref="AQ16:AR16">+LINEST(AQ12:AQ14,AP12:AP14^{1})</f>
        <v>45717.960589304668</v>
      </c>
      <c r="AR16" s="22">
        <v>358872.80907413823</v>
      </c>
      <c r="AS16" s="22"/>
      <c r="AT16" s="21">
        <f>+NOT(AT15)*1</f>
        <v>1</v>
      </c>
      <c r="AX16" s="22" cm="1">
        <f t="array" ref="AX16:AY16">+LINEST(AX12:AX14,AW12:AW14^{1})</f>
        <v>74083.774707396544</v>
      </c>
      <c r="AY16" s="22">
        <v>378804.52125520218</v>
      </c>
      <c r="AZ16" s="22"/>
      <c r="BA16" s="21">
        <f>+NOT(BA15)*1</f>
        <v>1</v>
      </c>
      <c r="BE16" s="22" cm="1">
        <f t="array" ref="BE16:BF16">+LINEST(BE12:BE14,BD12:BD14^{1})</f>
        <v>247936.73905443904</v>
      </c>
      <c r="BF16" s="22">
        <v>367629.96734780242</v>
      </c>
      <c r="BG16" s="22"/>
      <c r="BH16" s="21">
        <f>+NOT(BH15)*1</f>
        <v>0</v>
      </c>
    </row>
    <row r="17" spans="1:61" x14ac:dyDescent="0.25">
      <c r="A17" s="6"/>
      <c r="B17" s="63"/>
      <c r="C17" s="63"/>
      <c r="D17" s="63"/>
      <c r="E17" s="11"/>
      <c r="F17" s="11"/>
      <c r="G17" s="11"/>
      <c r="H17" s="10"/>
      <c r="I17" s="10"/>
      <c r="J17" s="11"/>
      <c r="K17" s="11"/>
      <c r="L17" s="12"/>
      <c r="M17" s="14"/>
      <c r="N17" s="14"/>
      <c r="O17" s="6"/>
      <c r="P17" s="44"/>
      <c r="Q17" s="44"/>
      <c r="R17" s="44"/>
      <c r="S17" s="45"/>
      <c r="T17" s="6"/>
      <c r="U17" s="45"/>
      <c r="V17" s="6"/>
      <c r="W17" s="45"/>
      <c r="X17" s="11"/>
      <c r="Y17" s="11"/>
      <c r="AB17" s="22">
        <f>+SUMPRODUCT(AB15:AB16,AF15:AF16)</f>
        <v>24404903.762191683</v>
      </c>
      <c r="AC17" s="22">
        <f>+SUMPRODUCT(AC15:AC16,AF15:AF16)</f>
        <v>-5183110.0098135388</v>
      </c>
      <c r="AD17" s="22">
        <f>+SUMPRODUCT(AD15:AD16,AF15:AF16)</f>
        <v>449780.17899999995</v>
      </c>
      <c r="AI17" s="22">
        <f>+SUMPRODUCT(AI15:AI16,AM15:AM16)</f>
        <v>0</v>
      </c>
      <c r="AJ17" s="22">
        <f>+SUMPRODUCT(AJ15:AJ16,AM15:AM16)</f>
        <v>-952835.24516128504</v>
      </c>
      <c r="AK17" s="22">
        <f>+SUMPRODUCT(AK15:AK16,AM15:AM16)</f>
        <v>430151.73115483852</v>
      </c>
      <c r="AP17" s="22">
        <f>+SUMPRODUCT(AP15:AP16,AT15:AT16)</f>
        <v>0</v>
      </c>
      <c r="AQ17" s="22">
        <f>+SUMPRODUCT(AQ15:AQ16,AT15:AT16)</f>
        <v>45717.960589304668</v>
      </c>
      <c r="AR17" s="22">
        <f>+SUMPRODUCT(AR15:AR16,AT15:AT16)</f>
        <v>358872.80907413823</v>
      </c>
      <c r="AU17" s="3"/>
      <c r="AW17" s="22">
        <f>+SUMPRODUCT(AW15:AW16,BA15:BA16)</f>
        <v>0</v>
      </c>
      <c r="AX17" s="22">
        <f>+SUMPRODUCT(AX15:AX16,BA15:BA16)</f>
        <v>74083.774707396544</v>
      </c>
      <c r="AY17" s="22">
        <f>+SUMPRODUCT(AY15:AY16,BA15:BA16)</f>
        <v>378804.52125520218</v>
      </c>
      <c r="BD17" s="22">
        <f>+SUMPRODUCT(BD15:BD16,BH15:BH16)</f>
        <v>-5937746.502331771</v>
      </c>
      <c r="BE17" s="22">
        <f>+SUMPRODUCT(BE15:BE16,BH15:BH16)</f>
        <v>922761.77731512475</v>
      </c>
      <c r="BF17" s="22">
        <f>+SUMPRODUCT(BF15:BF16,BH15:BH16)</f>
        <v>348694.3170791138</v>
      </c>
      <c r="BI17" s="3"/>
    </row>
    <row r="18" spans="1:61" x14ac:dyDescent="0.25">
      <c r="A18" s="6"/>
      <c r="B18" s="10"/>
      <c r="C18" s="10"/>
      <c r="D18" s="10"/>
      <c r="E18" s="11"/>
      <c r="F18" s="11"/>
      <c r="G18" s="11"/>
      <c r="H18" s="10"/>
      <c r="I18" s="10"/>
      <c r="J18" s="11"/>
      <c r="K18" s="11"/>
      <c r="L18" s="12"/>
      <c r="M18" s="24"/>
      <c r="N18" s="24"/>
      <c r="P18" s="25"/>
      <c r="Q18" s="25"/>
      <c r="R18" s="25"/>
      <c r="S18" s="13"/>
      <c r="U18" s="13"/>
      <c r="W18" s="13"/>
      <c r="X18" s="11"/>
      <c r="Y18" s="11"/>
      <c r="AB18" s="22"/>
      <c r="AC18" s="22"/>
      <c r="AD18" s="22"/>
      <c r="AF18" s="21"/>
      <c r="AI18" s="22"/>
      <c r="AJ18" s="22"/>
      <c r="AK18" s="22"/>
      <c r="AL18" s="22"/>
      <c r="AM18" s="21"/>
      <c r="AP18" s="22"/>
      <c r="AQ18" s="22"/>
      <c r="AR18" s="22"/>
      <c r="AS18" s="22"/>
      <c r="AT18" s="21"/>
      <c r="AW18" s="22"/>
      <c r="AX18" s="22"/>
      <c r="AY18" s="22"/>
      <c r="AZ18" s="22"/>
      <c r="BA18" s="21"/>
      <c r="BD18" s="22"/>
      <c r="BE18" s="22"/>
      <c r="BF18" s="22"/>
      <c r="BG18" s="22"/>
      <c r="BH18" s="21"/>
    </row>
    <row r="19" spans="1:61" x14ac:dyDescent="0.25">
      <c r="A19" s="9" t="str">
        <f>+'Table 5-7 - inputs'!A19</f>
        <v>Analysis (c): NF for HG Ta/T1</v>
      </c>
      <c r="B19" s="65"/>
      <c r="C19" s="65"/>
      <c r="D19" s="65"/>
      <c r="E19" s="6"/>
      <c r="F19" s="6"/>
      <c r="G19" s="6"/>
      <c r="H19" s="6"/>
      <c r="I19" s="6"/>
      <c r="J19" s="6"/>
      <c r="K19" s="6"/>
      <c r="L19" s="6"/>
      <c r="M19" s="6"/>
      <c r="N19" s="6"/>
      <c r="P19" s="21"/>
      <c r="Q19" s="21"/>
      <c r="R19" s="21"/>
      <c r="AB19" s="74" t="str">
        <f>+A20</f>
        <v>Transition probability: Progression to MIBC</v>
      </c>
      <c r="AC19" s="74"/>
      <c r="AD19" s="74"/>
      <c r="AE19" s="74"/>
      <c r="AF19" s="74"/>
      <c r="AG19" s="74"/>
      <c r="AI19" s="74" t="str">
        <f>+A21</f>
        <v>Transition probability: NMIBC Cystectomy</v>
      </c>
      <c r="AJ19" s="74"/>
      <c r="AK19" s="74"/>
      <c r="AL19" s="74"/>
      <c r="AM19" s="74"/>
      <c r="AN19" s="74"/>
      <c r="AP19" s="74" t="str">
        <f>+A22</f>
        <v>Transition probability: MIBC Cystectomy</v>
      </c>
      <c r="AQ19" s="74"/>
      <c r="AR19" s="74"/>
      <c r="AS19" s="74"/>
      <c r="AT19" s="74"/>
      <c r="AU19" s="74"/>
      <c r="AW19" s="74" t="str">
        <f>+A23</f>
        <v>Transition probability: MIBC to Metastatic Disease</v>
      </c>
      <c r="AX19" s="74"/>
      <c r="AY19" s="74"/>
      <c r="AZ19" s="74"/>
      <c r="BA19" s="74"/>
      <c r="BB19" s="74"/>
      <c r="BD19" s="74">
        <f>BD3</f>
        <v>0</v>
      </c>
      <c r="BE19" s="74"/>
      <c r="BF19" s="74"/>
      <c r="BG19" s="74"/>
      <c r="BH19" s="74"/>
      <c r="BI19" s="74"/>
    </row>
    <row r="20" spans="1:61" x14ac:dyDescent="0.25">
      <c r="A20" s="6" t="str">
        <f>+'Table 5-7 - inputs'!A20</f>
        <v>Transition probability: Progression to MIBC</v>
      </c>
      <c r="B20" s="63">
        <f>+'Table 5-7 - inputs'!B20</f>
        <v>1.4E-2</v>
      </c>
      <c r="C20" s="63">
        <f>+'Table 5-7 - inputs'!C20</f>
        <v>0</v>
      </c>
      <c r="D20" s="63">
        <f>+'Table 5-7 - inputs'!D20</f>
        <v>5.0599999999999999E-2</v>
      </c>
      <c r="E20" s="11">
        <f>+'Table 5-7 - inputs'!E20</f>
        <v>93000</v>
      </c>
      <c r="F20" s="11">
        <f>+'Table 5-7 - inputs'!F20</f>
        <v>176989.42069999999</v>
      </c>
      <c r="G20" s="11">
        <f>+'Table 5-7 - inputs'!G20</f>
        <v>71053.050069999998</v>
      </c>
      <c r="H20" s="10">
        <f>+'Table 5-7 - inputs'!H20</f>
        <v>0.03</v>
      </c>
      <c r="I20" s="10">
        <f>+'Table 5-7 - inputs'!I20</f>
        <v>0.03</v>
      </c>
      <c r="J20" s="11">
        <f>+AG21</f>
        <v>98509.379687909925</v>
      </c>
      <c r="K20" s="11">
        <f>+AG22</f>
        <v>98509.379687909925</v>
      </c>
      <c r="L20" s="12">
        <f>+S20</f>
        <v>2.7963731501326729E-2</v>
      </c>
      <c r="M20" s="14" t="str">
        <f>+IF(X21,"YES","NO")</f>
        <v>NO</v>
      </c>
      <c r="N20" s="14" t="str">
        <f>+IF(Y21,"YES","NO")</f>
        <v>NO</v>
      </c>
      <c r="O20" s="6"/>
      <c r="P20" s="44">
        <f>+MIN(E20,J20,K20)</f>
        <v>93000</v>
      </c>
      <c r="Q20" s="44">
        <f>+MEDIAN(E20,J20,K20)</f>
        <v>98509.379687909925</v>
      </c>
      <c r="R20" s="44">
        <f>+MAX(E20,J20,K20)</f>
        <v>98509.379687909925</v>
      </c>
      <c r="S20" s="45">
        <f t="shared" ref="S20:S24" si="14">+AVERAGE((Q20-P20)/Q20,(R20-Q20)/Q20)</f>
        <v>2.7963731501326729E-2</v>
      </c>
      <c r="T20" s="6" t="b">
        <f>+AND(E20&lt;=Benchmark1,J20&lt;=Benchmark1,K20&lt;=Benchmark1)</f>
        <v>1</v>
      </c>
      <c r="U20" s="45" t="b">
        <f>+AND(E20&gt;Benchmark1,J20&gt;Benchmark1,K20&gt;Benchmark1)</f>
        <v>0</v>
      </c>
      <c r="V20" s="6" t="b">
        <f>+AND(E20&lt;=Benchmark2,J20&lt;=Benchmark2,K20&lt;=Benchmark2)</f>
        <v>1</v>
      </c>
      <c r="W20" s="45" t="b">
        <f>+AND(E20&gt;Benchmark2,J20&gt;Benchmark2,K20&gt;Benchmark2)</f>
        <v>0</v>
      </c>
      <c r="X20" s="11" t="b">
        <f>+AND(NOT(T20),NOT(U20))</f>
        <v>0</v>
      </c>
      <c r="Y20" s="11" t="b">
        <f>+AND(NOT(V20),NOT(W20))</f>
        <v>0</v>
      </c>
      <c r="AB20" s="19">
        <f>+B20</f>
        <v>1.4E-2</v>
      </c>
      <c r="AC20" s="20">
        <f>+E20</f>
        <v>93000</v>
      </c>
      <c r="AD20" s="20"/>
      <c r="AE20" s="20" t="s">
        <v>23</v>
      </c>
      <c r="AF20" s="23">
        <f>-AC23/(2*AB23)</f>
        <v>3.5109648221225004E-2</v>
      </c>
      <c r="AG20" s="23"/>
      <c r="AI20" s="19">
        <f>+B21</f>
        <v>0.05</v>
      </c>
      <c r="AJ20" s="20">
        <f>+E21</f>
        <v>93000</v>
      </c>
      <c r="AK20" s="20"/>
      <c r="AL20" s="20" t="s">
        <v>23</v>
      </c>
      <c r="AM20" s="23">
        <f>-AJ23/(2*AI23)</f>
        <v>4.9749919350502915E-2</v>
      </c>
      <c r="AN20" s="23"/>
      <c r="AP20" s="19">
        <f>+B22</f>
        <v>0.5</v>
      </c>
      <c r="AQ20" s="20">
        <f>+E22</f>
        <v>93000</v>
      </c>
      <c r="AR20" s="20"/>
      <c r="AS20" s="20" t="s">
        <v>23</v>
      </c>
      <c r="AT20" s="23">
        <f>-AQ23/(2*AP23)</f>
        <v>0.50440009462467239</v>
      </c>
      <c r="AU20" s="23"/>
      <c r="AW20" s="19">
        <f>+B23</f>
        <v>3.9E-2</v>
      </c>
      <c r="AX20" s="20">
        <f>+E23</f>
        <v>93000</v>
      </c>
      <c r="AY20" s="20"/>
      <c r="AZ20" s="20" t="s">
        <v>23</v>
      </c>
      <c r="BA20" s="23">
        <f>-AX23/(2*AW23)</f>
        <v>3.2339148617067701E-2</v>
      </c>
      <c r="BB20" s="23"/>
      <c r="BD20" s="19">
        <f>+B24</f>
        <v>5.7000000000000002E-2</v>
      </c>
      <c r="BE20" s="20">
        <f>+E24</f>
        <v>93000</v>
      </c>
      <c r="BF20" s="20"/>
      <c r="BG20" s="20" t="s">
        <v>23</v>
      </c>
      <c r="BH20" s="23">
        <f>-BE23/(2*BD23)</f>
        <v>4.9841259746347975E-2</v>
      </c>
      <c r="BI20" s="23"/>
    </row>
    <row r="21" spans="1:61" x14ac:dyDescent="0.25">
      <c r="A21" s="6" t="str">
        <f>+'Table 5-7 - inputs'!A21</f>
        <v>Transition probability: NMIBC Cystectomy</v>
      </c>
      <c r="B21" s="63">
        <f>+'Table 5-7 - inputs'!B21</f>
        <v>0.05</v>
      </c>
      <c r="C21" s="63">
        <f>+'Table 5-7 - inputs'!C21</f>
        <v>4.9500000000000002E-2</v>
      </c>
      <c r="D21" s="63">
        <f>+'Table 5-7 - inputs'!D21</f>
        <v>5.2499999999999998E-2</v>
      </c>
      <c r="E21" s="11">
        <f>+'Table 5-7 - inputs'!E21</f>
        <v>93000</v>
      </c>
      <c r="F21" s="11">
        <f>+'Table 5-7 - inputs'!F21</f>
        <v>93000.004904070112</v>
      </c>
      <c r="G21" s="11">
        <f>+'Table 5-7 - inputs'!G21</f>
        <v>92543.921480000005</v>
      </c>
      <c r="H21" s="10">
        <f>+'Table 5-7 - inputs'!H21</f>
        <v>0.05</v>
      </c>
      <c r="I21" s="10">
        <f>+'Table 5-7 - inputs'!I21</f>
        <v>0.05</v>
      </c>
      <c r="J21" s="11">
        <f>+AN21</f>
        <v>92955.865741969406</v>
      </c>
      <c r="K21" s="11">
        <f>+AN22</f>
        <v>92955.865741969406</v>
      </c>
      <c r="L21" s="12">
        <f t="shared" ref="L21:L23" si="15">+S21</f>
        <v>2.3739361512216593E-4</v>
      </c>
      <c r="M21" s="14" t="str">
        <f t="shared" ref="M21:N24" si="16">+IF(X22,"YES","NO")</f>
        <v>NO</v>
      </c>
      <c r="N21" s="14" t="str">
        <f t="shared" si="16"/>
        <v>NO</v>
      </c>
      <c r="O21" s="6"/>
      <c r="P21" s="44">
        <f>+MIN(E21,J21,K21)</f>
        <v>92955.865741969406</v>
      </c>
      <c r="Q21" s="44">
        <f>+MEDIAN(E21,J21,K21)</f>
        <v>92955.865741969406</v>
      </c>
      <c r="R21" s="44">
        <f>+MAX(E21,J21,K21)</f>
        <v>93000</v>
      </c>
      <c r="S21" s="45">
        <f t="shared" si="14"/>
        <v>2.3739361512216593E-4</v>
      </c>
      <c r="T21" s="6" t="b">
        <f>+AND(E21&lt;=Benchmark1,J21&lt;=Benchmark1,K21&lt;=Benchmark1)</f>
        <v>1</v>
      </c>
      <c r="U21" s="45" t="b">
        <f>+AND(E21&gt;Benchmark1,J21&gt;Benchmark1,K21&gt;Benchmark1)</f>
        <v>0</v>
      </c>
      <c r="V21" s="6" t="b">
        <f>+AND(E21&lt;=Benchmark2,J21&lt;=Benchmark2,K21&lt;=Benchmark2)</f>
        <v>1</v>
      </c>
      <c r="W21" s="45" t="b">
        <f>+AND(E21&gt;Benchmark2,J21&gt;Benchmark2,K21&gt;Benchmark2)</f>
        <v>0</v>
      </c>
      <c r="X21" s="11" t="b">
        <f t="shared" ref="X21:X24" si="17">+AND(NOT(T21),NOT(U21))</f>
        <v>0</v>
      </c>
      <c r="Y21" s="11" t="b">
        <f t="shared" ref="Y21:Y24" si="18">+AND(NOT(V21),NOT(W21))</f>
        <v>0</v>
      </c>
      <c r="AB21" s="19">
        <f>+C20</f>
        <v>0</v>
      </c>
      <c r="AC21" s="20">
        <f>+F20</f>
        <v>176989.42069999999</v>
      </c>
      <c r="AD21" s="20"/>
      <c r="AE21" s="20" t="s">
        <v>24</v>
      </c>
      <c r="AF21" s="23">
        <f>+H20</f>
        <v>0.03</v>
      </c>
      <c r="AG21" s="20">
        <f>+AB25*AF21^2+AC25*AF21+AD25</f>
        <v>98509.379687909925</v>
      </c>
      <c r="AI21" s="19">
        <f>+C21</f>
        <v>4.9500000000000002E-2</v>
      </c>
      <c r="AJ21" s="20">
        <f>+F21</f>
        <v>93000.004904070112</v>
      </c>
      <c r="AK21" s="20"/>
      <c r="AL21" s="20" t="s">
        <v>24</v>
      </c>
      <c r="AM21" s="23">
        <f>+H21</f>
        <v>0.05</v>
      </c>
      <c r="AN21" s="20">
        <f>+AI25*AM21^2+AJ25*AM21+AK25</f>
        <v>92955.865741969406</v>
      </c>
      <c r="AP21" s="19">
        <f>+C22</f>
        <v>0.49120000000000003</v>
      </c>
      <c r="AQ21" s="20">
        <f>+F22</f>
        <v>92429.701759999996</v>
      </c>
      <c r="AR21" s="20"/>
      <c r="AS21" s="20" t="s">
        <v>24</v>
      </c>
      <c r="AT21" s="23">
        <f>+H22</f>
        <v>0.5</v>
      </c>
      <c r="AU21" s="20">
        <f>+AP25*AT21^2+AQ25*AT21+AR25</f>
        <v>92809.902630746379</v>
      </c>
      <c r="AW21" s="19">
        <f>+C23</f>
        <v>3.2800000000000003E-2</v>
      </c>
      <c r="AX21" s="20">
        <f>+F23</f>
        <v>93181.80601</v>
      </c>
      <c r="AY21" s="20"/>
      <c r="AZ21" s="20" t="s">
        <v>24</v>
      </c>
      <c r="BA21" s="23">
        <f>+H23</f>
        <v>0.04</v>
      </c>
      <c r="BB21" s="20">
        <f>+AW25*BA21^2+AX25*BA21+AY25</f>
        <v>92941.030511810619</v>
      </c>
      <c r="BD21" s="19">
        <f>+C24</f>
        <v>4.9099999999999998E-2</v>
      </c>
      <c r="BE21" s="20">
        <f>+F24</f>
        <v>93211.561870000005</v>
      </c>
      <c r="BF21" s="20"/>
      <c r="BG21" s="20" t="s">
        <v>24</v>
      </c>
      <c r="BH21" s="23">
        <f>+H24</f>
        <v>0.06</v>
      </c>
      <c r="BI21" s="20">
        <f>+BD25*BH21^2+BE25*BH21+BF25</f>
        <v>92658.13244937711</v>
      </c>
    </row>
    <row r="22" spans="1:61" x14ac:dyDescent="0.25">
      <c r="A22" s="6" t="str">
        <f>+'Table 5-7 - inputs'!A22</f>
        <v>Transition probability: MIBC Cystectomy</v>
      </c>
      <c r="B22" s="63">
        <f>+'Table 5-7 - inputs'!B22</f>
        <v>0.5</v>
      </c>
      <c r="C22" s="63">
        <f>+'Table 5-7 - inputs'!C22</f>
        <v>0.49120000000000003</v>
      </c>
      <c r="D22" s="63">
        <f>+'Table 5-7 - inputs'!D22</f>
        <v>0.50880000000000003</v>
      </c>
      <c r="E22" s="11">
        <f>+'Table 5-7 - inputs'!E22</f>
        <v>93000</v>
      </c>
      <c r="F22" s="11">
        <f>+'Table 5-7 - inputs'!F22</f>
        <v>92429.701759999996</v>
      </c>
      <c r="G22" s="11">
        <f>+'Table 5-7 - inputs'!G22</f>
        <v>93000.006132239141</v>
      </c>
      <c r="H22" s="10">
        <f>+'Table 5-7 - inputs'!H22</f>
        <v>0.5</v>
      </c>
      <c r="I22" s="10">
        <f>+'Table 5-7 - inputs'!I22</f>
        <v>0.5</v>
      </c>
      <c r="J22" s="11">
        <f>+AU21</f>
        <v>92809.902630746379</v>
      </c>
      <c r="K22" s="11">
        <f>+AU22</f>
        <v>92809.902630746379</v>
      </c>
      <c r="L22" s="12">
        <f t="shared" si="15"/>
        <v>1.0241222319235833E-3</v>
      </c>
      <c r="M22" s="14" t="str">
        <f t="shared" si="16"/>
        <v>NO</v>
      </c>
      <c r="N22" s="14" t="str">
        <f t="shared" si="16"/>
        <v>NO</v>
      </c>
      <c r="O22" s="6"/>
      <c r="P22" s="44">
        <f>+MIN(E22,J22,K22)</f>
        <v>92809.902630746379</v>
      </c>
      <c r="Q22" s="44">
        <f>+MEDIAN(E22,J22,K22)</f>
        <v>92809.902630746379</v>
      </c>
      <c r="R22" s="44">
        <f>+MAX(E22,J22,K22)</f>
        <v>93000</v>
      </c>
      <c r="S22" s="45">
        <f t="shared" si="14"/>
        <v>1.0241222319235833E-3</v>
      </c>
      <c r="T22" s="6" t="b">
        <f>+AND(E22&lt;=Benchmark1,J22&lt;=Benchmark1,K22&lt;=Benchmark1)</f>
        <v>1</v>
      </c>
      <c r="U22" s="45" t="b">
        <f>+AND(E22&gt;Benchmark1,J22&gt;Benchmark1,K22&gt;Benchmark1)</f>
        <v>0</v>
      </c>
      <c r="V22" s="6" t="b">
        <f>+AND(E22&lt;=Benchmark2,J22&lt;=Benchmark2,K22&lt;=Benchmark2)</f>
        <v>1</v>
      </c>
      <c r="W22" s="45" t="b">
        <f>+AND(E22&gt;Benchmark2,J22&gt;Benchmark2,K22&gt;Benchmark2)</f>
        <v>0</v>
      </c>
      <c r="X22" s="11" t="b">
        <f t="shared" si="17"/>
        <v>0</v>
      </c>
      <c r="Y22" s="11" t="b">
        <f t="shared" si="18"/>
        <v>0</v>
      </c>
      <c r="AB22" s="19">
        <f>+D20</f>
        <v>5.0599999999999999E-2</v>
      </c>
      <c r="AC22" s="20">
        <f>+G20</f>
        <v>71053.050069999998</v>
      </c>
      <c r="AD22" s="20"/>
      <c r="AE22" s="20" t="s">
        <v>25</v>
      </c>
      <c r="AF22" s="23">
        <f>+I20</f>
        <v>0.03</v>
      </c>
      <c r="AG22" s="20">
        <f>+AB25*AF22^2+AC25*AF22+AD25</f>
        <v>98509.379687909925</v>
      </c>
      <c r="AI22" s="19">
        <f>+D21</f>
        <v>5.2499999999999998E-2</v>
      </c>
      <c r="AJ22" s="20">
        <f>+G21</f>
        <v>92543.921480000005</v>
      </c>
      <c r="AK22" s="20"/>
      <c r="AL22" s="20" t="s">
        <v>25</v>
      </c>
      <c r="AM22" s="23">
        <f>+I21</f>
        <v>0.05</v>
      </c>
      <c r="AN22" s="20">
        <f>+AI25*AM22^2+AJ25*AM22+AK25</f>
        <v>92955.865741969406</v>
      </c>
      <c r="AP22" s="19">
        <f>+D22</f>
        <v>0.50880000000000003</v>
      </c>
      <c r="AQ22" s="20">
        <f>+G22</f>
        <v>93000.006132239141</v>
      </c>
      <c r="AR22" s="20"/>
      <c r="AS22" s="20" t="s">
        <v>25</v>
      </c>
      <c r="AT22" s="23">
        <f>+I22</f>
        <v>0.5</v>
      </c>
      <c r="AU22" s="20">
        <f>+AP25*AT22^2+AQ25*AT22+AR25</f>
        <v>92809.902630746379</v>
      </c>
      <c r="AW22" s="19">
        <f>+D23</f>
        <v>4.5199999999999997E-2</v>
      </c>
      <c r="AX22" s="20">
        <f>+G23</f>
        <v>92501.641250000001</v>
      </c>
      <c r="AY22" s="20"/>
      <c r="AZ22" s="20" t="s">
        <v>25</v>
      </c>
      <c r="BA22" s="23">
        <f>+I23</f>
        <v>3.9E-2</v>
      </c>
      <c r="BB22" s="20">
        <f>+AW25*BA22^2+AX25*BA22+AY25</f>
        <v>93000.000000000015</v>
      </c>
      <c r="BD22" s="19">
        <f>+D24</f>
        <v>6.4600000000000005E-2</v>
      </c>
      <c r="BE22" s="20">
        <f>+G24</f>
        <v>92304.895709999997</v>
      </c>
      <c r="BF22" s="20"/>
      <c r="BG22" s="20" t="s">
        <v>25</v>
      </c>
      <c r="BH22" s="23">
        <f>+I24</f>
        <v>0.06</v>
      </c>
      <c r="BI22" s="20">
        <f>+BD25*BH22^2+BE25*BH22+BF25</f>
        <v>92658.13244937711</v>
      </c>
    </row>
    <row r="23" spans="1:61" x14ac:dyDescent="0.25">
      <c r="A23" s="6" t="str">
        <f>+'Table 5-7 - inputs'!A23</f>
        <v>Transition probability: MIBC to Metastatic Disease</v>
      </c>
      <c r="B23" s="63">
        <f>+'Table 5-7 - inputs'!B23</f>
        <v>3.9E-2</v>
      </c>
      <c r="C23" s="63">
        <f>+'Table 5-7 - inputs'!C23</f>
        <v>3.2800000000000003E-2</v>
      </c>
      <c r="D23" s="63">
        <f>+'Table 5-7 - inputs'!D23</f>
        <v>4.5199999999999997E-2</v>
      </c>
      <c r="E23" s="11">
        <f>+'Table 5-7 - inputs'!E23</f>
        <v>93000</v>
      </c>
      <c r="F23" s="11">
        <f>+'Table 5-7 - inputs'!F23</f>
        <v>93181.80601</v>
      </c>
      <c r="G23" s="11">
        <f>+'Table 5-7 - inputs'!G23</f>
        <v>92501.641250000001</v>
      </c>
      <c r="H23" s="10">
        <f>+'Table 5-7 - inputs'!H23</f>
        <v>0.04</v>
      </c>
      <c r="I23" s="10">
        <f>+'Table 5-7 - inputs'!I23</f>
        <v>3.9E-2</v>
      </c>
      <c r="J23" s="11">
        <f>+BB21</f>
        <v>92941.030511810619</v>
      </c>
      <c r="K23" s="11">
        <f>+BB22</f>
        <v>93000.000000000015</v>
      </c>
      <c r="L23" s="12">
        <f t="shared" si="15"/>
        <v>3.170402590827722E-4</v>
      </c>
      <c r="M23" s="14" t="str">
        <f t="shared" si="16"/>
        <v>NO</v>
      </c>
      <c r="N23" s="14" t="str">
        <f t="shared" si="16"/>
        <v>NO</v>
      </c>
      <c r="O23" s="6"/>
      <c r="P23" s="44">
        <f>+MIN(E23,J23,K23)</f>
        <v>92941.030511810619</v>
      </c>
      <c r="Q23" s="44">
        <f>+MEDIAN(E23,J23,K23)</f>
        <v>93000</v>
      </c>
      <c r="R23" s="44">
        <f>+MAX(E23,J23,K23)</f>
        <v>93000.000000000015</v>
      </c>
      <c r="S23" s="45">
        <f t="shared" si="14"/>
        <v>3.170402590827722E-4</v>
      </c>
      <c r="T23" s="6" t="b">
        <f>+AND(E23&lt;=Benchmark1,J23&lt;=Benchmark1,K23&lt;=Benchmark1)</f>
        <v>1</v>
      </c>
      <c r="U23" s="45" t="b">
        <f>+AND(E23&gt;Benchmark1,J23&gt;Benchmark1,K23&gt;Benchmark1)</f>
        <v>0</v>
      </c>
      <c r="V23" s="6" t="b">
        <f>+AND(E23&lt;=Benchmark2,J23&lt;=Benchmark2,K23&lt;=Benchmark2)</f>
        <v>1</v>
      </c>
      <c r="W23" s="45" t="b">
        <f>+AND(E23&gt;Benchmark2,J23&gt;Benchmark2,K23&gt;Benchmark2)</f>
        <v>0</v>
      </c>
      <c r="X23" s="11" t="b">
        <f t="shared" si="17"/>
        <v>0</v>
      </c>
      <c r="Y23" s="11" t="b">
        <f t="shared" si="18"/>
        <v>0</v>
      </c>
      <c r="AB23" s="22" cm="1">
        <f t="array" ref="AB23:AD23">+LINEST(AC20:AC22,AB20:AB22^{1,2})</f>
        <v>106711480.13841701</v>
      </c>
      <c r="AC23" s="22">
        <v>-7493205.0576521205</v>
      </c>
      <c r="AD23" s="22">
        <v>176989.42070000002</v>
      </c>
      <c r="AF23" s="21">
        <f>+OR(AF20=MIN(AF20:AF22,AB20:AB22),AF20=MAX(AF20:AF22,AB20:AB22))*1</f>
        <v>0</v>
      </c>
      <c r="AH23" s="4"/>
      <c r="AI23" s="22" cm="1">
        <f t="array" ref="AI23:AK23">+LINEST(AJ20:AJ22,AI20:AI22^{1,2})</f>
        <v>-60807199.953273222</v>
      </c>
      <c r="AJ23" s="22">
        <v>6050306.587210495</v>
      </c>
      <c r="AK23" s="22">
        <v>-57497.329477341729</v>
      </c>
      <c r="AL23" s="22"/>
      <c r="AM23" s="21">
        <f>+OR(AM20=MIN(AM20:AM22,AI20:AI22),AM20=MAX(AM20:AM22,AI20:AI22))*1</f>
        <v>0</v>
      </c>
      <c r="AP23" s="22" cm="1">
        <f t="array" ref="AP23:AR23">+LINEST(AQ20:AQ22,AP20:AP22^{1,2})</f>
        <v>-3682154.6213900102</v>
      </c>
      <c r="AQ23" s="22">
        <v>3714558.2789035914</v>
      </c>
      <c r="AR23" s="22">
        <v>-843740.48410429305</v>
      </c>
      <c r="AS23" s="22"/>
      <c r="AT23" s="21">
        <f>+OR(AT20=MIN(AT20:AT22,AP20:AP22),AT20=MAX(AT20:AT22,AP20:AP22))*1</f>
        <v>0</v>
      </c>
      <c r="AW23" s="22" cm="1">
        <f t="array" ref="AW23:AY23">+LINEST(AX20:AX22,AW20:AW22^{1,2})</f>
        <v>-4117491.4151924872</v>
      </c>
      <c r="AX23" s="22">
        <v>266312.33361082053</v>
      </c>
      <c r="AY23" s="22">
        <v>88876.523431685782</v>
      </c>
      <c r="AZ23" s="22"/>
      <c r="BA23" s="21">
        <f>+OR(BA20=MIN(BA20:BA22,AW20:AW22),BA20=MAX(BA20:BA22,AW20:AW22))*1</f>
        <v>1</v>
      </c>
      <c r="BD23" s="22" cm="1">
        <f t="array" ref="BD23:BF23">+LINEST(BE20:BE22,BD20:BD22^{1,2})</f>
        <v>-4172974.6609786833</v>
      </c>
      <c r="BE23" s="22">
        <v>415972.62798553385</v>
      </c>
      <c r="BF23" s="22">
        <v>82847.554878344308</v>
      </c>
      <c r="BG23" s="22"/>
      <c r="BH23" s="21">
        <f>+OR(BH20=MIN(BH20:BH22,BD20:BD22),BH20=MAX(BH20:BH22,BD20:BD22))*1</f>
        <v>0</v>
      </c>
    </row>
    <row r="24" spans="1:61" x14ac:dyDescent="0.25">
      <c r="A24" s="6" t="str">
        <f>+'Table 5-7 - inputs'!A24</f>
        <v>Transition probability: Post-Cystectomy to Metastatic Disease</v>
      </c>
      <c r="B24" s="63">
        <f>+'Table 5-7 - inputs'!B24</f>
        <v>5.7000000000000002E-2</v>
      </c>
      <c r="C24" s="63">
        <f>+'Table 5-7 - inputs'!C24</f>
        <v>4.9099999999999998E-2</v>
      </c>
      <c r="D24" s="63">
        <f>+'Table 5-7 - inputs'!D24</f>
        <v>6.4600000000000005E-2</v>
      </c>
      <c r="E24" s="11">
        <f>+'Table 5-7 - inputs'!E24</f>
        <v>93000</v>
      </c>
      <c r="F24" s="11">
        <f>+'Table 5-7 - inputs'!F24</f>
        <v>93211.561870000005</v>
      </c>
      <c r="G24" s="11">
        <f>+'Table 5-7 - inputs'!G24</f>
        <v>92304.895709999997</v>
      </c>
      <c r="H24" s="10">
        <f>+'Table 5-7 - inputs'!H24</f>
        <v>0.06</v>
      </c>
      <c r="I24" s="10">
        <f>+'Table 5-7 - inputs'!I24</f>
        <v>0.06</v>
      </c>
      <c r="J24" s="11">
        <f>+BI21</f>
        <v>92658.13244937711</v>
      </c>
      <c r="K24" s="11">
        <f>+BI22</f>
        <v>92658.13244937711</v>
      </c>
      <c r="L24" s="12">
        <f>+S24</f>
        <v>1.8447789826201504E-3</v>
      </c>
      <c r="M24" s="14" t="str">
        <f t="shared" si="16"/>
        <v>NO</v>
      </c>
      <c r="N24" s="14" t="str">
        <f t="shared" si="16"/>
        <v>NO</v>
      </c>
      <c r="O24" s="6"/>
      <c r="P24" s="44">
        <f>+MIN(E24,J24,K24)</f>
        <v>92658.13244937711</v>
      </c>
      <c r="Q24" s="44">
        <f t="shared" ref="Q24" si="19">+MEDIAN(E24,J24,K24)</f>
        <v>92658.13244937711</v>
      </c>
      <c r="R24" s="44">
        <f t="shared" ref="R24" si="20">+MAX(E24,J24,K24)</f>
        <v>93000</v>
      </c>
      <c r="S24" s="45">
        <f t="shared" si="14"/>
        <v>1.8447789826201504E-3</v>
      </c>
      <c r="T24" s="6" t="b">
        <f>+AND(E24&lt;=Benchmark1,J24&lt;=Benchmark1,K24&lt;=Benchmark1)</f>
        <v>1</v>
      </c>
      <c r="U24" s="45" t="b">
        <f>+AND(E24&gt;Benchmark1,J24&gt;Benchmark1,K24&gt;Benchmark1)</f>
        <v>0</v>
      </c>
      <c r="V24" s="6" t="b">
        <f>+AND(E24&lt;=Benchmark2,J24&lt;=Benchmark2,K24&lt;=Benchmark2)</f>
        <v>1</v>
      </c>
      <c r="W24" s="45" t="b">
        <f>+AND(E24&gt;Benchmark2,J24&gt;Benchmark2,K24&gt;Benchmark2)</f>
        <v>0</v>
      </c>
      <c r="X24" s="11" t="b">
        <f t="shared" si="17"/>
        <v>0</v>
      </c>
      <c r="Y24" s="11" t="b">
        <f t="shared" si="18"/>
        <v>0</v>
      </c>
      <c r="AC24" s="22" cm="1">
        <f t="array" ref="AC24:AD24">+LINEST(AC20:AC22,AB20:AB22^{1})</f>
        <v>-1791902.8230815055</v>
      </c>
      <c r="AD24" s="22">
        <v>152266.46438035509</v>
      </c>
      <c r="AF24" s="21">
        <f>+NOT(AF23)*1</f>
        <v>1</v>
      </c>
      <c r="AJ24" s="22" cm="1">
        <f t="array" ref="AJ24:AK24">+LINEST(AJ20:AJ22,AI20:AI22^{1})</f>
        <v>-161835.42091905625</v>
      </c>
      <c r="AK24" s="22">
        <v>101047.63678792222</v>
      </c>
      <c r="AL24" s="22"/>
      <c r="AM24" s="21">
        <f>+NOT(AM23)*1</f>
        <v>1</v>
      </c>
      <c r="AQ24" s="22" cm="1">
        <f t="array" ref="AQ24:AR24">+LINEST(AQ20:AQ22,AP20:AP22^{1})</f>
        <v>32403.657513587736</v>
      </c>
      <c r="AR24" s="22">
        <v>76608.073873952511</v>
      </c>
      <c r="AS24" s="22"/>
      <c r="AT24" s="21">
        <f>+NOT(AT23)*1</f>
        <v>1</v>
      </c>
      <c r="AX24" s="22" cm="1">
        <f t="array" ref="AX24:AY24">+LINEST(AX20:AX22,AW20:AW22^{1})</f>
        <v>-54851.996774193532</v>
      </c>
      <c r="AY24" s="22">
        <v>95033.710294193545</v>
      </c>
      <c r="AZ24" s="22"/>
      <c r="BA24" s="21">
        <f>+NOT(BA23)*1</f>
        <v>0</v>
      </c>
      <c r="BE24" s="22" cm="1">
        <f t="array" ref="BE24:BF24">+LINEST(BE20:BE22,BD20:BD22^{1})</f>
        <v>-58286.046437490084</v>
      </c>
      <c r="BF24" s="22">
        <v>96155.295235626516</v>
      </c>
      <c r="BG24" s="22"/>
      <c r="BH24" s="21">
        <f>+NOT(BH23)*1</f>
        <v>1</v>
      </c>
    </row>
    <row r="25" spans="1:61" x14ac:dyDescent="0.25">
      <c r="A25" s="6"/>
      <c r="B25" s="63"/>
      <c r="C25" s="63"/>
      <c r="D25" s="63"/>
      <c r="E25" s="11"/>
      <c r="F25" s="11"/>
      <c r="G25" s="11"/>
      <c r="H25" s="10"/>
      <c r="I25" s="10"/>
      <c r="J25" s="11"/>
      <c r="K25" s="11"/>
      <c r="L25" s="12"/>
      <c r="M25" s="14"/>
      <c r="N25" s="14"/>
      <c r="O25" s="6"/>
      <c r="P25" s="44"/>
      <c r="Q25" s="44"/>
      <c r="R25" s="44"/>
      <c r="S25" s="45"/>
      <c r="T25" s="6"/>
      <c r="U25" s="45"/>
      <c r="V25" s="6"/>
      <c r="W25" s="45"/>
      <c r="X25" s="11"/>
      <c r="Y25" s="11"/>
      <c r="AB25" s="22">
        <f>+SUMPRODUCT(AB23:AB24,AF23:AF24)</f>
        <v>0</v>
      </c>
      <c r="AC25" s="22">
        <f>+SUMPRODUCT(AC23:AC24,AF23:AF24)</f>
        <v>-1791902.8230815055</v>
      </c>
      <c r="AD25" s="22">
        <f>+SUMPRODUCT(AD23:AD24,AF23:AF24)</f>
        <v>152266.46438035509</v>
      </c>
      <c r="AI25" s="22">
        <f>+SUMPRODUCT(AI23:AI24,AM23:AM24)</f>
        <v>0</v>
      </c>
      <c r="AJ25" s="22">
        <f>+SUMPRODUCT(AJ23:AJ24,AM23:AM24)</f>
        <v>-161835.42091905625</v>
      </c>
      <c r="AK25" s="22">
        <f>+SUMPRODUCT(AK23:AK24,AM23:AM24)</f>
        <v>101047.63678792222</v>
      </c>
      <c r="AP25" s="22">
        <f>+SUMPRODUCT(AP23:AP24,AT23:AT24)</f>
        <v>0</v>
      </c>
      <c r="AQ25" s="22">
        <f>+SUMPRODUCT(AQ23:AQ24,AT23:AT24)</f>
        <v>32403.657513587736</v>
      </c>
      <c r="AR25" s="22">
        <f>+SUMPRODUCT(AR23:AR24,AT23:AT24)</f>
        <v>76608.073873952511</v>
      </c>
      <c r="AS25" s="22"/>
      <c r="AT25" s="21"/>
      <c r="AW25" s="22">
        <f>+SUMPRODUCT(AW23:AW24,BA23:BA24)</f>
        <v>-4117491.4151924872</v>
      </c>
      <c r="AX25" s="22">
        <f>+SUMPRODUCT(AX23:AX24,BA23:BA24)</f>
        <v>266312.33361082053</v>
      </c>
      <c r="AY25" s="22">
        <f>+SUMPRODUCT(AY23:AY24,BA23:BA24)</f>
        <v>88876.523431685782</v>
      </c>
      <c r="AZ25" s="22"/>
      <c r="BA25" s="21"/>
      <c r="BD25" s="22">
        <f>+SUMPRODUCT(BD23:BD24,BH23:BH24)</f>
        <v>0</v>
      </c>
      <c r="BE25" s="22">
        <f>+SUMPRODUCT(BE23:BE24,BH23:BH24)</f>
        <v>-58286.046437490084</v>
      </c>
      <c r="BF25" s="22">
        <f>+SUMPRODUCT(BF23:BF24,BH23:BH24)</f>
        <v>96155.295235626516</v>
      </c>
      <c r="BG25" s="22"/>
      <c r="BH25" s="21"/>
    </row>
    <row r="26" spans="1:61" x14ac:dyDescent="0.25">
      <c r="A26" s="6"/>
      <c r="B26" s="10"/>
      <c r="C26" s="10"/>
      <c r="D26" s="10"/>
      <c r="E26" s="6"/>
      <c r="F26" s="6"/>
      <c r="G26" s="6"/>
      <c r="H26" s="10"/>
      <c r="I26" s="10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AC26" s="22"/>
      <c r="AD26" s="22"/>
      <c r="AF26" s="21"/>
      <c r="AJ26" s="22"/>
      <c r="AK26" s="22"/>
      <c r="AL26" s="22"/>
      <c r="AM26" s="21"/>
      <c r="AQ26" s="22"/>
      <c r="AR26" s="22"/>
      <c r="AS26" s="22"/>
      <c r="AT26" s="21"/>
      <c r="AX26" s="22"/>
      <c r="AY26" s="22"/>
      <c r="AZ26" s="22"/>
      <c r="BA26" s="21"/>
      <c r="BE26" s="22"/>
      <c r="BF26" s="22"/>
      <c r="BG26" s="22"/>
      <c r="BH26" s="21"/>
    </row>
    <row r="27" spans="1:61" x14ac:dyDescent="0.25">
      <c r="A27" s="9" t="str">
        <f>+'Table 5-7 - inputs'!A27</f>
        <v>Analysis (d): OM for HG Ta/T1</v>
      </c>
      <c r="B27" s="10"/>
      <c r="C27" s="10"/>
      <c r="D27" s="10"/>
      <c r="E27" s="6"/>
      <c r="F27" s="6"/>
      <c r="G27" s="6"/>
      <c r="H27" s="10"/>
      <c r="I27" s="10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AB27" s="74" t="str">
        <f>+A28</f>
        <v>Transition probability: Progression to MIBC</v>
      </c>
      <c r="AC27" s="74"/>
      <c r="AD27" s="74"/>
      <c r="AE27" s="74"/>
      <c r="AF27" s="74"/>
      <c r="AG27" s="74"/>
      <c r="AI27" s="74" t="str">
        <f>+A29</f>
        <v>Transition probability: NMIBC Cystectomy</v>
      </c>
      <c r="AJ27" s="74"/>
      <c r="AK27" s="74"/>
      <c r="AL27" s="74"/>
      <c r="AM27" s="74"/>
      <c r="AN27" s="74"/>
      <c r="AP27" s="74" t="str">
        <f>+A30</f>
        <v>Transition probability: MIBC Cystectomy</v>
      </c>
      <c r="AQ27" s="74"/>
      <c r="AR27" s="74"/>
      <c r="AS27" s="74"/>
      <c r="AT27" s="74"/>
      <c r="AU27" s="74"/>
      <c r="AW27" s="74" t="str">
        <f>+A31</f>
        <v>Transition probability: MIBC to Metastatic Disease</v>
      </c>
      <c r="AX27" s="74"/>
      <c r="AY27" s="74"/>
      <c r="AZ27" s="74"/>
      <c r="BA27" s="74"/>
      <c r="BB27" s="74"/>
      <c r="BD27" s="74" t="str">
        <f>BD11</f>
        <v>Transition probability: Post-Cystectomy to Metastatic Disease</v>
      </c>
      <c r="BE27" s="74"/>
      <c r="BF27" s="74"/>
      <c r="BG27" s="74"/>
      <c r="BH27" s="74"/>
      <c r="BI27" s="74"/>
    </row>
    <row r="28" spans="1:61" x14ac:dyDescent="0.25">
      <c r="A28" s="6" t="str">
        <f>+'Table 5-7 - inputs'!A28</f>
        <v>Transition probability: Progression to MIBC</v>
      </c>
      <c r="B28" s="63">
        <f>+'Table 5-7 - inputs'!B28</f>
        <v>1.4E-2</v>
      </c>
      <c r="C28" s="63">
        <f>+'Table 5-7 - inputs'!C28</f>
        <v>0</v>
      </c>
      <c r="D28" s="63">
        <f>+'Table 5-7 - inputs'!D28</f>
        <v>5.0599999999999999E-2</v>
      </c>
      <c r="E28" s="11">
        <f>+'Table 5-7 - inputs'!E28</f>
        <v>123000</v>
      </c>
      <c r="F28" s="11">
        <f>+'Table 5-7 - inputs'!F28</f>
        <v>224975.2752</v>
      </c>
      <c r="G28" s="11">
        <f>+'Table 5-7 - inputs'!G28</f>
        <v>88051.866110000003</v>
      </c>
      <c r="H28" s="10">
        <f>+'Table 5-7 - inputs'!H28</f>
        <v>0.03</v>
      </c>
      <c r="I28" s="10">
        <f>+'Table 5-7 - inputs'!I28</f>
        <v>0.03</v>
      </c>
      <c r="J28" s="11">
        <f>+AG29</f>
        <v>125425.72895995725</v>
      </c>
      <c r="K28" s="11">
        <f>+AG30</f>
        <v>125425.72895995725</v>
      </c>
      <c r="L28" s="12">
        <f>+S28</f>
        <v>9.6699815104589887E-3</v>
      </c>
      <c r="M28" s="14" t="str">
        <f t="shared" ref="M28:N28" si="21">+IF(X28,"YES","NO")</f>
        <v>NO</v>
      </c>
      <c r="N28" s="14" t="str">
        <f t="shared" si="21"/>
        <v>NO</v>
      </c>
      <c r="O28" s="6"/>
      <c r="P28" s="44">
        <f>+MIN(E28,J28,K28)</f>
        <v>123000</v>
      </c>
      <c r="Q28" s="44">
        <f>+MEDIAN(E28,J28,K28)</f>
        <v>125425.72895995725</v>
      </c>
      <c r="R28" s="44">
        <f>+MAX(E28,J28,K28)</f>
        <v>125425.72895995725</v>
      </c>
      <c r="S28" s="45">
        <f t="shared" ref="S28:S32" si="22">+AVERAGE((Q28-P28)/Q28,(R28-Q28)/Q28)</f>
        <v>9.6699815104589887E-3</v>
      </c>
      <c r="T28" s="6" t="b">
        <f>+AND(E28&lt;=Benchmark1,J28&lt;=Benchmark1,K28&lt;=Benchmark1)</f>
        <v>0</v>
      </c>
      <c r="U28" s="45" t="b">
        <f>+AND(E28&gt;Benchmark1,J28&gt;Benchmark1,K28&gt;Benchmark1)</f>
        <v>1</v>
      </c>
      <c r="V28" s="6" t="b">
        <f>+AND(E28&lt;=Benchmark2,J28&lt;=Benchmark2,K28&lt;=Benchmark2)</f>
        <v>1</v>
      </c>
      <c r="W28" s="45" t="b">
        <f>+AND(E28&gt;Benchmark2,J28&gt;Benchmark2,K28&gt;Benchmark2)</f>
        <v>0</v>
      </c>
      <c r="X28" s="11" t="b">
        <f>+AND(NOT(T28),NOT(U28))</f>
        <v>0</v>
      </c>
      <c r="Y28" s="11" t="b">
        <f>+AND(NOT(V28),NOT(W28))</f>
        <v>0</v>
      </c>
      <c r="AB28" s="19">
        <f>+B28</f>
        <v>1.4E-2</v>
      </c>
      <c r="AC28" s="20">
        <f>+E28</f>
        <v>123000</v>
      </c>
      <c r="AD28" s="20"/>
      <c r="AE28" s="20" t="s">
        <v>23</v>
      </c>
      <c r="AF28" s="23">
        <f>-AC31/(2*AB31)</f>
        <v>3.6117005276439879E-2</v>
      </c>
      <c r="AG28" s="23"/>
      <c r="AI28" s="19">
        <f>+B29</f>
        <v>0.05</v>
      </c>
      <c r="AJ28" s="20">
        <f>+E29</f>
        <v>123000</v>
      </c>
      <c r="AK28" s="20"/>
      <c r="AL28" s="20" t="s">
        <v>23</v>
      </c>
      <c r="AM28" s="23">
        <f>-AJ31/(2*AI31)</f>
        <v>5.1862831335867624E-2</v>
      </c>
      <c r="AN28" s="23"/>
      <c r="AP28" s="19">
        <f>+B30</f>
        <v>0.5</v>
      </c>
      <c r="AQ28" s="20">
        <f>+E30</f>
        <v>123000</v>
      </c>
      <c r="AR28" s="20"/>
      <c r="AS28" s="20" t="s">
        <v>23</v>
      </c>
      <c r="AT28" s="23">
        <f>-AQ31/(2*AP31)</f>
        <v>0.49360823697420597</v>
      </c>
      <c r="AU28" s="23"/>
      <c r="AW28" s="19">
        <f>+B31</f>
        <v>3.9E-2</v>
      </c>
      <c r="AX28" s="20">
        <f>+E31</f>
        <v>123000</v>
      </c>
      <c r="AY28" s="20"/>
      <c r="AZ28" s="20" t="s">
        <v>23</v>
      </c>
      <c r="BA28" s="23">
        <f>-AX31/(2*AW31)</f>
        <v>4.210005040691403E-2</v>
      </c>
      <c r="BB28" s="23"/>
      <c r="BD28" s="19">
        <f>+B32</f>
        <v>5.7000000000000002E-2</v>
      </c>
      <c r="BE28" s="20">
        <f>+E32</f>
        <v>123000</v>
      </c>
      <c r="BF28" s="20"/>
      <c r="BG28" s="20" t="s">
        <v>23</v>
      </c>
      <c r="BH28" s="23">
        <f>-BE31/(2*BD31)</f>
        <v>5.2550640357357653E-2</v>
      </c>
      <c r="BI28" s="23"/>
    </row>
    <row r="29" spans="1:61" x14ac:dyDescent="0.25">
      <c r="A29" s="6" t="str">
        <f>+'Table 5-7 - inputs'!A29</f>
        <v>Transition probability: NMIBC Cystectomy</v>
      </c>
      <c r="B29" s="63">
        <f>+'Table 5-7 - inputs'!B29</f>
        <v>0.05</v>
      </c>
      <c r="C29" s="63">
        <f>+'Table 5-7 - inputs'!C29</f>
        <v>4.9500000000000002E-2</v>
      </c>
      <c r="D29" s="63">
        <f>+'Table 5-7 - inputs'!D29</f>
        <v>5.2499999999999998E-2</v>
      </c>
      <c r="E29" s="11">
        <f>+'Table 5-7 - inputs'!E29</f>
        <v>123000</v>
      </c>
      <c r="F29" s="11">
        <f>+'Table 5-7 - inputs'!F29</f>
        <v>123511.686</v>
      </c>
      <c r="G29" s="11">
        <f>+'Table 5-7 - inputs'!G29</f>
        <v>122257.9218</v>
      </c>
      <c r="H29" s="10">
        <f>+'Table 5-7 - inputs'!H29</f>
        <v>0.05</v>
      </c>
      <c r="I29" s="10">
        <f>+'Table 5-7 - inputs'!I29</f>
        <v>0.05</v>
      </c>
      <c r="J29" s="11">
        <f>+AN29</f>
        <v>123175.77598064515</v>
      </c>
      <c r="K29" s="11">
        <f>+AN30</f>
        <v>123175.77598064515</v>
      </c>
      <c r="L29" s="12">
        <f t="shared" ref="L29:L32" si="23">+S29</f>
        <v>7.1351683902835914E-4</v>
      </c>
      <c r="M29" s="14" t="str">
        <f t="shared" ref="M29:M32" si="24">+IF(X29,"YES","NO")</f>
        <v>NO</v>
      </c>
      <c r="N29" s="14" t="str">
        <f t="shared" ref="N29:N32" si="25">+IF(Y29,"YES","NO")</f>
        <v>NO</v>
      </c>
      <c r="O29" s="6"/>
      <c r="P29" s="44">
        <f>+MIN(E29,J29,K29)</f>
        <v>123000</v>
      </c>
      <c r="Q29" s="44">
        <f>+MEDIAN(E29,J29,K29)</f>
        <v>123175.77598064515</v>
      </c>
      <c r="R29" s="44">
        <f>+MAX(E29,J29,K29)</f>
        <v>123175.77598064515</v>
      </c>
      <c r="S29" s="45">
        <f t="shared" si="22"/>
        <v>7.1351683902835914E-4</v>
      </c>
      <c r="T29" s="6" t="b">
        <f>+AND(E29&lt;=Benchmark1,J29&lt;=Benchmark1,K29&lt;=Benchmark1)</f>
        <v>0</v>
      </c>
      <c r="U29" s="45" t="b">
        <f>+AND(E29&gt;Benchmark1,J29&gt;Benchmark1,K29&gt;Benchmark1)</f>
        <v>1</v>
      </c>
      <c r="V29" s="6" t="b">
        <f>+AND(E29&lt;=Benchmark2,J29&lt;=Benchmark2,K29&lt;=Benchmark2)</f>
        <v>1</v>
      </c>
      <c r="W29" s="45" t="b">
        <f>+AND(E29&gt;Benchmark2,J29&gt;Benchmark2,K29&gt;Benchmark2)</f>
        <v>0</v>
      </c>
      <c r="X29" s="11" t="b">
        <f t="shared" ref="X29:X32" si="26">+AND(NOT(T29),NOT(U29))</f>
        <v>0</v>
      </c>
      <c r="Y29" s="11" t="b">
        <f t="shared" ref="Y29:Y32" si="27">+AND(NOT(V29),NOT(W29))</f>
        <v>0</v>
      </c>
      <c r="AB29" s="19">
        <f>+C28</f>
        <v>0</v>
      </c>
      <c r="AC29" s="20">
        <f>+F28</f>
        <v>224975.2752</v>
      </c>
      <c r="AD29" s="20"/>
      <c r="AE29" s="20" t="s">
        <v>24</v>
      </c>
      <c r="AF29" s="23">
        <f>+H28</f>
        <v>0.03</v>
      </c>
      <c r="AG29" s="20">
        <f>+AB33*AF29^2+AC33*AF29+AD33</f>
        <v>125425.72895995725</v>
      </c>
      <c r="AI29" s="19">
        <f>+C29</f>
        <v>4.9500000000000002E-2</v>
      </c>
      <c r="AJ29" s="20">
        <f>+F29</f>
        <v>123511.686</v>
      </c>
      <c r="AK29" s="20"/>
      <c r="AL29" s="20" t="s">
        <v>24</v>
      </c>
      <c r="AM29" s="23">
        <f>+H29</f>
        <v>0.05</v>
      </c>
      <c r="AN29" s="20">
        <f>+AI33*AM29^2+AJ33*AM29+AK33</f>
        <v>123175.77598064515</v>
      </c>
      <c r="AP29" s="19">
        <f>+C30</f>
        <v>0.49120000000000003</v>
      </c>
      <c r="AQ29" s="20">
        <f>+F30</f>
        <v>123100.67329999999</v>
      </c>
      <c r="AR29" s="20"/>
      <c r="AS29" s="20" t="s">
        <v>24</v>
      </c>
      <c r="AT29" s="23">
        <f>+H30</f>
        <v>0.5</v>
      </c>
      <c r="AU29" s="20">
        <f>+AP33*AT29^2+AQ33*AT29+AR33</f>
        <v>122851.7352</v>
      </c>
      <c r="AW29" s="19">
        <f>+C31</f>
        <v>3.2800000000000003E-2</v>
      </c>
      <c r="AX29" s="20">
        <f>+F31</f>
        <v>123169.65429999999</v>
      </c>
      <c r="AY29" s="20"/>
      <c r="AZ29" s="20" t="s">
        <v>24</v>
      </c>
      <c r="BA29" s="23">
        <f>+H31</f>
        <v>0.04</v>
      </c>
      <c r="BB29" s="20">
        <f>+AW33*BA29^2+AX33*BA29+AY33</f>
        <v>123042.86906394437</v>
      </c>
      <c r="BD29" s="19">
        <f>+C32</f>
        <v>4.9099999999999998E-2</v>
      </c>
      <c r="BE29" s="20">
        <f>+F32</f>
        <v>123031.2859</v>
      </c>
      <c r="BF29" s="20"/>
      <c r="BG29" s="20" t="s">
        <v>24</v>
      </c>
      <c r="BH29" s="23">
        <f>+H32</f>
        <v>0.06</v>
      </c>
      <c r="BI29" s="20">
        <f>+BD33*BH29^2+BE33*BH29+BF33</f>
        <v>122739.60582414961</v>
      </c>
    </row>
    <row r="30" spans="1:61" x14ac:dyDescent="0.25">
      <c r="A30" s="6" t="str">
        <f>+'Table 5-7 - inputs'!A30</f>
        <v>Transition probability: MIBC Cystectomy</v>
      </c>
      <c r="B30" s="63">
        <f>+'Table 5-7 - inputs'!B30</f>
        <v>0.5</v>
      </c>
      <c r="C30" s="63">
        <f>+'Table 5-7 - inputs'!C30</f>
        <v>0.49120000000000003</v>
      </c>
      <c r="D30" s="63">
        <f>+'Table 5-7 - inputs'!D30</f>
        <v>0.50880000000000003</v>
      </c>
      <c r="E30" s="11">
        <f>+'Table 5-7 - inputs'!E30</f>
        <v>123000</v>
      </c>
      <c r="F30" s="11">
        <f>+'Table 5-7 - inputs'!F30</f>
        <v>123100.67329999999</v>
      </c>
      <c r="G30" s="11">
        <f>+'Table 5-7 - inputs'!G30</f>
        <v>122454.53230000001</v>
      </c>
      <c r="H30" s="10">
        <f>+'Table 5-7 - inputs'!H30</f>
        <v>0.5</v>
      </c>
      <c r="I30" s="10">
        <f>+'Table 5-7 - inputs'!I30</f>
        <v>0.5</v>
      </c>
      <c r="J30" s="11">
        <f>+AU29</f>
        <v>122851.7352</v>
      </c>
      <c r="K30" s="11">
        <f>+AU30</f>
        <v>122851.7352</v>
      </c>
      <c r="L30" s="12">
        <f t="shared" si="23"/>
        <v>6.0342981626849859E-4</v>
      </c>
      <c r="M30" s="14" t="str">
        <f t="shared" si="24"/>
        <v>NO</v>
      </c>
      <c r="N30" s="14" t="str">
        <f t="shared" si="25"/>
        <v>NO</v>
      </c>
      <c r="O30" s="6"/>
      <c r="P30" s="44">
        <f>+MIN(E30,J30,K30)</f>
        <v>122851.7352</v>
      </c>
      <c r="Q30" s="44">
        <f>+MEDIAN(E30,J30,K30)</f>
        <v>122851.7352</v>
      </c>
      <c r="R30" s="44">
        <f>+MAX(E30,J30,K30)</f>
        <v>123000</v>
      </c>
      <c r="S30" s="45">
        <f t="shared" si="22"/>
        <v>6.0342981626849859E-4</v>
      </c>
      <c r="T30" s="6" t="b">
        <f>+AND(E30&lt;=Benchmark1,J30&lt;=Benchmark1,K30&lt;=Benchmark1)</f>
        <v>0</v>
      </c>
      <c r="U30" s="45" t="b">
        <f>+AND(E30&gt;Benchmark1,J30&gt;Benchmark1,K30&gt;Benchmark1)</f>
        <v>1</v>
      </c>
      <c r="V30" s="6" t="b">
        <f>+AND(E30&lt;=Benchmark2,J30&lt;=Benchmark2,K30&lt;=Benchmark2)</f>
        <v>1</v>
      </c>
      <c r="W30" s="45" t="b">
        <f>+AND(E30&gt;Benchmark2,J30&gt;Benchmark2,K30&gt;Benchmark2)</f>
        <v>0</v>
      </c>
      <c r="X30" s="11" t="b">
        <f t="shared" si="26"/>
        <v>0</v>
      </c>
      <c r="Y30" s="11" t="b">
        <f t="shared" si="27"/>
        <v>0</v>
      </c>
      <c r="AB30" s="19">
        <f>+D28</f>
        <v>5.0599999999999999E-2</v>
      </c>
      <c r="AC30" s="20">
        <f>+G28</f>
        <v>88051.866110000003</v>
      </c>
      <c r="AD30" s="20"/>
      <c r="AE30" s="20" t="s">
        <v>25</v>
      </c>
      <c r="AF30" s="23">
        <f>+I28</f>
        <v>0.03</v>
      </c>
      <c r="AG30" s="20">
        <f>+AB33*AF30^2+AC33*AF30+AD33</f>
        <v>125425.72895995725</v>
      </c>
      <c r="AI30" s="19">
        <f>+D29</f>
        <v>5.2499999999999998E-2</v>
      </c>
      <c r="AJ30" s="20">
        <f>+G29</f>
        <v>122257.9218</v>
      </c>
      <c r="AK30" s="20"/>
      <c r="AL30" s="20" t="s">
        <v>25</v>
      </c>
      <c r="AM30" s="23">
        <f>+I29</f>
        <v>0.05</v>
      </c>
      <c r="AN30" s="20">
        <f>+AI33*AM30^2+AJ33*AM30+AK33</f>
        <v>123175.77598064515</v>
      </c>
      <c r="AP30" s="19">
        <f>+D30</f>
        <v>0.50880000000000003</v>
      </c>
      <c r="AQ30" s="20">
        <f>+G30</f>
        <v>122454.53230000001</v>
      </c>
      <c r="AR30" s="20"/>
      <c r="AS30" s="20" t="s">
        <v>25</v>
      </c>
      <c r="AT30" s="23">
        <f>+I30</f>
        <v>0.5</v>
      </c>
      <c r="AU30" s="20">
        <f>+AP33*AT30^2+AQ33*AT30+AR33</f>
        <v>122851.7352</v>
      </c>
      <c r="AW30" s="19">
        <f>+D31</f>
        <v>4.5199999999999997E-2</v>
      </c>
      <c r="AX30" s="20">
        <f>+G31</f>
        <v>122999.99862069674</v>
      </c>
      <c r="AY30" s="20"/>
      <c r="AZ30" s="20" t="s">
        <v>25</v>
      </c>
      <c r="BA30" s="23">
        <f>+I31</f>
        <v>3.9E-2</v>
      </c>
      <c r="BB30" s="20">
        <f>+AW33*BA30^2+AX33*BA30+AY33</f>
        <v>123056.55097356559</v>
      </c>
      <c r="BD30" s="19">
        <f>+D32</f>
        <v>6.4600000000000005E-2</v>
      </c>
      <c r="BE30" s="20">
        <f>+G32</f>
        <v>122502.7876</v>
      </c>
      <c r="BF30" s="20"/>
      <c r="BG30" s="20" t="s">
        <v>25</v>
      </c>
      <c r="BH30" s="23">
        <f>+I32</f>
        <v>0.06</v>
      </c>
      <c r="BI30" s="20">
        <f>+BD33*BH30^2+BE33*BH30+BF33</f>
        <v>122739.60582414961</v>
      </c>
    </row>
    <row r="31" spans="1:61" x14ac:dyDescent="0.25">
      <c r="A31" s="6" t="str">
        <f>+'Table 5-7 - inputs'!A31</f>
        <v>Transition probability: MIBC to Metastatic Disease</v>
      </c>
      <c r="B31" s="63">
        <f>+'Table 5-7 - inputs'!B31</f>
        <v>3.9E-2</v>
      </c>
      <c r="C31" s="63">
        <f>+'Table 5-7 - inputs'!C31</f>
        <v>3.2800000000000003E-2</v>
      </c>
      <c r="D31" s="63">
        <f>+'Table 5-7 - inputs'!D31</f>
        <v>4.5199999999999997E-2</v>
      </c>
      <c r="E31" s="11">
        <f>+'Table 5-7 - inputs'!E31</f>
        <v>123000</v>
      </c>
      <c r="F31" s="11">
        <f>+'Table 5-7 - inputs'!F31</f>
        <v>123169.65429999999</v>
      </c>
      <c r="G31" s="11">
        <f>+'Table 5-7 - inputs'!G31</f>
        <v>122999.99862069674</v>
      </c>
      <c r="H31" s="10">
        <f>+'Table 5-7 - inputs'!H31</f>
        <v>0.04</v>
      </c>
      <c r="I31" s="10">
        <f>+'Table 5-7 - inputs'!I31</f>
        <v>3.9E-2</v>
      </c>
      <c r="J31" s="11">
        <f>+BB29</f>
        <v>123042.86906394437</v>
      </c>
      <c r="K31" s="11">
        <f>+BB30</f>
        <v>123056.55097356559</v>
      </c>
      <c r="L31" s="12">
        <f t="shared" si="23"/>
        <v>2.2980191373871942E-4</v>
      </c>
      <c r="M31" s="14" t="str">
        <f t="shared" si="24"/>
        <v>NO</v>
      </c>
      <c r="N31" s="14" t="str">
        <f t="shared" si="25"/>
        <v>NO</v>
      </c>
      <c r="O31" s="6"/>
      <c r="P31" s="44">
        <f>+MIN(E31,J31,K31)</f>
        <v>123000</v>
      </c>
      <c r="Q31" s="44">
        <f>+MEDIAN(E31,J31,K31)</f>
        <v>123042.86906394437</v>
      </c>
      <c r="R31" s="44">
        <f>+MAX(E31,J31,K31)</f>
        <v>123056.55097356559</v>
      </c>
      <c r="S31" s="45">
        <f t="shared" si="22"/>
        <v>2.2980191373871942E-4</v>
      </c>
      <c r="T31" s="6" t="b">
        <f>+AND(E31&lt;=Benchmark1,J31&lt;=Benchmark1,K31&lt;=Benchmark1)</f>
        <v>0</v>
      </c>
      <c r="U31" s="45" t="b">
        <f>+AND(E31&gt;Benchmark1,J31&gt;Benchmark1,K31&gt;Benchmark1)</f>
        <v>1</v>
      </c>
      <c r="V31" s="6" t="b">
        <f>+AND(E31&lt;=Benchmark2,J31&lt;=Benchmark2,K31&lt;=Benchmark2)</f>
        <v>1</v>
      </c>
      <c r="W31" s="45" t="b">
        <f>+AND(E31&gt;Benchmark2,J31&gt;Benchmark2,K31&gt;Benchmark2)</f>
        <v>0</v>
      </c>
      <c r="X31" s="11" t="b">
        <f t="shared" si="26"/>
        <v>0</v>
      </c>
      <c r="Y31" s="11" t="b">
        <f t="shared" si="27"/>
        <v>0</v>
      </c>
      <c r="AB31" s="22" cm="1">
        <f t="array" ref="AB31:AD31">+LINEST(AC28:AC30,AB28:AB30^{1,2})</f>
        <v>125080655.77858824</v>
      </c>
      <c r="AC31" s="22">
        <v>-9035077.4094716627</v>
      </c>
      <c r="AD31" s="22">
        <v>224975.27519999997</v>
      </c>
      <c r="AF31" s="21">
        <f>+OR(AF28=MIN(AF28:AF30,AB28:AB30),AF28=MAX(AF28:AF30,AB28:AB30))*1</f>
        <v>0</v>
      </c>
      <c r="AI31" s="22" cm="1">
        <f t="array" ref="AI31:AK31">+LINEST(AJ28:AJ30,AI28:AI30^{1,2})</f>
        <v>242180240.00006139</v>
      </c>
      <c r="AJ31" s="22">
        <v>-25120305.88000625</v>
      </c>
      <c r="AK31" s="22">
        <v>773564.69400015904</v>
      </c>
      <c r="AL31" s="22"/>
      <c r="AM31" s="21">
        <f>+OR(AM28=MIN(AM28:AM30,AI28:AI30),AM28=MAX(AM28:AM30,AI28:AI30))*1</f>
        <v>0</v>
      </c>
      <c r="AP31" s="22" cm="1">
        <f t="array" ref="AP31:AR31">+LINEST(AQ28:AQ30,AP28:AP30^{1,2})</f>
        <v>-2871864.6694215699</v>
      </c>
      <c r="AQ31" s="22">
        <v>2835152.1126033841</v>
      </c>
      <c r="AR31" s="22">
        <v>-576609.88894629944</v>
      </c>
      <c r="AS31" s="22"/>
      <c r="AT31" s="21">
        <f>+OR(AT28=MIN(AT28:AT30,AP28:AP30),AT28=MAX(AT28:AT30,AP28:AP30))*1</f>
        <v>0</v>
      </c>
      <c r="AW31" s="22" cm="1">
        <f t="array" ref="AW31:AY31">+LINEST(AX28:AX30,AW28:AW30^{1,2})</f>
        <v>2206723.734348835</v>
      </c>
      <c r="AX31" s="22">
        <v>-185806.36090043903</v>
      </c>
      <c r="AY31" s="22">
        <v>126890.02127517256</v>
      </c>
      <c r="AZ31" s="22"/>
      <c r="BA31" s="21">
        <f>+OR(BA28=MIN(BA28:BA30,AW28:AW30),BA28=MAX(BA28:BA30,AW28:AW30))*1</f>
        <v>0</v>
      </c>
      <c r="BD31" s="22" cm="1">
        <f t="array" ref="BD31:BF31">+LINEST(BE28:BE30,BD28:BD30^{1,2})</f>
        <v>-3965318.9486578936</v>
      </c>
      <c r="BE31" s="22">
        <v>416760.09994627303</v>
      </c>
      <c r="BF31" s="22">
        <v>112127.99556725193</v>
      </c>
      <c r="BG31" s="22"/>
      <c r="BH31" s="21">
        <f>+OR(BH28=MIN(BH28:BH30,BD28:BD30),BH28=MAX(BH28:BH30,BD28:BD30))*1</f>
        <v>0</v>
      </c>
    </row>
    <row r="32" spans="1:61" x14ac:dyDescent="0.25">
      <c r="A32" s="6" t="str">
        <f>+'Table 5-7 - inputs'!A32</f>
        <v>Transition probability: Post-Cystectomy to Metastatic Disease</v>
      </c>
      <c r="B32" s="63">
        <f>+'Table 5-7 - inputs'!B32</f>
        <v>5.7000000000000002E-2</v>
      </c>
      <c r="C32" s="63">
        <f>+'Table 5-7 - inputs'!C32</f>
        <v>4.9099999999999998E-2</v>
      </c>
      <c r="D32" s="63">
        <f>+'Table 5-7 - inputs'!D32</f>
        <v>6.4600000000000005E-2</v>
      </c>
      <c r="E32" s="11">
        <f>+'Table 5-7 - inputs'!E32</f>
        <v>123000</v>
      </c>
      <c r="F32" s="11">
        <f>+'Table 5-7 - inputs'!F32</f>
        <v>123031.2859</v>
      </c>
      <c r="G32" s="11">
        <f>+'Table 5-7 - inputs'!G32</f>
        <v>122502.7876</v>
      </c>
      <c r="H32" s="10">
        <f>+'Table 5-7 - inputs'!H32</f>
        <v>0.06</v>
      </c>
      <c r="I32" s="10">
        <f>+'Table 5-7 - inputs'!I32</f>
        <v>0.06</v>
      </c>
      <c r="J32" s="11">
        <f>+BI29</f>
        <v>122739.60582414961</v>
      </c>
      <c r="K32" s="11">
        <f>+BI30</f>
        <v>122739.60582414961</v>
      </c>
      <c r="L32" s="12">
        <f t="shared" si="23"/>
        <v>1.0607585632280057E-3</v>
      </c>
      <c r="M32" s="14" t="str">
        <f t="shared" si="24"/>
        <v>NO</v>
      </c>
      <c r="N32" s="14" t="str">
        <f t="shared" si="25"/>
        <v>NO</v>
      </c>
      <c r="O32" s="6"/>
      <c r="P32" s="44">
        <f>+MIN(E32,J32,K32)</f>
        <v>122739.60582414961</v>
      </c>
      <c r="Q32" s="44">
        <f t="shared" ref="Q32" si="28">+MEDIAN(E32,J32,K32)</f>
        <v>122739.60582414961</v>
      </c>
      <c r="R32" s="44">
        <f t="shared" ref="R32" si="29">+MAX(E32,J32,K32)</f>
        <v>123000</v>
      </c>
      <c r="S32" s="45">
        <f t="shared" si="22"/>
        <v>1.0607585632280057E-3</v>
      </c>
      <c r="T32" s="6" t="b">
        <f>+AND(E32&lt;=Benchmark1,J32&lt;=Benchmark1,K32&lt;=Benchmark1)</f>
        <v>0</v>
      </c>
      <c r="U32" s="45" t="b">
        <f>+AND(E32&gt;Benchmark1,J32&gt;Benchmark1,K32&gt;Benchmark1)</f>
        <v>1</v>
      </c>
      <c r="V32" s="6" t="b">
        <f>+AND(E32&lt;=Benchmark2,J32&lt;=Benchmark2,K32&lt;=Benchmark2)</f>
        <v>1</v>
      </c>
      <c r="W32" s="45" t="b">
        <f>+AND(E32&gt;Benchmark2,J32&gt;Benchmark2,K32&gt;Benchmark2)</f>
        <v>0</v>
      </c>
      <c r="X32" s="11" t="b">
        <f t="shared" si="26"/>
        <v>0</v>
      </c>
      <c r="Y32" s="11" t="b">
        <f t="shared" si="27"/>
        <v>0</v>
      </c>
      <c r="AC32" s="22" cm="1">
        <f t="array" ref="AC32:AD32">+LINEST(AC28:AC30,AB28:AB30^{1})</f>
        <v>-2352360.4106349736</v>
      </c>
      <c r="AD32" s="22">
        <v>195996.54127900646</v>
      </c>
      <c r="AF32" s="21">
        <f>+NOT(AF31)*1</f>
        <v>1</v>
      </c>
      <c r="AJ32" s="22" cm="1">
        <f t="array" ref="AJ32:AK32">+LINEST(AJ28:AJ30,AI28:AI30^{1})</f>
        <v>-378860.07096774405</v>
      </c>
      <c r="AK32" s="22">
        <v>142118.77952903236</v>
      </c>
      <c r="AL32" s="22"/>
      <c r="AM32" s="21">
        <f>+NOT(AM31)*1</f>
        <v>1</v>
      </c>
      <c r="AQ32" s="22" cm="1">
        <f t="array" ref="AQ32:AR32">+LINEST(AQ28:AQ30,AP28:AP30^{1})</f>
        <v>-36712.556818181198</v>
      </c>
      <c r="AR32" s="22">
        <v>141208.01360909059</v>
      </c>
      <c r="AS32" s="22"/>
      <c r="AT32" s="21">
        <f>+NOT(AT31)*1</f>
        <v>1</v>
      </c>
      <c r="AX32" s="22" cm="1">
        <f t="array" ref="AX32:AY32">+LINEST(AX28:AX30,AW28:AW30^{1})</f>
        <v>-13681.909621229886</v>
      </c>
      <c r="AY32" s="22">
        <v>123590.14544879356</v>
      </c>
      <c r="AZ32" s="22"/>
      <c r="BA32" s="21">
        <f>+NOT(BA31)*1</f>
        <v>1</v>
      </c>
      <c r="BE32" s="22" cm="1">
        <f t="array" ref="BE32:BF32">+LINEST(BE28:BE30,BD28:BD30^{1})</f>
        <v>-33898.49758614989</v>
      </c>
      <c r="BF32" s="22">
        <v>124773.5156793186</v>
      </c>
      <c r="BG32" s="22"/>
      <c r="BH32" s="21">
        <f>+NOT(BH31)*1</f>
        <v>1</v>
      </c>
    </row>
    <row r="33" spans="1:61" x14ac:dyDescent="0.25">
      <c r="A33" s="6"/>
      <c r="B33" s="28"/>
      <c r="C33" s="28"/>
      <c r="D33" s="28"/>
      <c r="E33" s="11"/>
      <c r="F33" s="11"/>
      <c r="G33" s="11"/>
      <c r="H33" s="10"/>
      <c r="I33" s="10"/>
      <c r="J33" s="11"/>
      <c r="K33" s="11"/>
      <c r="L33" s="12"/>
      <c r="M33" s="14"/>
      <c r="N33" s="14"/>
      <c r="O33" s="6"/>
      <c r="P33" s="44"/>
      <c r="Q33" s="44"/>
      <c r="R33" s="44"/>
      <c r="S33" s="45"/>
      <c r="T33" s="6"/>
      <c r="U33" s="45"/>
      <c r="V33" s="6"/>
      <c r="W33" s="45"/>
      <c r="X33" s="11"/>
      <c r="Y33" s="11"/>
      <c r="AB33" s="22">
        <f>+SUMPRODUCT(AB31:AB32,AF31:AF32)</f>
        <v>0</v>
      </c>
      <c r="AC33" s="22">
        <f>+SUMPRODUCT(AC31:AC32,AF31:AF32)</f>
        <v>-2352360.4106349736</v>
      </c>
      <c r="AD33" s="22">
        <f>+SUMPRODUCT(AD31:AD32,AF31:AF32)</f>
        <v>195996.54127900646</v>
      </c>
      <c r="AI33" s="22">
        <f>+SUMPRODUCT(AI31:AI32,AM31:AM32)</f>
        <v>0</v>
      </c>
      <c r="AJ33" s="22">
        <f>+SUMPRODUCT(AJ31:AJ32,AM31:AM32)</f>
        <v>-378860.07096774405</v>
      </c>
      <c r="AK33" s="22">
        <f>+SUMPRODUCT(AK31:AK32,AM31:AM32)</f>
        <v>142118.77952903236</v>
      </c>
      <c r="AP33" s="22">
        <f>+SUMPRODUCT(AP31:AP32,AT31:AT32)</f>
        <v>0</v>
      </c>
      <c r="AQ33" s="22">
        <f>+SUMPRODUCT(AQ31:AQ32,AT31:AT32)</f>
        <v>-36712.556818181198</v>
      </c>
      <c r="AR33" s="22">
        <f>+SUMPRODUCT(AR31:AR32,AT31:AT32)</f>
        <v>141208.01360909059</v>
      </c>
      <c r="AU33" s="3"/>
      <c r="AW33" s="22">
        <f>+SUMPRODUCT(AW31:AW32,BA31:BA32)</f>
        <v>0</v>
      </c>
      <c r="AX33" s="22">
        <f>+SUMPRODUCT(AX31:AX32,BA31:BA32)</f>
        <v>-13681.909621229886</v>
      </c>
      <c r="AY33" s="22">
        <f>+SUMPRODUCT(AY31:AY32,BA31:BA32)</f>
        <v>123590.14544879356</v>
      </c>
      <c r="BD33" s="22">
        <f>+SUMPRODUCT(BD31:BD32,BH31:BH32)</f>
        <v>0</v>
      </c>
      <c r="BE33" s="22">
        <f>+SUMPRODUCT(BE31:BE32,BH31:BH32)</f>
        <v>-33898.49758614989</v>
      </c>
      <c r="BF33" s="22">
        <f>+SUMPRODUCT(BF31:BF32,BH31:BH32)</f>
        <v>124773.5156793186</v>
      </c>
      <c r="BI33" s="3"/>
    </row>
    <row r="53" spans="1:9" x14ac:dyDescent="0.25">
      <c r="A53" s="2"/>
    </row>
    <row r="54" spans="1:9" x14ac:dyDescent="0.25">
      <c r="B54" s="15"/>
      <c r="C54" s="15"/>
      <c r="D54" s="1"/>
      <c r="E54" s="1"/>
      <c r="F54" s="15"/>
      <c r="G54" s="15"/>
      <c r="H54" s="13"/>
      <c r="I54" s="13"/>
    </row>
    <row r="57" spans="1:9" x14ac:dyDescent="0.25">
      <c r="A57" s="2"/>
    </row>
    <row r="58" spans="1:9" x14ac:dyDescent="0.25">
      <c r="B58" s="15"/>
      <c r="C58" s="15"/>
      <c r="D58" s="1"/>
      <c r="E58" s="1"/>
      <c r="F58" s="15"/>
      <c r="G58" s="15"/>
      <c r="H58" s="13"/>
      <c r="I58" s="13"/>
    </row>
  </sheetData>
  <mergeCells count="25">
    <mergeCell ref="B1:D1"/>
    <mergeCell ref="E1:G1"/>
    <mergeCell ref="H1:I1"/>
    <mergeCell ref="J1:K1"/>
    <mergeCell ref="L1:N1"/>
    <mergeCell ref="AW2:BB2"/>
    <mergeCell ref="BD2:BI2"/>
    <mergeCell ref="AB11:AG11"/>
    <mergeCell ref="AI11:AN11"/>
    <mergeCell ref="AP11:AU11"/>
    <mergeCell ref="AW11:BB11"/>
    <mergeCell ref="BD11:BI11"/>
    <mergeCell ref="AB2:AG2"/>
    <mergeCell ref="AI2:AN2"/>
    <mergeCell ref="AP2:AU2"/>
    <mergeCell ref="AB19:AG19"/>
    <mergeCell ref="AI19:AN19"/>
    <mergeCell ref="AP19:AU19"/>
    <mergeCell ref="AW19:BB19"/>
    <mergeCell ref="BD19:BI19"/>
    <mergeCell ref="AB27:AG27"/>
    <mergeCell ref="AI27:AN27"/>
    <mergeCell ref="AP27:AU27"/>
    <mergeCell ref="AW27:BB27"/>
    <mergeCell ref="BD27:BI27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C6B9-0F5C-46DC-AD32-EC6103A82271}">
  <sheetPr>
    <tabColor rgb="FF92D050"/>
  </sheetPr>
  <dimension ref="A1:U58"/>
  <sheetViews>
    <sheetView topLeftCell="A16" workbookViewId="0">
      <selection activeCell="A33" sqref="A33:XFD59"/>
    </sheetView>
  </sheetViews>
  <sheetFormatPr defaultRowHeight="15" x14ac:dyDescent="0.25"/>
  <cols>
    <col min="1" max="1" width="42.42578125" bestFit="1" customWidth="1"/>
    <col min="2" max="2" width="7.42578125" customWidth="1"/>
    <col min="3" max="3" width="7.5703125" customWidth="1"/>
    <col min="4" max="4" width="6.5703125" customWidth="1"/>
    <col min="5" max="11" width="5.42578125" customWidth="1"/>
  </cols>
  <sheetData>
    <row r="1" spans="1:21" ht="39.75" customHeight="1" x14ac:dyDescent="0.25">
      <c r="A1" s="34"/>
      <c r="B1" s="80" t="str">
        <f>+'Table 5-7'!B1</f>
        <v>Monthly cost assumptions from ICER (i)</v>
      </c>
      <c r="C1" s="80"/>
      <c r="D1" s="80"/>
      <c r="E1" s="80" t="str">
        <f>+'Table 5-7'!E1</f>
        <v>CE ratios from ICER ($000/QALY) (ii)</v>
      </c>
      <c r="F1" s="80"/>
      <c r="G1" s="80"/>
      <c r="H1" s="80" t="str">
        <f>+'Table 5-7'!H1</f>
        <v>Expert group monthly cost assumptions (iii)</v>
      </c>
      <c r="I1" s="80"/>
      <c r="J1" s="80" t="str">
        <f>+'Table 5-7'!J1</f>
        <v>Expert group imputed CE ratios (iv)</v>
      </c>
      <c r="K1" s="80"/>
      <c r="L1" s="80" t="str">
        <f>+'Table 5-7'!L1</f>
        <v>Influence measures (v)</v>
      </c>
      <c r="M1" s="80"/>
      <c r="N1" s="80"/>
      <c r="O1" s="2"/>
    </row>
    <row r="2" spans="1:21" ht="36" customHeight="1" x14ac:dyDescent="0.25">
      <c r="A2" s="35"/>
      <c r="B2" s="36" t="str">
        <f>+'Table 5-7'!B2</f>
        <v>Base case</v>
      </c>
      <c r="C2" s="36" t="str">
        <f>+'Table 5-7'!C2</f>
        <v>Lower bound</v>
      </c>
      <c r="D2" s="36" t="str">
        <f>+'Table 5-7'!D2</f>
        <v>Upper bound</v>
      </c>
      <c r="E2" s="36" t="str">
        <f>+'Table 5-7'!E2</f>
        <v>Base case</v>
      </c>
      <c r="F2" s="36" t="str">
        <f>+'Table 5-7'!F2</f>
        <v>Lower bound assumption</v>
      </c>
      <c r="G2" s="36" t="str">
        <f>+'Table 5-7'!G2</f>
        <v>Upper bound assumption</v>
      </c>
      <c r="H2" s="36" t="str">
        <f>+'Table 5-7'!H2</f>
        <v>Expert Group 1</v>
      </c>
      <c r="I2" s="36" t="str">
        <f>+'Table 5-7'!I2</f>
        <v>Expert Group 2</v>
      </c>
      <c r="J2" s="36" t="str">
        <f>+'Table 5-7'!J2</f>
        <v>Expert Group 1</v>
      </c>
      <c r="K2" s="36" t="str">
        <f>+'Table 5-7'!K2</f>
        <v>Expert Group 2</v>
      </c>
      <c r="L2" s="36" t="str">
        <f>+'Table 5-7'!L2</f>
        <v>Avg pct deviation</v>
      </c>
      <c r="M2" s="36" t="str">
        <f>+'Table 5-7'!M2</f>
        <v>Cross $100K benchmark</v>
      </c>
      <c r="N2" s="36" t="str">
        <f>+'Table 5-7'!N2</f>
        <v>Cross $150K benchmark</v>
      </c>
    </row>
    <row r="3" spans="1:21" x14ac:dyDescent="0.25">
      <c r="A3" s="68" t="str">
        <f>+'Table 5-7'!A3</f>
        <v>Analysis (a): NF for CIS+/- Ta/T1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70"/>
      <c r="U3" s="1"/>
    </row>
    <row r="4" spans="1:21" x14ac:dyDescent="0.25">
      <c r="A4" s="35" t="str">
        <f>+'Table 5-7'!A4</f>
        <v>Transition probability: Progression to MIBC</v>
      </c>
      <c r="B4" s="37">
        <f>+'Table 5-7'!B4</f>
        <v>1.4E-2</v>
      </c>
      <c r="C4" s="37">
        <f>+'Table 5-7'!C4</f>
        <v>0</v>
      </c>
      <c r="D4" s="37">
        <f>+'Table 5-7'!D4</f>
        <v>5.0599999999999999E-2</v>
      </c>
      <c r="E4" s="38">
        <f>+ROUND('Table 5-7'!E4/CE_Scale,RoundPlace)</f>
        <v>151</v>
      </c>
      <c r="F4" s="38">
        <f>+ROUND('Table 5-7'!F4/CE_Scale,RoundPlace)</f>
        <v>250</v>
      </c>
      <c r="G4" s="38">
        <f>+ROUND('Table 5-7'!G4/CE_Scale,RoundPlace)</f>
        <v>103</v>
      </c>
      <c r="H4" s="37">
        <f>+'Table 5-7'!H4</f>
        <v>0.03</v>
      </c>
      <c r="I4" s="37">
        <f>+'Table 5-7'!I4</f>
        <v>0.03</v>
      </c>
      <c r="J4" s="38">
        <f>+ROUND('Table 5-7'!J4/CE_Scale,RoundPlace)</f>
        <v>146</v>
      </c>
      <c r="K4" s="38">
        <f>+ROUND('Table 5-7'!K4/CE_Scale,RoundPlace)</f>
        <v>146</v>
      </c>
      <c r="L4" s="39">
        <f>+'Table 5-7'!L4</f>
        <v>1.5731688183346318E-2</v>
      </c>
      <c r="M4" s="46" t="str">
        <f>+'Table 5-7'!M4</f>
        <v>NO</v>
      </c>
      <c r="N4" s="46" t="str">
        <f>+'Table 5-7'!N4</f>
        <v>YES</v>
      </c>
      <c r="U4" s="1"/>
    </row>
    <row r="5" spans="1:21" x14ac:dyDescent="0.25">
      <c r="A5" s="35" t="str">
        <f>+'Table 5-7'!A5</f>
        <v>Transition probability: NMIBC Cystectomy</v>
      </c>
      <c r="B5" s="37">
        <f>+'Table 5-7'!B5</f>
        <v>0.05</v>
      </c>
      <c r="C5" s="37">
        <f>+'Table 5-7'!C5</f>
        <v>4.9500000000000002E-2</v>
      </c>
      <c r="D5" s="37">
        <f>+'Table 5-7'!D5</f>
        <v>5.2499999999999998E-2</v>
      </c>
      <c r="E5" s="38">
        <f>+ROUND('Table 5-7'!E5/CE_Scale,RoundPlace)</f>
        <v>151</v>
      </c>
      <c r="F5" s="38">
        <f>+ROUND('Table 5-7'!F5/CE_Scale,RoundPlace)</f>
        <v>149</v>
      </c>
      <c r="G5" s="38">
        <f>+ROUND('Table 5-7'!G5/CE_Scale,RoundPlace)</f>
        <v>152</v>
      </c>
      <c r="H5" s="37">
        <f>+'Table 5-7'!H5</f>
        <v>0.05</v>
      </c>
      <c r="I5" s="37">
        <f>+'Table 5-7'!I5</f>
        <v>0.05</v>
      </c>
      <c r="J5" s="38">
        <f>+ROUND('Table 5-7'!J5/CE_Scale,RoundPlace)</f>
        <v>150</v>
      </c>
      <c r="K5" s="38">
        <f>+ROUND('Table 5-7'!K5/CE_Scale,RoundPlace)</f>
        <v>150</v>
      </c>
      <c r="L5" s="39">
        <f>+'Table 5-7'!L5</f>
        <v>2.6268971528159318E-3</v>
      </c>
      <c r="M5" s="46" t="str">
        <f>+'Table 5-7'!M5</f>
        <v>NO</v>
      </c>
      <c r="N5" s="46" t="str">
        <f>+'Table 5-7'!N5</f>
        <v>NO</v>
      </c>
      <c r="U5" s="1"/>
    </row>
    <row r="6" spans="1:21" x14ac:dyDescent="0.25">
      <c r="A6" s="35" t="str">
        <f>+'Table 5-7'!A6</f>
        <v>Transition probability: MIBC Cystectomy</v>
      </c>
      <c r="B6" s="37">
        <f>+'Table 5-7'!B6</f>
        <v>0.5</v>
      </c>
      <c r="C6" s="37">
        <f>+'Table 5-7'!C6</f>
        <v>0.49120000000000003</v>
      </c>
      <c r="D6" s="37">
        <f>+'Table 5-7'!D6</f>
        <v>0.50880000000000003</v>
      </c>
      <c r="E6" s="38">
        <f>+ROUND('Table 5-7'!E6/CE_Scale,RoundPlace)</f>
        <v>151</v>
      </c>
      <c r="F6" s="38">
        <f>+ROUND('Table 5-7'!F6/CE_Scale,RoundPlace)</f>
        <v>150</v>
      </c>
      <c r="G6" s="38">
        <f>+ROUND('Table 5-7'!G6/CE_Scale,RoundPlace)</f>
        <v>151</v>
      </c>
      <c r="H6" s="37">
        <f>+'Table 5-7'!H6</f>
        <v>0.5</v>
      </c>
      <c r="I6" s="37">
        <f>+'Table 5-7'!I6</f>
        <v>0.5</v>
      </c>
      <c r="J6" s="38">
        <f>+ROUND('Table 5-7'!J6/CE_Scale,RoundPlace)</f>
        <v>151</v>
      </c>
      <c r="K6" s="38">
        <f>+ROUND('Table 5-7'!K6/CE_Scale,RoundPlace)</f>
        <v>151</v>
      </c>
      <c r="L6" s="39">
        <f>+'Table 5-7'!L6</f>
        <v>9.36454146004537E-4</v>
      </c>
      <c r="M6" s="46" t="str">
        <f>+'Table 5-7'!M6</f>
        <v>NO</v>
      </c>
      <c r="N6" s="46" t="str">
        <f>+'Table 5-7'!N6</f>
        <v>NO</v>
      </c>
      <c r="U6" s="1"/>
    </row>
    <row r="7" spans="1:21" x14ac:dyDescent="0.25">
      <c r="A7" s="35" t="str">
        <f>+'Table 5-7'!A7</f>
        <v>Transition probability: MIBC to Metastatic Disease</v>
      </c>
      <c r="B7" s="37">
        <f>+'Table 5-7'!B7</f>
        <v>3.9E-2</v>
      </c>
      <c r="C7" s="37">
        <f>+'Table 5-7'!C7</f>
        <v>3.2800000000000003E-2</v>
      </c>
      <c r="D7" s="37">
        <f>+'Table 5-7'!D7</f>
        <v>4.5199999999999997E-2</v>
      </c>
      <c r="E7" s="38">
        <f>+ROUND('Table 5-7'!E7/CE_Scale,RoundPlace)</f>
        <v>151</v>
      </c>
      <c r="F7" s="38">
        <f>+ROUND('Table 5-7'!F7/CE_Scale,RoundPlace)</f>
        <v>150</v>
      </c>
      <c r="G7" s="38">
        <f>+ROUND('Table 5-7'!G7/CE_Scale,RoundPlace)</f>
        <v>151</v>
      </c>
      <c r="H7" s="37">
        <f>+'Table 5-7'!H7</f>
        <v>0.04</v>
      </c>
      <c r="I7" s="37">
        <f>+'Table 5-7'!I7</f>
        <v>3.9E-2</v>
      </c>
      <c r="J7" s="38">
        <f>+ROUND('Table 5-7'!J7/CE_Scale,RoundPlace)</f>
        <v>151</v>
      </c>
      <c r="K7" s="38">
        <f>+ROUND('Table 5-7'!K7/CE_Scale,RoundPlace)</f>
        <v>151</v>
      </c>
      <c r="L7" s="39">
        <f>+'Table 5-7'!L7</f>
        <v>5.5677213496522202E-4</v>
      </c>
      <c r="M7" s="46" t="str">
        <f>+'Table 5-7'!M7</f>
        <v>NO</v>
      </c>
      <c r="N7" s="46" t="str">
        <f>+'Table 5-7'!N7</f>
        <v>NO</v>
      </c>
      <c r="U7" s="1"/>
    </row>
    <row r="8" spans="1:21" x14ac:dyDescent="0.25">
      <c r="A8" s="35" t="str">
        <f>+'Table 5-7'!A8</f>
        <v>Transition probability: Post-Cystectomy to Metastatic Disease</v>
      </c>
      <c r="B8" s="37">
        <f>+'Table 5-7'!B8</f>
        <v>5.7000000000000002E-2</v>
      </c>
      <c r="C8" s="37">
        <f>+'Table 5-7'!C8</f>
        <v>4.9099999999999998E-2</v>
      </c>
      <c r="D8" s="37">
        <f>+'Table 5-7'!D8</f>
        <v>6.4600000000000005E-2</v>
      </c>
      <c r="E8" s="38">
        <f>+ROUND('Table 5-7'!E8/CE_Scale,RoundPlace)</f>
        <v>151</v>
      </c>
      <c r="F8" s="38">
        <f>+ROUND('Table 5-7'!F8/CE_Scale,RoundPlace)</f>
        <v>151</v>
      </c>
      <c r="G8" s="38">
        <f>+ROUND('Table 5-7'!G8/CE_Scale,RoundPlace)</f>
        <v>151</v>
      </c>
      <c r="H8" s="37">
        <f>+'Table 5-7'!H8</f>
        <v>0.06</v>
      </c>
      <c r="I8" s="37">
        <f>+'Table 5-7'!I8</f>
        <v>0.06</v>
      </c>
      <c r="J8" s="38">
        <f>+ROUND('Table 5-7'!J8/CE_Scale,RoundPlace)</f>
        <v>151</v>
      </c>
      <c r="K8" s="38">
        <f>+ROUND('Table 5-7'!K8/CE_Scale,RoundPlace)</f>
        <v>151</v>
      </c>
      <c r="L8" s="39">
        <f>+'Table 5-7'!L8</f>
        <v>1.1000385476236176E-4</v>
      </c>
      <c r="M8" s="46" t="str">
        <f>+'Table 5-7'!M8</f>
        <v>NO</v>
      </c>
      <c r="N8" s="46" t="str">
        <f>+'Table 5-7'!N8</f>
        <v>NO</v>
      </c>
    </row>
    <row r="9" spans="1:21" x14ac:dyDescent="0.25">
      <c r="A9" s="50"/>
      <c r="B9" s="51"/>
      <c r="C9" s="51"/>
      <c r="D9" s="51"/>
      <c r="E9" s="52"/>
      <c r="F9" s="52"/>
      <c r="G9" s="52"/>
      <c r="H9" s="53"/>
      <c r="I9" s="53"/>
      <c r="J9" s="52"/>
      <c r="K9" s="52"/>
      <c r="L9" s="54"/>
      <c r="M9" s="55"/>
      <c r="N9" s="56"/>
    </row>
    <row r="10" spans="1:21" x14ac:dyDescent="0.25">
      <c r="A10" s="68" t="str">
        <f>+'Table 5-7'!A11</f>
        <v>Analysis (b): OM for CIS+/- Ta/T1</v>
      </c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70"/>
    </row>
    <row r="11" spans="1:21" x14ac:dyDescent="0.25">
      <c r="A11" s="35" t="str">
        <f>+'Table 5-7'!A12</f>
        <v>Transition probability: Progression to MIBC</v>
      </c>
      <c r="B11" s="37">
        <f>+'Table 5-7'!B12</f>
        <v>1.4E-2</v>
      </c>
      <c r="C11" s="37">
        <f>+'Table 5-7'!C12</f>
        <v>0</v>
      </c>
      <c r="D11" s="37">
        <f>+'Table 5-7'!D12</f>
        <v>5.0599999999999999E-2</v>
      </c>
      <c r="E11" s="38">
        <f>+ROUND('Table 5-7'!E12/CE_Scale,RoundPlace)</f>
        <v>382</v>
      </c>
      <c r="F11" s="38">
        <f>+ROUND('Table 5-7'!F12/CE_Scale,RoundPlace)</f>
        <v>450</v>
      </c>
      <c r="G11" s="38">
        <f>+ROUND('Table 5-7'!G12/CE_Scale,RoundPlace)</f>
        <v>250</v>
      </c>
      <c r="H11" s="37">
        <f>+'Table 5-7'!H12</f>
        <v>0.03</v>
      </c>
      <c r="I11" s="37">
        <f>+'Table 5-7'!I12</f>
        <v>0.03</v>
      </c>
      <c r="J11" s="38">
        <f>+ROUND('Table 5-7'!J12/CE_Scale,RoundPlace)</f>
        <v>316</v>
      </c>
      <c r="K11" s="38">
        <f>+ROUND('Table 5-7'!K12/CE_Scale,RoundPlace)</f>
        <v>316</v>
      </c>
      <c r="L11" s="39">
        <f>+'Table 5-7'!L12</f>
        <v>0.10395010163214927</v>
      </c>
      <c r="M11" s="39" t="str">
        <f>+'Table 5-7'!M12</f>
        <v>NO</v>
      </c>
      <c r="N11" s="39" t="str">
        <f>+'Table 5-7'!N12</f>
        <v>NO</v>
      </c>
    </row>
    <row r="12" spans="1:21" x14ac:dyDescent="0.25">
      <c r="A12" s="35" t="str">
        <f>+'Table 5-7'!A13</f>
        <v>Transition probability: NMIBC Cystectomy</v>
      </c>
      <c r="B12" s="37">
        <f>+'Table 5-7'!B13</f>
        <v>0.05</v>
      </c>
      <c r="C12" s="37">
        <f>+'Table 5-7'!C13</f>
        <v>4.9500000000000002E-2</v>
      </c>
      <c r="D12" s="37">
        <f>+'Table 5-7'!D13</f>
        <v>5.2499999999999998E-2</v>
      </c>
      <c r="E12" s="38">
        <f>+ROUND('Table 5-7'!E13/CE_Scale,RoundPlace)</f>
        <v>382</v>
      </c>
      <c r="F12" s="38">
        <f>+ROUND('Table 5-7'!F13/CE_Scale,RoundPlace)</f>
        <v>383</v>
      </c>
      <c r="G12" s="38">
        <f>+ROUND('Table 5-7'!G13/CE_Scale,RoundPlace)</f>
        <v>380</v>
      </c>
      <c r="H12" s="37">
        <f>+'Table 5-7'!H13</f>
        <v>0.05</v>
      </c>
      <c r="I12" s="37">
        <f>+'Table 5-7'!I13</f>
        <v>0.05</v>
      </c>
      <c r="J12" s="38">
        <f>+ROUND('Table 5-7'!J13/CE_Scale,RoundPlace)</f>
        <v>383</v>
      </c>
      <c r="K12" s="38">
        <f>+ROUND('Table 5-7'!K13/CE_Scale,RoundPlace)</f>
        <v>383</v>
      </c>
      <c r="L12" s="39">
        <f>+'Table 5-7'!L13</f>
        <v>6.6660863538422761E-4</v>
      </c>
      <c r="M12" s="39" t="str">
        <f>+'Table 5-7'!M13</f>
        <v>NO</v>
      </c>
      <c r="N12" s="39" t="str">
        <f>+'Table 5-7'!N13</f>
        <v>NO</v>
      </c>
    </row>
    <row r="13" spans="1:21" x14ac:dyDescent="0.25">
      <c r="A13" s="35" t="str">
        <f>+'Table 5-7'!A14</f>
        <v>Transition probability: MIBC Cystectomy</v>
      </c>
      <c r="B13" s="37">
        <f>+'Table 5-7'!B14</f>
        <v>0.5</v>
      </c>
      <c r="C13" s="37">
        <f>+'Table 5-7'!C14</f>
        <v>0.49120000000000003</v>
      </c>
      <c r="D13" s="37">
        <f>+'Table 5-7'!D14</f>
        <v>0.50880000000000003</v>
      </c>
      <c r="E13" s="38">
        <f>+ROUND('Table 5-7'!E14/CE_Scale,RoundPlace)</f>
        <v>382</v>
      </c>
      <c r="F13" s="38">
        <f>+ROUND('Table 5-7'!F14/CE_Scale,RoundPlace)</f>
        <v>381</v>
      </c>
      <c r="G13" s="38">
        <f>+ROUND('Table 5-7'!G14/CE_Scale,RoundPlace)</f>
        <v>382</v>
      </c>
      <c r="H13" s="37">
        <f>+'Table 5-7'!H14</f>
        <v>0.5</v>
      </c>
      <c r="I13" s="37">
        <f>+'Table 5-7'!I14</f>
        <v>0.5</v>
      </c>
      <c r="J13" s="38">
        <f>+ROUND('Table 5-7'!J14/CE_Scale,RoundPlace)</f>
        <v>382</v>
      </c>
      <c r="K13" s="38">
        <f>+ROUND('Table 5-7'!K14/CE_Scale,RoundPlace)</f>
        <v>382</v>
      </c>
      <c r="L13" s="39">
        <f>+'Table 5-7'!L14</f>
        <v>3.5130769650193802E-4</v>
      </c>
      <c r="M13" s="39" t="str">
        <f>+'Table 5-7'!M14</f>
        <v>NO</v>
      </c>
      <c r="N13" s="39" t="str">
        <f>+'Table 5-7'!N14</f>
        <v>NO</v>
      </c>
    </row>
    <row r="14" spans="1:21" x14ac:dyDescent="0.25">
      <c r="A14" s="35" t="str">
        <f>+'Table 5-7'!A15</f>
        <v>Transition probability: MIBC to Metastatic Disease</v>
      </c>
      <c r="B14" s="37">
        <f>+'Table 5-7'!B15</f>
        <v>3.9E-2</v>
      </c>
      <c r="C14" s="37">
        <f>+'Table 5-7'!C15</f>
        <v>3.2800000000000003E-2</v>
      </c>
      <c r="D14" s="37">
        <f>+'Table 5-7'!D15</f>
        <v>4.5199999999999997E-2</v>
      </c>
      <c r="E14" s="38">
        <f>+ROUND('Table 5-7'!E15/CE_Scale,RoundPlace)</f>
        <v>382</v>
      </c>
      <c r="F14" s="38">
        <f>+ROUND('Table 5-7'!F15/CE_Scale,RoundPlace)</f>
        <v>381</v>
      </c>
      <c r="G14" s="38">
        <f>+ROUND('Table 5-7'!G15/CE_Scale,RoundPlace)</f>
        <v>382</v>
      </c>
      <c r="H14" s="37">
        <f>+'Table 5-7'!H15</f>
        <v>0.04</v>
      </c>
      <c r="I14" s="37">
        <f>+'Table 5-7'!I15</f>
        <v>3.9E-2</v>
      </c>
      <c r="J14" s="38">
        <f>+ROUND('Table 5-7'!J15/CE_Scale,RoundPlace)</f>
        <v>382</v>
      </c>
      <c r="K14" s="38">
        <f>+ROUND('Table 5-7'!K15/CE_Scale,RoundPlace)</f>
        <v>382</v>
      </c>
      <c r="L14" s="39">
        <f>+'Table 5-7'!L15</f>
        <v>4.0104413371647607E-4</v>
      </c>
      <c r="M14" s="39" t="str">
        <f>+'Table 5-7'!M15</f>
        <v>NO</v>
      </c>
      <c r="N14" s="39" t="str">
        <f>+'Table 5-7'!N15</f>
        <v>NO</v>
      </c>
    </row>
    <row r="15" spans="1:21" x14ac:dyDescent="0.25">
      <c r="A15" s="35" t="str">
        <f>+'Table 5-7'!A16</f>
        <v>Transition probability: Post-Cystectomy to Metastatic Disease</v>
      </c>
      <c r="B15" s="37">
        <f>+'Table 5-7'!B16</f>
        <v>5.7000000000000002E-2</v>
      </c>
      <c r="C15" s="37">
        <f>+'Table 5-7'!C16</f>
        <v>4.9099999999999998E-2</v>
      </c>
      <c r="D15" s="37">
        <f>+'Table 5-7'!D16</f>
        <v>6.4600000000000005E-2</v>
      </c>
      <c r="E15" s="38">
        <f>+ROUND('Table 5-7'!E16/CE_Scale,RoundPlace)</f>
        <v>382</v>
      </c>
      <c r="F15" s="38">
        <f>+ROUND('Table 5-7'!F16/CE_Scale,RoundPlace)</f>
        <v>380</v>
      </c>
      <c r="G15" s="38">
        <f>+ROUND('Table 5-7'!G16/CE_Scale,RoundPlace)</f>
        <v>384</v>
      </c>
      <c r="H15" s="37">
        <f>+'Table 5-7'!H16</f>
        <v>0.06</v>
      </c>
      <c r="I15" s="37">
        <f>+'Table 5-7'!I16</f>
        <v>0.06</v>
      </c>
      <c r="J15" s="38">
        <f>+ROUND('Table 5-7'!J16/CE_Scale,RoundPlace)</f>
        <v>383</v>
      </c>
      <c r="K15" s="38">
        <f>+ROUND('Table 5-7'!K16/CE_Scale,RoundPlace)</f>
        <v>383</v>
      </c>
      <c r="L15" s="39">
        <f>+'Table 5-7'!L16</f>
        <v>8.9386552082392835E-4</v>
      </c>
      <c r="M15" s="39" t="str">
        <f>+'Table 5-7'!M16</f>
        <v>NO</v>
      </c>
      <c r="N15" s="39" t="str">
        <f>+'Table 5-7'!N16</f>
        <v>NO</v>
      </c>
    </row>
    <row r="16" spans="1:21" x14ac:dyDescent="0.25">
      <c r="C16" s="37"/>
    </row>
    <row r="17" spans="1:20" x14ac:dyDescent="0.25">
      <c r="A17" s="68" t="str">
        <f>+'Table 5-7'!A19</f>
        <v>Analysis (c): NF for HG Ta/T1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70"/>
    </row>
    <row r="18" spans="1:20" x14ac:dyDescent="0.25">
      <c r="A18" s="35" t="str">
        <f>+'Table 5-7'!A20</f>
        <v>Transition probability: Progression to MIBC</v>
      </c>
      <c r="B18" s="37">
        <f>+'Table 5-7'!B20</f>
        <v>1.4E-2</v>
      </c>
      <c r="C18" s="37">
        <f>+'Table 5-7'!C20</f>
        <v>0</v>
      </c>
      <c r="D18" s="37">
        <f>+'Table 5-7'!D20</f>
        <v>5.0599999999999999E-2</v>
      </c>
      <c r="E18" s="38">
        <f>+ROUND('Table 5-7'!E20/CE_Scale,RoundPlace)</f>
        <v>93</v>
      </c>
      <c r="F18" s="38">
        <f>+ROUND('Table 5-7'!F20/CE_Scale,RoundPlace)</f>
        <v>177</v>
      </c>
      <c r="G18" s="38">
        <f>+ROUND('Table 5-7'!G20/CE_Scale,RoundPlace)</f>
        <v>71</v>
      </c>
      <c r="H18" s="37">
        <f>+'Table 5-7'!H20</f>
        <v>0.03</v>
      </c>
      <c r="I18" s="37">
        <f>+'Table 5-7'!I20</f>
        <v>0.03</v>
      </c>
      <c r="J18" s="38">
        <f>+ROUND('Table 5-7'!J20/CE_Scale,RoundPlace)</f>
        <v>99</v>
      </c>
      <c r="K18" s="38">
        <f>+ROUND('Table 5-7'!K20/CE_Scale,RoundPlace)</f>
        <v>99</v>
      </c>
      <c r="L18" s="39">
        <f>+'Table 5-7'!L20</f>
        <v>2.7963731501326729E-2</v>
      </c>
      <c r="M18" s="46" t="str">
        <f>+'Table 5-7'!M20</f>
        <v>NO</v>
      </c>
      <c r="N18" s="46" t="str">
        <f>+'Table 5-7'!N20</f>
        <v>NO</v>
      </c>
    </row>
    <row r="19" spans="1:20" x14ac:dyDescent="0.25">
      <c r="A19" s="35" t="str">
        <f>+'Table 5-7'!A21</f>
        <v>Transition probability: NMIBC Cystectomy</v>
      </c>
      <c r="B19" s="37">
        <f>+'Table 5-7'!B21</f>
        <v>0.05</v>
      </c>
      <c r="C19" s="37">
        <f>+'Table 5-7'!C21</f>
        <v>4.9500000000000002E-2</v>
      </c>
      <c r="D19" s="37">
        <f>+'Table 5-7'!D21</f>
        <v>5.2499999999999998E-2</v>
      </c>
      <c r="E19" s="38">
        <f>+ROUND('Table 5-7'!E21/CE_Scale,RoundPlace)</f>
        <v>93</v>
      </c>
      <c r="F19" s="38">
        <f>+ROUND('Table 5-7'!F21/CE_Scale,RoundPlace)</f>
        <v>93</v>
      </c>
      <c r="G19" s="38">
        <f>+ROUND('Table 5-7'!G21/CE_Scale,RoundPlace)</f>
        <v>93</v>
      </c>
      <c r="H19" s="37">
        <f>+'Table 5-7'!H21</f>
        <v>0.05</v>
      </c>
      <c r="I19" s="37">
        <f>+'Table 5-7'!I21</f>
        <v>0.05</v>
      </c>
      <c r="J19" s="38">
        <f>+ROUND('Table 5-7'!J21/CE_Scale,RoundPlace)</f>
        <v>93</v>
      </c>
      <c r="K19" s="38">
        <f>+ROUND('Table 5-7'!K21/CE_Scale,RoundPlace)</f>
        <v>93</v>
      </c>
      <c r="L19" s="39">
        <f>+'Table 5-7'!L21</f>
        <v>2.3739361512216593E-4</v>
      </c>
      <c r="M19" s="46" t="str">
        <f>+'Table 5-7'!M21</f>
        <v>NO</v>
      </c>
      <c r="N19" s="46" t="str">
        <f>+'Table 5-7'!N21</f>
        <v>NO</v>
      </c>
      <c r="T19" s="37"/>
    </row>
    <row r="20" spans="1:20" x14ac:dyDescent="0.25">
      <c r="A20" s="35" t="str">
        <f>+'Table 5-7'!A22</f>
        <v>Transition probability: MIBC Cystectomy</v>
      </c>
      <c r="B20" s="37">
        <f>+'Table 5-7'!B22</f>
        <v>0.5</v>
      </c>
      <c r="C20" s="37">
        <f>+'Table 5-7'!C22</f>
        <v>0.49120000000000003</v>
      </c>
      <c r="D20" s="37">
        <f>+'Table 5-7'!D22</f>
        <v>0.50880000000000003</v>
      </c>
      <c r="E20" s="38">
        <f>+ROUND('Table 5-7'!E22/CE_Scale,RoundPlace)</f>
        <v>93</v>
      </c>
      <c r="F20" s="38">
        <f>+ROUND('Table 5-7'!F22/CE_Scale,RoundPlace)</f>
        <v>92</v>
      </c>
      <c r="G20" s="38">
        <f>+ROUND('Table 5-7'!G22/CE_Scale,RoundPlace)</f>
        <v>93</v>
      </c>
      <c r="H20" s="37">
        <f>+'Table 5-7'!H22</f>
        <v>0.5</v>
      </c>
      <c r="I20" s="37">
        <f>+'Table 5-7'!I22</f>
        <v>0.5</v>
      </c>
      <c r="J20" s="38">
        <f>+ROUND('Table 5-7'!J22/CE_Scale,RoundPlace)</f>
        <v>93</v>
      </c>
      <c r="K20" s="38">
        <f>+ROUND('Table 5-7'!K22/CE_Scale,RoundPlace)</f>
        <v>93</v>
      </c>
      <c r="L20" s="39">
        <f>+'Table 5-7'!L22</f>
        <v>1.0241222319235833E-3</v>
      </c>
      <c r="M20" s="46" t="str">
        <f>+'Table 5-7'!M22</f>
        <v>NO</v>
      </c>
      <c r="N20" s="46" t="str">
        <f>+'Table 5-7'!N22</f>
        <v>NO</v>
      </c>
    </row>
    <row r="21" spans="1:20" x14ac:dyDescent="0.25">
      <c r="A21" s="35" t="str">
        <f>+'Table 5-7'!A23</f>
        <v>Transition probability: MIBC to Metastatic Disease</v>
      </c>
      <c r="B21" s="37">
        <f>+'Table 5-7'!B23</f>
        <v>3.9E-2</v>
      </c>
      <c r="C21" s="37">
        <f>+'Table 5-7'!C23</f>
        <v>3.2800000000000003E-2</v>
      </c>
      <c r="D21" s="37">
        <f>+'Table 5-7'!D23</f>
        <v>4.5199999999999997E-2</v>
      </c>
      <c r="E21" s="38">
        <f>+ROUND('Table 5-7'!E23/CE_Scale,RoundPlace)</f>
        <v>93</v>
      </c>
      <c r="F21" s="38">
        <f>+ROUND('Table 5-7'!F23/CE_Scale,RoundPlace)</f>
        <v>93</v>
      </c>
      <c r="G21" s="38">
        <f>+ROUND('Table 5-7'!G23/CE_Scale,RoundPlace)</f>
        <v>93</v>
      </c>
      <c r="H21" s="37">
        <f>+'Table 5-7'!H23</f>
        <v>0.04</v>
      </c>
      <c r="I21" s="37">
        <f>+'Table 5-7'!I23</f>
        <v>3.9E-2</v>
      </c>
      <c r="J21" s="38">
        <f>+ROUND('Table 5-7'!J23/CE_Scale,RoundPlace)</f>
        <v>93</v>
      </c>
      <c r="K21" s="38">
        <f>+ROUND('Table 5-7'!K23/CE_Scale,RoundPlace)</f>
        <v>93</v>
      </c>
      <c r="L21" s="39">
        <f>+'Table 5-7'!L23</f>
        <v>3.170402590827722E-4</v>
      </c>
      <c r="M21" s="46" t="str">
        <f>+'Table 5-7'!M23</f>
        <v>NO</v>
      </c>
      <c r="N21" s="46" t="str">
        <f>+'Table 5-7'!N23</f>
        <v>NO</v>
      </c>
    </row>
    <row r="22" spans="1:20" x14ac:dyDescent="0.25">
      <c r="A22" s="35" t="str">
        <f>+'Table 5-7'!A24</f>
        <v>Transition probability: Post-Cystectomy to Metastatic Disease</v>
      </c>
      <c r="B22" s="37">
        <f>+'Table 5-7'!B24</f>
        <v>5.7000000000000002E-2</v>
      </c>
      <c r="C22" s="37">
        <f>+'Table 5-7'!C24</f>
        <v>4.9099999999999998E-2</v>
      </c>
      <c r="D22" s="37">
        <f>+'Table 5-7'!D24</f>
        <v>6.4600000000000005E-2</v>
      </c>
      <c r="E22" s="38">
        <f>+ROUND('Table 5-7'!E24/CE_Scale,RoundPlace)</f>
        <v>93</v>
      </c>
      <c r="F22" s="38">
        <f>+ROUND('Table 5-7'!F24/CE_Scale,RoundPlace)</f>
        <v>93</v>
      </c>
      <c r="G22" s="38">
        <f>+ROUND('Table 5-7'!G24/CE_Scale,RoundPlace)</f>
        <v>92</v>
      </c>
      <c r="H22" s="37">
        <f>+'Table 5-7'!H24</f>
        <v>0.06</v>
      </c>
      <c r="I22" s="37">
        <f>+'Table 5-7'!I24</f>
        <v>0.06</v>
      </c>
      <c r="J22" s="38">
        <f>+ROUND('Table 5-7'!J24/CE_Scale,RoundPlace)</f>
        <v>93</v>
      </c>
      <c r="K22" s="38">
        <f>+ROUND('Table 5-7'!K24/CE_Scale,RoundPlace)</f>
        <v>93</v>
      </c>
      <c r="L22" s="39">
        <f>+'Table 5-7'!L24</f>
        <v>1.8447789826201504E-3</v>
      </c>
      <c r="M22" s="46" t="str">
        <f>+'Table 5-7'!M24</f>
        <v>NO</v>
      </c>
      <c r="N22" s="46" t="str">
        <f>+'Table 5-7'!N24</f>
        <v>NO</v>
      </c>
    </row>
    <row r="23" spans="1:20" x14ac:dyDescent="0.25">
      <c r="A23" s="50"/>
      <c r="B23" s="51"/>
      <c r="C23" s="51"/>
      <c r="D23" s="51"/>
      <c r="E23" s="52"/>
      <c r="F23" s="52"/>
      <c r="G23" s="52"/>
      <c r="H23" s="53"/>
      <c r="I23" s="53"/>
      <c r="J23" s="52"/>
      <c r="K23" s="52"/>
      <c r="L23" s="54"/>
      <c r="M23" s="55"/>
      <c r="N23" s="56"/>
    </row>
    <row r="24" spans="1:20" x14ac:dyDescent="0.25">
      <c r="A24" s="68" t="str">
        <f>+'Table 5-7'!A27</f>
        <v>Analysis (d): OM for HG Ta/T1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70"/>
    </row>
    <row r="25" spans="1:20" x14ac:dyDescent="0.25">
      <c r="A25" s="35" t="str">
        <f>+'Table 5-7'!A28</f>
        <v>Transition probability: Progression to MIBC</v>
      </c>
      <c r="B25" s="37">
        <f>+'Table 5-7'!B28</f>
        <v>1.4E-2</v>
      </c>
      <c r="C25" s="37">
        <f>+'Table 5-7'!C28</f>
        <v>0</v>
      </c>
      <c r="D25" s="37">
        <f>+'Table 5-7'!D28</f>
        <v>5.0599999999999999E-2</v>
      </c>
      <c r="E25" s="38">
        <f>+ROUND('Table 5-7'!E28/CE_Scale,RoundPlace)</f>
        <v>123</v>
      </c>
      <c r="F25" s="38">
        <f>+ROUND('Table 5-7'!F28/CE_Scale,RoundPlace)</f>
        <v>225</v>
      </c>
      <c r="G25" s="38">
        <f>+ROUND('Table 5-7'!G28/CE_Scale,RoundPlace)</f>
        <v>88</v>
      </c>
      <c r="H25" s="37">
        <f>+'Table 5-7'!H28</f>
        <v>0.03</v>
      </c>
      <c r="I25" s="37">
        <f>+'Table 5-7'!I28</f>
        <v>0.03</v>
      </c>
      <c r="J25" s="38">
        <f>+ROUND('Table 5-7'!J28/CE_Scale,RoundPlace)</f>
        <v>125</v>
      </c>
      <c r="K25" s="38">
        <f>+ROUND('Table 5-7'!K28/CE_Scale,RoundPlace)</f>
        <v>125</v>
      </c>
      <c r="L25" s="39">
        <f>+'Table 5-7'!L28</f>
        <v>9.6699815104589887E-3</v>
      </c>
      <c r="M25" s="39" t="str">
        <f>+'Table 5-7'!M28</f>
        <v>NO</v>
      </c>
      <c r="N25" s="39" t="str">
        <f>+'Table 5-7'!N28</f>
        <v>NO</v>
      </c>
    </row>
    <row r="26" spans="1:20" x14ac:dyDescent="0.25">
      <c r="A26" s="35" t="str">
        <f>+'Table 5-7'!A29</f>
        <v>Transition probability: NMIBC Cystectomy</v>
      </c>
      <c r="B26" s="37">
        <f>+'Table 5-7'!B29</f>
        <v>0.05</v>
      </c>
      <c r="C26" s="37">
        <f>+'Table 5-7'!C29</f>
        <v>4.9500000000000002E-2</v>
      </c>
      <c r="D26" s="37">
        <f>+'Table 5-7'!D29</f>
        <v>5.2499999999999998E-2</v>
      </c>
      <c r="E26" s="38">
        <f>+ROUND('Table 5-7'!E29/CE_Scale,RoundPlace)</f>
        <v>123</v>
      </c>
      <c r="F26" s="38">
        <f>+ROUND('Table 5-7'!F29/CE_Scale,RoundPlace)</f>
        <v>124</v>
      </c>
      <c r="G26" s="38">
        <f>+ROUND('Table 5-7'!G29/CE_Scale,RoundPlace)</f>
        <v>122</v>
      </c>
      <c r="H26" s="37">
        <f>+'Table 5-7'!H29</f>
        <v>0.05</v>
      </c>
      <c r="I26" s="37">
        <f>+'Table 5-7'!I29</f>
        <v>0.05</v>
      </c>
      <c r="J26" s="38">
        <f>+ROUND('Table 5-7'!J29/CE_Scale,RoundPlace)</f>
        <v>123</v>
      </c>
      <c r="K26" s="38">
        <f>+ROUND('Table 5-7'!K29/CE_Scale,RoundPlace)</f>
        <v>123</v>
      </c>
      <c r="L26" s="39">
        <f>+'Table 5-7'!L29</f>
        <v>7.1351683902835914E-4</v>
      </c>
      <c r="M26" s="39" t="str">
        <f>+'Table 5-7'!M29</f>
        <v>NO</v>
      </c>
      <c r="N26" s="39" t="str">
        <f>+'Table 5-7'!N29</f>
        <v>NO</v>
      </c>
    </row>
    <row r="27" spans="1:20" x14ac:dyDescent="0.25">
      <c r="A27" s="35" t="str">
        <f>+'Table 5-7'!A30</f>
        <v>Transition probability: MIBC Cystectomy</v>
      </c>
      <c r="B27" s="37">
        <f>+'Table 5-7'!B30</f>
        <v>0.5</v>
      </c>
      <c r="C27" s="37">
        <f>+'Table 5-7'!C30</f>
        <v>0.49120000000000003</v>
      </c>
      <c r="D27" s="37">
        <f>+'Table 5-7'!D30</f>
        <v>0.50880000000000003</v>
      </c>
      <c r="E27" s="38">
        <f>+ROUND('Table 5-7'!E30/CE_Scale,RoundPlace)</f>
        <v>123</v>
      </c>
      <c r="F27" s="38">
        <f>+ROUND('Table 5-7'!F30/CE_Scale,RoundPlace)</f>
        <v>123</v>
      </c>
      <c r="G27" s="38">
        <f>+ROUND('Table 5-7'!G30/CE_Scale,RoundPlace)</f>
        <v>122</v>
      </c>
      <c r="H27" s="37">
        <f>+'Table 5-7'!H30</f>
        <v>0.5</v>
      </c>
      <c r="I27" s="37">
        <f>+'Table 5-7'!I30</f>
        <v>0.5</v>
      </c>
      <c r="J27" s="38">
        <f>+ROUND('Table 5-7'!J30/CE_Scale,RoundPlace)</f>
        <v>123</v>
      </c>
      <c r="K27" s="38">
        <f>+ROUND('Table 5-7'!K30/CE_Scale,RoundPlace)</f>
        <v>123</v>
      </c>
      <c r="L27" s="39">
        <f>+'Table 5-7'!L30</f>
        <v>6.0342981626849859E-4</v>
      </c>
      <c r="M27" s="39" t="str">
        <f>+'Table 5-7'!M30</f>
        <v>NO</v>
      </c>
      <c r="N27" s="39" t="str">
        <f>+'Table 5-7'!N30</f>
        <v>NO</v>
      </c>
    </row>
    <row r="28" spans="1:20" x14ac:dyDescent="0.25">
      <c r="A28" s="35" t="str">
        <f>+'Table 5-7'!A31</f>
        <v>Transition probability: MIBC to Metastatic Disease</v>
      </c>
      <c r="B28" s="37">
        <f>+'Table 5-7'!B31</f>
        <v>3.9E-2</v>
      </c>
      <c r="C28" s="37">
        <f>+'Table 5-7'!C31</f>
        <v>3.2800000000000003E-2</v>
      </c>
      <c r="D28" s="37">
        <f>+'Table 5-7'!D31</f>
        <v>4.5199999999999997E-2</v>
      </c>
      <c r="E28" s="38">
        <f>+ROUND('Table 5-7'!E31/CE_Scale,RoundPlace)</f>
        <v>123</v>
      </c>
      <c r="F28" s="38">
        <f>+ROUND('Table 5-7'!F31/CE_Scale,RoundPlace)</f>
        <v>123</v>
      </c>
      <c r="G28" s="38">
        <f>+ROUND('Table 5-7'!G31/CE_Scale,RoundPlace)</f>
        <v>123</v>
      </c>
      <c r="H28" s="37">
        <f>+'Table 5-7'!H31</f>
        <v>0.04</v>
      </c>
      <c r="I28" s="37">
        <f>+'Table 5-7'!I31</f>
        <v>3.9E-2</v>
      </c>
      <c r="J28" s="38">
        <f>+ROUND('Table 5-7'!J31/CE_Scale,RoundPlace)</f>
        <v>123</v>
      </c>
      <c r="K28" s="38">
        <f>+ROUND('Table 5-7'!K31/CE_Scale,RoundPlace)</f>
        <v>123</v>
      </c>
      <c r="L28" s="39">
        <f>+'Table 5-7'!L31</f>
        <v>2.2980191373871942E-4</v>
      </c>
      <c r="M28" s="39" t="str">
        <f>+'Table 5-7'!M31</f>
        <v>NO</v>
      </c>
      <c r="N28" s="39" t="str">
        <f>+'Table 5-7'!N31</f>
        <v>NO</v>
      </c>
    </row>
    <row r="29" spans="1:20" x14ac:dyDescent="0.25">
      <c r="A29" s="35" t="str">
        <f>+'Table 5-7'!A32</f>
        <v>Transition probability: Post-Cystectomy to Metastatic Disease</v>
      </c>
      <c r="B29" s="37">
        <f>+'Table 5-7'!B32</f>
        <v>5.7000000000000002E-2</v>
      </c>
      <c r="C29" s="37">
        <f>+'Table 5-7'!C32</f>
        <v>4.9099999999999998E-2</v>
      </c>
      <c r="D29" s="37">
        <f>+'Table 5-7'!D32</f>
        <v>6.4600000000000005E-2</v>
      </c>
      <c r="E29" s="38">
        <f>+ROUND('Table 5-7'!E32/CE_Scale,RoundPlace)</f>
        <v>123</v>
      </c>
      <c r="F29" s="38">
        <f>+ROUND('Table 5-7'!F32/CE_Scale,RoundPlace)</f>
        <v>123</v>
      </c>
      <c r="G29" s="38">
        <f>+ROUND('Table 5-7'!G32/CE_Scale,RoundPlace)</f>
        <v>123</v>
      </c>
      <c r="H29" s="37">
        <f>+'Table 5-7'!H32</f>
        <v>0.06</v>
      </c>
      <c r="I29" s="37">
        <f>+'Table 5-7'!I32</f>
        <v>0.06</v>
      </c>
      <c r="J29" s="38">
        <f>+ROUND('Table 5-7'!J32/CE_Scale,RoundPlace)</f>
        <v>123</v>
      </c>
      <c r="K29" s="38">
        <f>+ROUND('Table 5-7'!K32/CE_Scale,RoundPlace)</f>
        <v>123</v>
      </c>
      <c r="L29" s="39">
        <f>+'Table 5-7'!L32</f>
        <v>1.0607585632280057E-3</v>
      </c>
      <c r="M29" s="39" t="str">
        <f>+'Table 5-7'!M32</f>
        <v>NO</v>
      </c>
      <c r="N29" s="39" t="str">
        <f>+'Table 5-7'!N32</f>
        <v>NO</v>
      </c>
    </row>
    <row r="33" spans="5:11" x14ac:dyDescent="0.25">
      <c r="E33" s="11"/>
      <c r="F33" s="11"/>
      <c r="G33" s="11"/>
      <c r="H33" s="11"/>
      <c r="I33" s="11"/>
      <c r="J33" s="11"/>
      <c r="K33" s="11"/>
    </row>
    <row r="34" spans="5:11" x14ac:dyDescent="0.25">
      <c r="E34" s="11"/>
      <c r="F34" s="11"/>
      <c r="G34" s="11"/>
      <c r="H34" s="11"/>
      <c r="I34" s="11"/>
      <c r="J34" s="11"/>
      <c r="K34" s="11"/>
    </row>
    <row r="35" spans="5:11" x14ac:dyDescent="0.25">
      <c r="E35" s="11"/>
      <c r="F35" s="11"/>
      <c r="G35" s="11"/>
      <c r="H35" s="11"/>
      <c r="I35" s="11"/>
      <c r="J35" s="11"/>
      <c r="K35" s="11"/>
    </row>
    <row r="36" spans="5:11" x14ac:dyDescent="0.25">
      <c r="E36" s="11"/>
      <c r="F36" s="11"/>
      <c r="G36" s="11"/>
      <c r="H36" s="11"/>
      <c r="I36" s="11"/>
      <c r="J36" s="11"/>
      <c r="K36" s="11"/>
    </row>
    <row r="37" spans="5:11" x14ac:dyDescent="0.25">
      <c r="E37" s="11"/>
      <c r="F37" s="11"/>
      <c r="G37" s="11"/>
      <c r="H37" s="11"/>
      <c r="I37" s="11"/>
      <c r="J37" s="11"/>
      <c r="K37" s="11"/>
    </row>
    <row r="38" spans="5:11" x14ac:dyDescent="0.25">
      <c r="E38" s="11"/>
      <c r="F38" s="11"/>
      <c r="G38" s="11"/>
      <c r="H38" s="11"/>
      <c r="I38" s="11"/>
      <c r="J38" s="11"/>
      <c r="K38" s="11"/>
    </row>
    <row r="39" spans="5:11" x14ac:dyDescent="0.25">
      <c r="E39" s="11"/>
      <c r="F39" s="11"/>
      <c r="G39" s="11"/>
      <c r="H39" s="11"/>
      <c r="I39" s="11"/>
      <c r="J39" s="11"/>
      <c r="K39" s="11"/>
    </row>
    <row r="40" spans="5:11" x14ac:dyDescent="0.25">
      <c r="E40" s="11"/>
      <c r="F40" s="11"/>
      <c r="G40" s="11"/>
      <c r="H40" s="11"/>
      <c r="I40" s="11"/>
      <c r="J40" s="11"/>
      <c r="K40" s="11"/>
    </row>
    <row r="41" spans="5:11" x14ac:dyDescent="0.25">
      <c r="E41" s="11"/>
      <c r="F41" s="11"/>
      <c r="G41" s="11"/>
      <c r="H41" s="11"/>
      <c r="I41" s="11"/>
      <c r="J41" s="11"/>
      <c r="K41" s="11"/>
    </row>
    <row r="42" spans="5:11" x14ac:dyDescent="0.25">
      <c r="E42" s="11"/>
      <c r="F42" s="11"/>
      <c r="G42" s="11"/>
      <c r="H42" s="11"/>
      <c r="I42" s="11"/>
      <c r="J42" s="11"/>
      <c r="K42" s="11"/>
    </row>
    <row r="43" spans="5:11" x14ac:dyDescent="0.25">
      <c r="E43" s="11"/>
      <c r="F43" s="11"/>
      <c r="G43" s="11"/>
      <c r="H43" s="11"/>
      <c r="I43" s="11"/>
      <c r="J43" s="11"/>
      <c r="K43" s="11"/>
    </row>
    <row r="44" spans="5:11" x14ac:dyDescent="0.25">
      <c r="E44" s="11"/>
      <c r="F44" s="11"/>
      <c r="G44" s="11"/>
      <c r="H44" s="11"/>
      <c r="I44" s="11"/>
      <c r="J44" s="11"/>
      <c r="K44" s="11"/>
    </row>
    <row r="45" spans="5:11" x14ac:dyDescent="0.25">
      <c r="E45" s="11"/>
      <c r="F45" s="11"/>
      <c r="G45" s="11"/>
      <c r="H45" s="11"/>
      <c r="I45" s="11"/>
      <c r="J45" s="11"/>
      <c r="K45" s="11"/>
    </row>
    <row r="46" spans="5:11" x14ac:dyDescent="0.25">
      <c r="E46" s="11"/>
      <c r="F46" s="11"/>
      <c r="G46" s="11"/>
      <c r="H46" s="11"/>
      <c r="I46" s="11"/>
      <c r="J46" s="11"/>
      <c r="K46" s="11"/>
    </row>
    <row r="47" spans="5:11" x14ac:dyDescent="0.25">
      <c r="E47" s="11"/>
      <c r="F47" s="11"/>
      <c r="G47" s="11"/>
      <c r="H47" s="11"/>
      <c r="I47" s="11"/>
      <c r="J47" s="11"/>
      <c r="K47" s="11"/>
    </row>
    <row r="48" spans="5:11" x14ac:dyDescent="0.25">
      <c r="E48" s="11"/>
      <c r="F48" s="11"/>
      <c r="G48" s="11"/>
      <c r="H48" s="11"/>
      <c r="I48" s="11"/>
      <c r="J48" s="11"/>
      <c r="K48" s="11"/>
    </row>
    <row r="49" spans="5:11" x14ac:dyDescent="0.25">
      <c r="E49" s="11"/>
      <c r="F49" s="11"/>
      <c r="G49" s="11"/>
      <c r="H49" s="11"/>
      <c r="I49" s="11"/>
      <c r="J49" s="11"/>
      <c r="K49" s="11"/>
    </row>
    <row r="50" spans="5:11" x14ac:dyDescent="0.25">
      <c r="E50" s="11"/>
      <c r="F50" s="11"/>
      <c r="G50" s="11"/>
      <c r="H50" s="11"/>
      <c r="I50" s="11"/>
      <c r="J50" s="11"/>
      <c r="K50" s="11"/>
    </row>
    <row r="51" spans="5:11" x14ac:dyDescent="0.25">
      <c r="E51" s="11"/>
      <c r="F51" s="11"/>
      <c r="G51" s="11"/>
      <c r="H51" s="11"/>
      <c r="I51" s="11"/>
      <c r="J51" s="11"/>
      <c r="K51" s="11"/>
    </row>
    <row r="52" spans="5:11" x14ac:dyDescent="0.25">
      <c r="E52" s="11"/>
      <c r="F52" s="11"/>
      <c r="G52" s="11"/>
      <c r="H52" s="11"/>
      <c r="I52" s="11"/>
      <c r="J52" s="11"/>
      <c r="K52" s="11"/>
    </row>
    <row r="53" spans="5:11" x14ac:dyDescent="0.25">
      <c r="E53" s="11"/>
      <c r="F53" s="11"/>
      <c r="G53" s="11"/>
      <c r="H53" s="11"/>
      <c r="I53" s="11"/>
      <c r="J53" s="11"/>
      <c r="K53" s="11"/>
    </row>
    <row r="54" spans="5:11" x14ac:dyDescent="0.25">
      <c r="E54" s="11"/>
      <c r="F54" s="11"/>
      <c r="G54" s="11"/>
      <c r="H54" s="11"/>
      <c r="I54" s="11"/>
      <c r="J54" s="11"/>
      <c r="K54" s="11"/>
    </row>
    <row r="55" spans="5:11" x14ac:dyDescent="0.25">
      <c r="E55" s="11"/>
      <c r="F55" s="11"/>
      <c r="G55" s="11"/>
      <c r="H55" s="11"/>
      <c r="I55" s="11"/>
      <c r="J55" s="11"/>
      <c r="K55" s="11"/>
    </row>
    <row r="56" spans="5:11" x14ac:dyDescent="0.25">
      <c r="E56" s="11"/>
      <c r="F56" s="11"/>
      <c r="G56" s="11"/>
      <c r="H56" s="11"/>
      <c r="I56" s="11"/>
      <c r="J56" s="11"/>
      <c r="K56" s="11"/>
    </row>
    <row r="57" spans="5:11" x14ac:dyDescent="0.25">
      <c r="E57" s="11"/>
      <c r="F57" s="11"/>
      <c r="G57" s="11"/>
      <c r="H57" s="11"/>
      <c r="I57" s="11"/>
      <c r="J57" s="11"/>
      <c r="K57" s="11"/>
    </row>
    <row r="58" spans="5:11" x14ac:dyDescent="0.25">
      <c r="E58" s="11"/>
      <c r="F58" s="11"/>
      <c r="G58" s="11"/>
      <c r="H58" s="11"/>
      <c r="I58" s="11"/>
      <c r="J58" s="11"/>
      <c r="K58" s="11"/>
    </row>
  </sheetData>
  <mergeCells count="5">
    <mergeCell ref="B1:D1"/>
    <mergeCell ref="E1:G1"/>
    <mergeCell ref="H1:I1"/>
    <mergeCell ref="J1:K1"/>
    <mergeCell ref="L1:N1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6A630-5905-49B8-ACB1-C7C7CDB9D516}">
  <sheetPr>
    <tabColor rgb="FF92D050"/>
  </sheetPr>
  <dimension ref="A2:J111"/>
  <sheetViews>
    <sheetView topLeftCell="B82" zoomScaleNormal="100" workbookViewId="0">
      <selection activeCell="H109" sqref="H109"/>
    </sheetView>
  </sheetViews>
  <sheetFormatPr defaultRowHeight="15" x14ac:dyDescent="0.25"/>
  <cols>
    <col min="1" max="1" width="33.85546875" customWidth="1"/>
    <col min="2" max="2" width="37" customWidth="1"/>
    <col min="3" max="8" width="11.42578125" customWidth="1"/>
  </cols>
  <sheetData>
    <row r="2" spans="1:10" ht="30.75" customHeight="1" x14ac:dyDescent="0.25">
      <c r="C2" s="82" t="str">
        <f>+'Table 5-5 fmt'!A3</f>
        <v>Analysis (a): NF for CIS+/- Ta/T1</v>
      </c>
      <c r="D2" s="82"/>
      <c r="E2" s="82"/>
      <c r="F2" s="82"/>
      <c r="G2" s="82"/>
      <c r="H2" s="82"/>
    </row>
    <row r="3" spans="1:10" ht="30" x14ac:dyDescent="0.25">
      <c r="C3" s="29" t="s">
        <v>37</v>
      </c>
      <c r="D3" s="29" t="s">
        <v>28</v>
      </c>
      <c r="E3" s="29" t="s">
        <v>29</v>
      </c>
      <c r="F3" s="29" t="s">
        <v>40</v>
      </c>
      <c r="G3" s="29" t="s">
        <v>41</v>
      </c>
      <c r="H3" s="29" t="s">
        <v>38</v>
      </c>
    </row>
    <row r="4" spans="1:10" x14ac:dyDescent="0.25">
      <c r="A4" s="16" t="s">
        <v>39</v>
      </c>
      <c r="B4" s="16" t="str">
        <f>+'Table 5-5 fmt'!A4</f>
        <v>Utility weight - Disease free</v>
      </c>
      <c r="C4" s="32">
        <f>+'Table 5-5 fmt'!E4</f>
        <v>151</v>
      </c>
      <c r="D4" s="32">
        <f>+'Table 5-5 fmt'!J4</f>
        <v>171</v>
      </c>
      <c r="E4" s="32">
        <f>+'Table 5-5 fmt'!K4</f>
        <v>151</v>
      </c>
      <c r="F4" s="30"/>
      <c r="G4" s="30"/>
      <c r="H4" s="27">
        <f>H5+$J$4</f>
        <v>0.95</v>
      </c>
      <c r="J4">
        <v>0.32500000000000001</v>
      </c>
    </row>
    <row r="5" spans="1:10" x14ac:dyDescent="0.25">
      <c r="A5" s="16"/>
      <c r="B5" s="16" t="str">
        <f>+'Table 5-5 fmt'!A5</f>
        <v>Utility weight - Persistent/recurrent NMIBC</v>
      </c>
      <c r="C5" s="32">
        <f>+'Table 5-5 fmt'!E5</f>
        <v>151</v>
      </c>
      <c r="D5" s="32">
        <f>+'Table 5-5 fmt'!J5</f>
        <v>154</v>
      </c>
      <c r="E5" s="32">
        <f>+'Table 5-5 fmt'!K5</f>
        <v>154</v>
      </c>
      <c r="F5" s="30"/>
      <c r="G5" s="30"/>
      <c r="H5" s="27">
        <f>H6+$J$4</f>
        <v>0.625</v>
      </c>
    </row>
    <row r="6" spans="1:10" x14ac:dyDescent="0.25">
      <c r="A6" s="16"/>
      <c r="B6" s="16" t="str">
        <f>+'Table 5-5 fmt'!A6</f>
        <v>Utility weight - MIBC</v>
      </c>
      <c r="C6" s="32">
        <f>+'Table 5-5 fmt'!E6</f>
        <v>151</v>
      </c>
      <c r="D6" s="32">
        <f>+'Table 5-5 fmt'!J6</f>
        <v>147</v>
      </c>
      <c r="E6" s="32">
        <f>+'Table 5-5 fmt'!K6</f>
        <v>150</v>
      </c>
      <c r="F6" s="30"/>
      <c r="G6" s="30"/>
      <c r="H6" s="26">
        <v>0.3</v>
      </c>
    </row>
    <row r="7" spans="1:10" x14ac:dyDescent="0.25">
      <c r="A7" s="16"/>
      <c r="B7" s="16"/>
      <c r="C7" s="33"/>
      <c r="D7" s="33"/>
      <c r="E7" s="33"/>
      <c r="F7" s="16"/>
      <c r="G7" s="16"/>
      <c r="H7" s="16"/>
    </row>
    <row r="8" spans="1:10" x14ac:dyDescent="0.25">
      <c r="A8" s="16" t="s">
        <v>56</v>
      </c>
      <c r="B8" s="16" t="str">
        <f>+'Table 5-6 fmt'!A4</f>
        <v>Health state cost- Disease Free</v>
      </c>
      <c r="C8" s="33">
        <f>+'Table 5-6 fmt'!E4</f>
        <v>151</v>
      </c>
      <c r="D8" s="33">
        <f>+'Table 5-6 fmt'!J4</f>
        <v>150</v>
      </c>
      <c r="E8" s="33">
        <f>+'Table 5-6 fmt'!K4</f>
        <v>153</v>
      </c>
      <c r="F8" s="31"/>
      <c r="G8" s="31"/>
      <c r="H8" s="27">
        <f>H9+$J$4</f>
        <v>3.0750000000000006</v>
      </c>
    </row>
    <row r="9" spans="1:10" x14ac:dyDescent="0.25">
      <c r="A9" s="16"/>
      <c r="B9" s="16" t="str">
        <f>+'Table 5-6 fmt'!A5</f>
        <v>Health state cost- Persistent/ Recurrent NMIBC</v>
      </c>
      <c r="C9" s="33">
        <f>+'Table 5-6 fmt'!E5</f>
        <v>151</v>
      </c>
      <c r="D9" s="33">
        <f>+'Table 5-6 fmt'!J5</f>
        <v>151</v>
      </c>
      <c r="E9" s="33">
        <f>+'Table 5-6 fmt'!K5</f>
        <v>152</v>
      </c>
      <c r="F9" s="16"/>
      <c r="G9" s="16"/>
      <c r="H9" s="27">
        <f t="shared" ref="H9:H12" si="0">H10+$J$4</f>
        <v>2.7500000000000004</v>
      </c>
    </row>
    <row r="10" spans="1:10" x14ac:dyDescent="0.25">
      <c r="A10" s="16"/>
      <c r="B10" s="16" t="str">
        <f>+'Table 5-6 fmt'!A6</f>
        <v>Health state cost- MIBC</v>
      </c>
      <c r="C10" s="33">
        <f>+'Table 5-6 fmt'!E6</f>
        <v>151</v>
      </c>
      <c r="D10" s="33">
        <f>+'Table 5-6 fmt'!J6</f>
        <v>150</v>
      </c>
      <c r="E10" s="33">
        <f>+'Table 5-6 fmt'!K6</f>
        <v>150</v>
      </c>
      <c r="F10" s="31"/>
      <c r="G10" s="31"/>
      <c r="H10" s="27">
        <f t="shared" si="0"/>
        <v>2.4250000000000003</v>
      </c>
    </row>
    <row r="11" spans="1:10" x14ac:dyDescent="0.25">
      <c r="A11" s="16"/>
      <c r="B11" s="16" t="str">
        <f>+'Table 5-6 fmt'!A7</f>
        <v>Health state cost- Cystectomy</v>
      </c>
      <c r="C11" s="33">
        <f>+'Table 5-6 fmt'!E7</f>
        <v>151</v>
      </c>
      <c r="D11" s="33">
        <f>+'Table 5-6 fmt'!J7</f>
        <v>150</v>
      </c>
      <c r="E11" s="33">
        <f>+'Table 5-6 fmt'!K7</f>
        <v>150</v>
      </c>
      <c r="F11" s="16"/>
      <c r="G11" s="16"/>
      <c r="H11" s="27">
        <f t="shared" si="0"/>
        <v>2.1</v>
      </c>
    </row>
    <row r="12" spans="1:10" x14ac:dyDescent="0.25">
      <c r="A12" s="16"/>
      <c r="B12" s="16" t="str">
        <f>+'Table 5-6 fmt'!A8</f>
        <v>Health state cost- Post-cystectomy</v>
      </c>
      <c r="C12" s="33">
        <f>+'Table 5-6 fmt'!E8</f>
        <v>151</v>
      </c>
      <c r="D12" s="33">
        <f>+'Table 5-6 fmt'!J8</f>
        <v>150</v>
      </c>
      <c r="E12" s="33">
        <f>+'Table 5-6 fmt'!K8</f>
        <v>150</v>
      </c>
      <c r="F12" s="16"/>
      <c r="G12" s="16"/>
      <c r="H12" s="27">
        <f t="shared" si="0"/>
        <v>1.7749999999999999</v>
      </c>
    </row>
    <row r="13" spans="1:10" x14ac:dyDescent="0.25">
      <c r="A13" s="16"/>
      <c r="B13" s="16" t="str">
        <f>+'Table 5-6 fmt'!A9</f>
        <v>Health state cost- Metastatic disease</v>
      </c>
      <c r="C13" s="33">
        <f>+'Table 5-6 fmt'!E9</f>
        <v>151</v>
      </c>
      <c r="D13" s="33">
        <f>+'Table 5-6 fmt'!J9</f>
        <v>151</v>
      </c>
      <c r="E13" s="33">
        <f>+'Table 5-6 fmt'!K9</f>
        <v>151</v>
      </c>
      <c r="F13" s="16"/>
      <c r="G13" s="16"/>
      <c r="H13" s="27">
        <f>H4+0.5</f>
        <v>1.45</v>
      </c>
    </row>
    <row r="14" spans="1:10" x14ac:dyDescent="0.25">
      <c r="A14" s="16"/>
      <c r="B14" s="16"/>
      <c r="C14" s="33"/>
      <c r="D14" s="33"/>
      <c r="E14" s="33"/>
      <c r="F14" s="16"/>
      <c r="G14" s="16"/>
      <c r="H14" s="27"/>
    </row>
    <row r="15" spans="1:10" x14ac:dyDescent="0.25">
      <c r="A15" s="16" t="s">
        <v>76</v>
      </c>
      <c r="B15" s="16" t="s">
        <v>77</v>
      </c>
      <c r="C15" s="33">
        <f>'Table 5-6 fmt'!E4</f>
        <v>151</v>
      </c>
      <c r="D15" s="33">
        <f>'Table 5-7 fmt'!J4</f>
        <v>146</v>
      </c>
      <c r="E15" s="33">
        <f>'Table 5-7 fmt'!K4</f>
        <v>146</v>
      </c>
      <c r="F15" s="16"/>
      <c r="G15" s="16"/>
      <c r="H15" s="27">
        <f>H16+$J$4</f>
        <v>4.7750000000000012</v>
      </c>
    </row>
    <row r="16" spans="1:10" x14ac:dyDescent="0.25">
      <c r="A16" s="16"/>
      <c r="B16" s="16" t="s">
        <v>78</v>
      </c>
      <c r="C16" s="33">
        <f>'Table 5-6 fmt'!E5</f>
        <v>151</v>
      </c>
      <c r="D16" s="33">
        <f>'Table 5-7 fmt'!J5</f>
        <v>150</v>
      </c>
      <c r="E16" s="33">
        <f>'Table 5-7 fmt'!K5</f>
        <v>150</v>
      </c>
      <c r="F16" s="16"/>
      <c r="G16" s="16"/>
      <c r="H16" s="27">
        <f>H17+$J$4</f>
        <v>4.4500000000000011</v>
      </c>
    </row>
    <row r="17" spans="1:8" x14ac:dyDescent="0.25">
      <c r="A17" s="16"/>
      <c r="B17" s="16" t="s">
        <v>79</v>
      </c>
      <c r="C17" s="33">
        <f>'Table 5-6 fmt'!E6</f>
        <v>151</v>
      </c>
      <c r="D17" s="33">
        <f>'Table 5-7 fmt'!J6</f>
        <v>151</v>
      </c>
      <c r="E17" s="33">
        <f>'Table 5-7 fmt'!K6</f>
        <v>151</v>
      </c>
      <c r="F17" s="16"/>
      <c r="G17" s="16"/>
      <c r="H17" s="27">
        <f>H18+$J$4</f>
        <v>4.1250000000000009</v>
      </c>
    </row>
    <row r="18" spans="1:8" x14ac:dyDescent="0.25">
      <c r="A18" s="16"/>
      <c r="B18" s="16" t="s">
        <v>80</v>
      </c>
      <c r="C18" s="33">
        <f>'Table 5-6 fmt'!E7</f>
        <v>151</v>
      </c>
      <c r="D18" s="33">
        <f>'Table 5-7 fmt'!J7</f>
        <v>151</v>
      </c>
      <c r="E18" s="33">
        <f>'Table 5-7 fmt'!K7</f>
        <v>151</v>
      </c>
      <c r="F18" s="16"/>
      <c r="G18" s="16"/>
      <c r="H18" s="27">
        <f>H19+$J$4</f>
        <v>3.8000000000000007</v>
      </c>
    </row>
    <row r="19" spans="1:8" x14ac:dyDescent="0.25">
      <c r="A19" s="16"/>
      <c r="B19" s="16" t="s">
        <v>81</v>
      </c>
      <c r="C19" s="33">
        <f>'Table 5-6 fmt'!E8</f>
        <v>151</v>
      </c>
      <c r="D19" s="33">
        <f>'Table 5-7 fmt'!J8</f>
        <v>151</v>
      </c>
      <c r="E19" s="33">
        <f>'Table 5-7 fmt'!K8</f>
        <v>151</v>
      </c>
      <c r="F19" s="16"/>
      <c r="G19" s="16"/>
      <c r="H19" s="27">
        <f>H8+0.4</f>
        <v>3.4750000000000005</v>
      </c>
    </row>
    <row r="20" spans="1:8" x14ac:dyDescent="0.25">
      <c r="A20" s="16"/>
      <c r="B20" s="16"/>
      <c r="C20" s="33"/>
      <c r="D20" s="33"/>
      <c r="E20" s="33"/>
      <c r="F20" s="31"/>
      <c r="G20" s="31"/>
      <c r="H20" s="26"/>
    </row>
    <row r="21" spans="1:8" x14ac:dyDescent="0.25">
      <c r="A21" s="16"/>
      <c r="B21" s="16"/>
      <c r="C21" s="16"/>
      <c r="D21" s="16"/>
      <c r="E21" s="16"/>
      <c r="F21" s="16">
        <v>100</v>
      </c>
      <c r="G21" s="16"/>
      <c r="H21" s="16">
        <v>0</v>
      </c>
    </row>
    <row r="22" spans="1:8" x14ac:dyDescent="0.25">
      <c r="A22" s="16"/>
      <c r="B22" s="16"/>
      <c r="C22" s="16"/>
      <c r="D22" s="16"/>
      <c r="E22" s="16"/>
      <c r="F22" s="16">
        <v>100</v>
      </c>
      <c r="G22" s="16"/>
      <c r="H22" s="16">
        <v>5</v>
      </c>
    </row>
    <row r="23" spans="1:8" x14ac:dyDescent="0.25">
      <c r="A23" s="16"/>
      <c r="B23" s="16"/>
      <c r="C23" s="16"/>
      <c r="D23" s="16"/>
      <c r="E23" s="16"/>
      <c r="F23" s="16"/>
      <c r="G23" s="16"/>
      <c r="H23" s="16"/>
    </row>
    <row r="24" spans="1:8" x14ac:dyDescent="0.25">
      <c r="A24" s="16"/>
      <c r="B24" s="16"/>
      <c r="C24" s="16"/>
      <c r="D24" s="16"/>
      <c r="E24" s="16"/>
      <c r="F24" s="16"/>
      <c r="G24" s="16">
        <v>150</v>
      </c>
      <c r="H24" s="16">
        <v>0</v>
      </c>
    </row>
    <row r="25" spans="1:8" x14ac:dyDescent="0.25">
      <c r="A25" s="16"/>
      <c r="B25" s="16"/>
      <c r="C25" s="16"/>
      <c r="D25" s="16"/>
      <c r="E25" s="16"/>
      <c r="F25" s="16"/>
      <c r="G25" s="16">
        <v>150</v>
      </c>
      <c r="H25" s="16">
        <v>5</v>
      </c>
    </row>
    <row r="26" spans="1:8" x14ac:dyDescent="0.25">
      <c r="A26" s="16"/>
      <c r="B26" s="16"/>
      <c r="C26" s="16"/>
      <c r="D26" s="16"/>
      <c r="E26" s="16"/>
      <c r="F26" s="16"/>
      <c r="G26" s="16"/>
      <c r="H26" s="16"/>
    </row>
    <row r="27" spans="1:8" x14ac:dyDescent="0.25">
      <c r="C27" s="82" t="str">
        <f>+'Table 5-5 fmt'!A8</f>
        <v>Analysis (b): OM for CIS+/- Ta/T1</v>
      </c>
      <c r="D27" s="82"/>
      <c r="E27" s="82"/>
      <c r="F27" s="82"/>
      <c r="G27" s="82"/>
      <c r="H27" s="82"/>
    </row>
    <row r="28" spans="1:8" ht="30" x14ac:dyDescent="0.25">
      <c r="C28" s="29" t="s">
        <v>37</v>
      </c>
      <c r="D28" s="29" t="s">
        <v>28</v>
      </c>
      <c r="E28" s="29" t="s">
        <v>29</v>
      </c>
      <c r="F28" s="29" t="s">
        <v>40</v>
      </c>
      <c r="G28" s="29" t="s">
        <v>41</v>
      </c>
      <c r="H28" s="29" t="s">
        <v>38</v>
      </c>
    </row>
    <row r="29" spans="1:8" x14ac:dyDescent="0.25">
      <c r="A29" s="16" t="s">
        <v>39</v>
      </c>
      <c r="B29" s="16" t="str">
        <f>+'Table 5-5 fmt'!A9</f>
        <v>Utility weight - Disease free</v>
      </c>
      <c r="C29" s="32">
        <f>+'Table 5-5 fmt'!E9</f>
        <v>382</v>
      </c>
      <c r="D29" s="32">
        <f>+'Table 5-5 fmt'!J9</f>
        <v>524</v>
      </c>
      <c r="E29" s="32">
        <f>+'Table 5-5 fmt'!K9</f>
        <v>382</v>
      </c>
      <c r="F29" s="30"/>
      <c r="G29" s="30"/>
      <c r="H29" s="27">
        <f>H30+$J$4</f>
        <v>0.95</v>
      </c>
    </row>
    <row r="30" spans="1:8" x14ac:dyDescent="0.25">
      <c r="A30" s="16"/>
      <c r="B30" s="16" t="str">
        <f>+'Table 5-5 fmt'!A10</f>
        <v>Utility weight - Persistent/recurrent NMIBC</v>
      </c>
      <c r="C30" s="32">
        <f>+'Table 5-5 fmt'!E10</f>
        <v>382</v>
      </c>
      <c r="D30" s="32">
        <f>+'Table 5-5 fmt'!J10</f>
        <v>366</v>
      </c>
      <c r="E30" s="32">
        <f>+'Table 5-5 fmt'!K10</f>
        <v>367</v>
      </c>
      <c r="F30" s="30"/>
      <c r="G30" s="30"/>
      <c r="H30" s="27">
        <f>H31+$J$4</f>
        <v>0.625</v>
      </c>
    </row>
    <row r="31" spans="1:8" x14ac:dyDescent="0.25">
      <c r="A31" s="16"/>
      <c r="B31" s="16" t="str">
        <f>+'Table 5-5 fmt'!A11</f>
        <v>Utility weight - MIBC</v>
      </c>
      <c r="C31" s="32">
        <f>+'Table 5-5 fmt'!E11</f>
        <v>382</v>
      </c>
      <c r="D31" s="32">
        <f>+'Table 5-5 fmt'!J11</f>
        <v>384</v>
      </c>
      <c r="E31" s="32">
        <f>+'Table 5-5 fmt'!K11</f>
        <v>383</v>
      </c>
      <c r="F31" s="30"/>
      <c r="G31" s="30"/>
      <c r="H31" s="27">
        <v>0.3</v>
      </c>
    </row>
    <row r="32" spans="1:8" x14ac:dyDescent="0.25">
      <c r="A32" s="16"/>
      <c r="B32" s="16"/>
      <c r="C32" s="33"/>
      <c r="D32" s="33"/>
      <c r="E32" s="33"/>
      <c r="F32" s="16"/>
      <c r="G32" s="16"/>
      <c r="H32" s="16"/>
    </row>
    <row r="33" spans="1:8" x14ac:dyDescent="0.25">
      <c r="A33" s="16" t="str">
        <f>+A8</f>
        <v>Monthly costs</v>
      </c>
      <c r="B33" s="16" t="str">
        <f>+'Table 5-6 fmt'!A12</f>
        <v>Health state cost- Disease Free</v>
      </c>
      <c r="C33" s="33">
        <f>+'Table 5-6 fmt'!E12</f>
        <v>382</v>
      </c>
      <c r="D33" s="32">
        <f>+'Table 5-6 fmt'!J12</f>
        <v>383</v>
      </c>
      <c r="E33" s="32">
        <f>+'Table 5-6 fmt'!K12</f>
        <v>380</v>
      </c>
      <c r="F33" s="31"/>
      <c r="G33" s="31"/>
      <c r="H33" s="27">
        <f>H34+$J$4</f>
        <v>3.0750000000000006</v>
      </c>
    </row>
    <row r="34" spans="1:8" x14ac:dyDescent="0.25">
      <c r="A34" s="16"/>
      <c r="B34" s="16" t="str">
        <f>+'Table 5-6 fmt'!A13</f>
        <v>Health state cost- Persistent/ Recurrent NMIBC</v>
      </c>
      <c r="C34" s="33">
        <f>+'Table 5-6 fmt'!E13</f>
        <v>382</v>
      </c>
      <c r="D34" s="32">
        <f>+'Table 5-6 fmt'!J13</f>
        <v>383</v>
      </c>
      <c r="E34" s="32">
        <f>+'Table 5-6 fmt'!K13</f>
        <v>381</v>
      </c>
      <c r="F34" s="16"/>
      <c r="G34" s="16"/>
      <c r="H34" s="27">
        <f t="shared" ref="H34:H37" si="1">H35+$J$4</f>
        <v>2.7500000000000004</v>
      </c>
    </row>
    <row r="35" spans="1:8" x14ac:dyDescent="0.25">
      <c r="A35" s="16"/>
      <c r="B35" s="16" t="str">
        <f>+'Table 5-6 fmt'!A14</f>
        <v>Health state cost- MIBC</v>
      </c>
      <c r="C35" s="33">
        <f>+'Table 5-6 fmt'!E14</f>
        <v>382</v>
      </c>
      <c r="D35" s="32">
        <f>+'Table 5-6 fmt'!J14</f>
        <v>383</v>
      </c>
      <c r="E35" s="32">
        <f>+'Table 5-6 fmt'!K14</f>
        <v>383</v>
      </c>
      <c r="F35" s="31"/>
      <c r="G35" s="31"/>
      <c r="H35" s="27">
        <f t="shared" si="1"/>
        <v>2.4250000000000003</v>
      </c>
    </row>
    <row r="36" spans="1:8" x14ac:dyDescent="0.25">
      <c r="A36" s="16"/>
      <c r="B36" s="16" t="str">
        <f>+'Table 5-6 fmt'!A15</f>
        <v>Health state cost- Cystectomy</v>
      </c>
      <c r="C36" s="33">
        <f>+'Table 5-6 fmt'!E15</f>
        <v>382</v>
      </c>
      <c r="D36" s="32">
        <f>+'Table 5-6 fmt'!J15</f>
        <v>383</v>
      </c>
      <c r="E36" s="32">
        <f>+'Table 5-6 fmt'!K15</f>
        <v>383</v>
      </c>
      <c r="F36" s="16"/>
      <c r="G36" s="16"/>
      <c r="H36" s="27">
        <f t="shared" si="1"/>
        <v>2.1</v>
      </c>
    </row>
    <row r="37" spans="1:8" x14ac:dyDescent="0.25">
      <c r="A37" s="16"/>
      <c r="B37" s="16" t="str">
        <f>+'Table 5-6 fmt'!A16</f>
        <v>Health state cost- Post-cystectomy</v>
      </c>
      <c r="C37" s="33">
        <f>+'Table 5-6 fmt'!E16</f>
        <v>382</v>
      </c>
      <c r="D37" s="32">
        <f>+'Table 5-6 fmt'!J16</f>
        <v>383</v>
      </c>
      <c r="E37" s="32">
        <f>+'Table 5-6 fmt'!K16</f>
        <v>383</v>
      </c>
      <c r="F37" s="16"/>
      <c r="G37" s="16"/>
      <c r="H37" s="27">
        <f t="shared" si="1"/>
        <v>1.7749999999999999</v>
      </c>
    </row>
    <row r="38" spans="1:8" x14ac:dyDescent="0.25">
      <c r="A38" s="16"/>
      <c r="B38" s="16" t="str">
        <f>+'Table 5-6 fmt'!A17</f>
        <v>Health state cost- Metastatic disease</v>
      </c>
      <c r="C38" s="33">
        <f>+'Table 5-6 fmt'!E17</f>
        <v>382</v>
      </c>
      <c r="D38" s="32">
        <f>+'Table 5-6 fmt'!J17</f>
        <v>383</v>
      </c>
      <c r="E38" s="32">
        <f>+'Table 5-6 fmt'!K17</f>
        <v>383</v>
      </c>
      <c r="F38" s="16"/>
      <c r="G38" s="16"/>
      <c r="H38" s="27">
        <f>H29+0.5</f>
        <v>1.45</v>
      </c>
    </row>
    <row r="39" spans="1:8" x14ac:dyDescent="0.25">
      <c r="A39" s="16"/>
      <c r="B39" s="16"/>
      <c r="C39" s="33"/>
      <c r="D39" s="32"/>
      <c r="E39" s="32"/>
      <c r="F39" s="16"/>
      <c r="G39" s="16"/>
      <c r="H39" s="27"/>
    </row>
    <row r="40" spans="1:8" x14ac:dyDescent="0.25">
      <c r="A40" s="16" t="s">
        <v>76</v>
      </c>
      <c r="B40" s="16" t="s">
        <v>77</v>
      </c>
      <c r="C40" s="33">
        <f>'Table 5-7 fmt'!E11</f>
        <v>382</v>
      </c>
      <c r="D40" s="33">
        <f>'Table 5-7 fmt'!J11</f>
        <v>316</v>
      </c>
      <c r="E40" s="33">
        <f>'Table 5-7 fmt'!K11</f>
        <v>316</v>
      </c>
      <c r="F40" s="16"/>
      <c r="G40" s="16"/>
      <c r="H40" s="27">
        <f>H41+$J$4</f>
        <v>4.7750000000000012</v>
      </c>
    </row>
    <row r="41" spans="1:8" x14ac:dyDescent="0.25">
      <c r="A41" s="16"/>
      <c r="B41" s="16" t="s">
        <v>78</v>
      </c>
      <c r="C41" s="33">
        <f>'Table 5-7 fmt'!E12</f>
        <v>382</v>
      </c>
      <c r="D41" s="33">
        <f>'Table 5-7 fmt'!J12</f>
        <v>383</v>
      </c>
      <c r="E41" s="33">
        <f>'Table 5-7 fmt'!K12</f>
        <v>383</v>
      </c>
      <c r="F41" s="16"/>
      <c r="G41" s="16"/>
      <c r="H41" s="27">
        <f>H42+$J$4</f>
        <v>4.4500000000000011</v>
      </c>
    </row>
    <row r="42" spans="1:8" x14ac:dyDescent="0.25">
      <c r="A42" s="16"/>
      <c r="B42" s="16" t="s">
        <v>79</v>
      </c>
      <c r="C42" s="33">
        <f>'Table 5-7 fmt'!E13</f>
        <v>382</v>
      </c>
      <c r="D42" s="33">
        <f>'Table 5-7 fmt'!J13</f>
        <v>382</v>
      </c>
      <c r="E42" s="33">
        <f>'Table 5-7 fmt'!K13</f>
        <v>382</v>
      </c>
      <c r="F42" s="16"/>
      <c r="G42" s="16"/>
      <c r="H42" s="27">
        <f>H43+$J$4</f>
        <v>4.1250000000000009</v>
      </c>
    </row>
    <row r="43" spans="1:8" x14ac:dyDescent="0.25">
      <c r="A43" s="16"/>
      <c r="B43" s="16" t="s">
        <v>80</v>
      </c>
      <c r="C43" s="33">
        <f>'Table 5-7 fmt'!E14</f>
        <v>382</v>
      </c>
      <c r="D43" s="33">
        <f>'Table 5-7 fmt'!J14</f>
        <v>382</v>
      </c>
      <c r="E43" s="33">
        <f>'Table 5-7 fmt'!K14</f>
        <v>382</v>
      </c>
      <c r="F43" s="16"/>
      <c r="G43" s="16"/>
      <c r="H43" s="27">
        <f>H44+$J$4</f>
        <v>3.8000000000000007</v>
      </c>
    </row>
    <row r="44" spans="1:8" x14ac:dyDescent="0.25">
      <c r="A44" s="16"/>
      <c r="B44" s="16" t="s">
        <v>81</v>
      </c>
      <c r="C44" s="33">
        <f>'Table 5-7 fmt'!E15</f>
        <v>382</v>
      </c>
      <c r="D44" s="33">
        <f>'Table 5-7 fmt'!J15</f>
        <v>383</v>
      </c>
      <c r="E44" s="33">
        <f>'Table 5-7 fmt'!K15</f>
        <v>383</v>
      </c>
      <c r="F44" s="16"/>
      <c r="G44" s="16"/>
      <c r="H44" s="27">
        <f>H33+0.4</f>
        <v>3.4750000000000005</v>
      </c>
    </row>
    <row r="45" spans="1:8" x14ac:dyDescent="0.25">
      <c r="A45" s="16"/>
      <c r="B45" s="16"/>
      <c r="C45" s="33"/>
      <c r="D45" s="33"/>
      <c r="E45" s="33"/>
      <c r="F45" s="31"/>
      <c r="G45" s="31"/>
      <c r="H45" s="27"/>
    </row>
    <row r="46" spans="1:8" x14ac:dyDescent="0.25">
      <c r="A46" s="16"/>
      <c r="B46" s="16"/>
      <c r="C46" s="16"/>
      <c r="D46" s="16"/>
      <c r="E46" s="16"/>
      <c r="F46" s="16"/>
      <c r="G46" s="16"/>
    </row>
    <row r="47" spans="1:8" x14ac:dyDescent="0.25">
      <c r="A47" s="16"/>
      <c r="B47" s="16"/>
      <c r="C47" s="16"/>
      <c r="D47" s="16"/>
      <c r="E47" s="16"/>
      <c r="F47" s="16">
        <v>100</v>
      </c>
      <c r="G47" s="16"/>
      <c r="H47" s="16">
        <v>0</v>
      </c>
    </row>
    <row r="48" spans="1:8" x14ac:dyDescent="0.25">
      <c r="A48" s="16"/>
      <c r="B48" s="16"/>
      <c r="C48" s="16"/>
      <c r="D48" s="16"/>
      <c r="E48" s="16"/>
      <c r="F48" s="16">
        <v>100</v>
      </c>
      <c r="G48" s="16"/>
      <c r="H48" s="16">
        <v>5</v>
      </c>
    </row>
    <row r="49" spans="1:8" x14ac:dyDescent="0.25">
      <c r="A49" s="16"/>
      <c r="B49" s="16"/>
      <c r="C49" s="16"/>
      <c r="D49" s="16"/>
      <c r="E49" s="16"/>
      <c r="F49" s="16"/>
      <c r="G49" s="16"/>
      <c r="H49" s="16"/>
    </row>
    <row r="50" spans="1:8" x14ac:dyDescent="0.25">
      <c r="A50" s="16"/>
      <c r="B50" s="16"/>
      <c r="C50" s="16"/>
      <c r="D50" s="16"/>
      <c r="E50" s="16"/>
      <c r="F50" s="16"/>
      <c r="G50" s="16">
        <v>150</v>
      </c>
      <c r="H50" s="16">
        <v>0</v>
      </c>
    </row>
    <row r="51" spans="1:8" x14ac:dyDescent="0.25">
      <c r="A51" s="16"/>
      <c r="B51" s="16"/>
      <c r="C51" s="16"/>
      <c r="D51" s="16"/>
      <c r="E51" s="16"/>
      <c r="F51" s="16"/>
      <c r="G51" s="16">
        <v>150</v>
      </c>
      <c r="H51" s="16">
        <v>5</v>
      </c>
    </row>
    <row r="52" spans="1:8" ht="30.75" customHeight="1" x14ac:dyDescent="0.25">
      <c r="C52" s="82" t="str">
        <f>+'Table 5-5 fmt'!A13</f>
        <v>Analysis (c): NF for HG Ta/T1</v>
      </c>
      <c r="D52" s="82"/>
      <c r="E52" s="82"/>
      <c r="F52" s="82"/>
      <c r="G52" s="82"/>
      <c r="H52" s="82"/>
    </row>
    <row r="53" spans="1:8" ht="30" x14ac:dyDescent="0.25">
      <c r="C53" s="42" t="s">
        <v>37</v>
      </c>
      <c r="D53" s="42" t="s">
        <v>28</v>
      </c>
      <c r="E53" s="42" t="s">
        <v>29</v>
      </c>
      <c r="F53" s="42" t="s">
        <v>40</v>
      </c>
      <c r="G53" s="42" t="s">
        <v>41</v>
      </c>
      <c r="H53" s="42" t="s">
        <v>38</v>
      </c>
    </row>
    <row r="54" spans="1:8" x14ac:dyDescent="0.25">
      <c r="A54" s="16" t="s">
        <v>39</v>
      </c>
      <c r="B54" s="16" t="str">
        <f>+'Table 5-5 fmt'!A14</f>
        <v>Utility weight - Disease free</v>
      </c>
      <c r="C54" s="32">
        <f>+'Table 5-5 fmt'!E14</f>
        <v>93</v>
      </c>
      <c r="D54" s="32">
        <f>+'Table 5-5 fmt'!J14</f>
        <v>122</v>
      </c>
      <c r="E54" s="32">
        <f>+'Table 5-5 fmt'!K14</f>
        <v>93</v>
      </c>
      <c r="F54" s="30"/>
      <c r="G54" s="30"/>
      <c r="H54" s="27">
        <f>H55+$J$4</f>
        <v>0.95</v>
      </c>
    </row>
    <row r="55" spans="1:8" x14ac:dyDescent="0.25">
      <c r="A55" s="16"/>
      <c r="B55" s="16" t="str">
        <f>+'Table 5-5 fmt'!A15</f>
        <v>Utility weight - Persistent/recurrent NMIBC</v>
      </c>
      <c r="C55" s="32">
        <f>+'Table 5-5 fmt'!E15</f>
        <v>93</v>
      </c>
      <c r="D55" s="32">
        <f>+'Table 5-5 fmt'!J15</f>
        <v>91</v>
      </c>
      <c r="E55" s="32">
        <f>+'Table 5-5 fmt'!K15</f>
        <v>91</v>
      </c>
      <c r="F55" s="30"/>
      <c r="G55" s="30"/>
      <c r="H55" s="27">
        <f>H56+$J$4</f>
        <v>0.625</v>
      </c>
    </row>
    <row r="56" spans="1:8" x14ac:dyDescent="0.25">
      <c r="A56" s="16"/>
      <c r="B56" s="16" t="str">
        <f>+'Table 5-5 fmt'!A16</f>
        <v>Utility weight - MIBC</v>
      </c>
      <c r="C56" s="32">
        <f>+'Table 5-5 fmt'!E16</f>
        <v>93</v>
      </c>
      <c r="D56" s="32">
        <f>+'Table 5-5 fmt'!J16</f>
        <v>93</v>
      </c>
      <c r="E56" s="32">
        <f>+'Table 5-5 fmt'!K16</f>
        <v>93</v>
      </c>
      <c r="F56" s="30"/>
      <c r="G56" s="30"/>
      <c r="H56" s="27">
        <v>0.3</v>
      </c>
    </row>
    <row r="57" spans="1:8" x14ac:dyDescent="0.25">
      <c r="A57" s="16"/>
      <c r="B57" s="16"/>
      <c r="C57" s="33"/>
      <c r="D57" s="33"/>
      <c r="E57" s="33"/>
      <c r="F57" s="16"/>
      <c r="G57" s="16"/>
      <c r="H57" s="16"/>
    </row>
    <row r="58" spans="1:8" x14ac:dyDescent="0.25">
      <c r="A58" s="16" t="s">
        <v>56</v>
      </c>
      <c r="B58" s="16" t="str">
        <f>+'Table 5-6 fmt'!A12</f>
        <v>Health state cost- Disease Free</v>
      </c>
      <c r="C58" s="33">
        <f>+'Table 5-6 fmt'!E20</f>
        <v>93</v>
      </c>
      <c r="D58" s="33">
        <f>+'Table 5-6 fmt'!J20</f>
        <v>93</v>
      </c>
      <c r="E58" s="33">
        <f>+'Table 5-6 fmt'!K20</f>
        <v>97</v>
      </c>
      <c r="F58" s="31"/>
      <c r="G58" s="31"/>
      <c r="H58" s="27">
        <f>H59+$J$4</f>
        <v>3.0750000000000006</v>
      </c>
    </row>
    <row r="59" spans="1:8" x14ac:dyDescent="0.25">
      <c r="A59" s="16"/>
      <c r="B59" s="16" t="str">
        <f>+'Table 5-6 fmt'!A13</f>
        <v>Health state cost- Persistent/ Recurrent NMIBC</v>
      </c>
      <c r="C59" s="33">
        <f>+'Table 5-6 fmt'!E21</f>
        <v>93</v>
      </c>
      <c r="D59" s="33">
        <f>+'Table 5-6 fmt'!J21</f>
        <v>94</v>
      </c>
      <c r="E59" s="33">
        <f>+'Table 5-6 fmt'!K21</f>
        <v>94</v>
      </c>
      <c r="F59" s="16"/>
      <c r="G59" s="16"/>
      <c r="H59" s="27">
        <f t="shared" ref="H59:H62" si="2">H60+$J$4</f>
        <v>2.7500000000000004</v>
      </c>
    </row>
    <row r="60" spans="1:8" x14ac:dyDescent="0.25">
      <c r="A60" s="16"/>
      <c r="B60" s="16" t="str">
        <f>+'Table 5-6 fmt'!A14</f>
        <v>Health state cost- MIBC</v>
      </c>
      <c r="C60" s="33">
        <f>+'Table 5-6 fmt'!E22</f>
        <v>93</v>
      </c>
      <c r="D60" s="33">
        <f>+'Table 5-6 fmt'!J22</f>
        <v>93</v>
      </c>
      <c r="E60" s="33">
        <f>+'Table 5-6 fmt'!K22</f>
        <v>93</v>
      </c>
      <c r="F60" s="31"/>
      <c r="G60" s="31"/>
      <c r="H60" s="27">
        <f t="shared" si="2"/>
        <v>2.4250000000000003</v>
      </c>
    </row>
    <row r="61" spans="1:8" x14ac:dyDescent="0.25">
      <c r="A61" s="16"/>
      <c r="B61" s="16" t="str">
        <f>+'Table 5-6 fmt'!A15</f>
        <v>Health state cost- Cystectomy</v>
      </c>
      <c r="C61" s="33">
        <f>+'Table 5-6 fmt'!E23</f>
        <v>93</v>
      </c>
      <c r="D61" s="33">
        <f>+'Table 5-6 fmt'!J23</f>
        <v>93</v>
      </c>
      <c r="E61" s="33">
        <f>+'Table 5-6 fmt'!K23</f>
        <v>93</v>
      </c>
      <c r="F61" s="16"/>
      <c r="G61" s="16"/>
      <c r="H61" s="27">
        <f t="shared" si="2"/>
        <v>2.1</v>
      </c>
    </row>
    <row r="62" spans="1:8" x14ac:dyDescent="0.25">
      <c r="A62" s="16"/>
      <c r="B62" s="16" t="str">
        <f>+'Table 5-6 fmt'!A16</f>
        <v>Health state cost- Post-cystectomy</v>
      </c>
      <c r="C62" s="33">
        <f>+'Table 5-6 fmt'!E24</f>
        <v>93</v>
      </c>
      <c r="D62" s="33">
        <f>+'Table 5-6 fmt'!J24</f>
        <v>93</v>
      </c>
      <c r="E62" s="33">
        <f>+'Table 5-6 fmt'!K24</f>
        <v>93</v>
      </c>
      <c r="F62" s="16"/>
      <c r="G62" s="16"/>
      <c r="H62" s="27">
        <f t="shared" si="2"/>
        <v>1.7749999999999999</v>
      </c>
    </row>
    <row r="63" spans="1:8" x14ac:dyDescent="0.25">
      <c r="A63" s="16"/>
      <c r="B63" s="16" t="str">
        <f>+'Table 5-6 fmt'!A17</f>
        <v>Health state cost- Metastatic disease</v>
      </c>
      <c r="C63" s="33">
        <f>+'Table 5-6 fmt'!E25</f>
        <v>93</v>
      </c>
      <c r="D63" s="33">
        <f>+'Table 5-6 fmt'!J25</f>
        <v>94</v>
      </c>
      <c r="E63" s="33">
        <f>+'Table 5-6 fmt'!K25</f>
        <v>94</v>
      </c>
      <c r="F63" s="16"/>
      <c r="G63" s="16"/>
      <c r="H63" s="27">
        <f>H54+0.5</f>
        <v>1.45</v>
      </c>
    </row>
    <row r="64" spans="1:8" x14ac:dyDescent="0.25">
      <c r="A64" s="16"/>
      <c r="B64" s="16"/>
      <c r="C64" s="33"/>
      <c r="D64" s="33"/>
      <c r="E64" s="33"/>
      <c r="F64" s="16"/>
      <c r="G64" s="16"/>
      <c r="H64" s="27"/>
    </row>
    <row r="65" spans="1:8" x14ac:dyDescent="0.25">
      <c r="A65" s="16" t="s">
        <v>76</v>
      </c>
      <c r="B65" s="16" t="s">
        <v>77</v>
      </c>
      <c r="C65" s="33">
        <f>'Table 5-7 fmt'!E18</f>
        <v>93</v>
      </c>
      <c r="D65" s="33">
        <f>'Table 5-7 fmt'!J18</f>
        <v>99</v>
      </c>
      <c r="E65" s="33">
        <f>'Table 5-7 fmt'!K18</f>
        <v>99</v>
      </c>
      <c r="F65" s="16"/>
      <c r="G65" s="16"/>
      <c r="H65" s="27">
        <f>H66+$J$4</f>
        <v>4.7750000000000012</v>
      </c>
    </row>
    <row r="66" spans="1:8" x14ac:dyDescent="0.25">
      <c r="A66" s="16"/>
      <c r="B66" s="16" t="s">
        <v>78</v>
      </c>
      <c r="C66" s="33">
        <f>'Table 5-7 fmt'!E19</f>
        <v>93</v>
      </c>
      <c r="D66" s="33">
        <f>'Table 5-7 fmt'!J19</f>
        <v>93</v>
      </c>
      <c r="E66" s="33">
        <f>'Table 5-7 fmt'!K19</f>
        <v>93</v>
      </c>
      <c r="F66" s="16"/>
      <c r="G66" s="16"/>
      <c r="H66" s="27">
        <f>H67+$J$4</f>
        <v>4.4500000000000011</v>
      </c>
    </row>
    <row r="67" spans="1:8" x14ac:dyDescent="0.25">
      <c r="A67" s="16"/>
      <c r="B67" s="16" t="s">
        <v>79</v>
      </c>
      <c r="C67" s="33">
        <f>'Table 5-7 fmt'!E20</f>
        <v>93</v>
      </c>
      <c r="D67" s="33">
        <f>'Table 5-7 fmt'!J20</f>
        <v>93</v>
      </c>
      <c r="E67" s="33">
        <f>'Table 5-7 fmt'!K20</f>
        <v>93</v>
      </c>
      <c r="F67" s="16"/>
      <c r="G67" s="16"/>
      <c r="H67" s="27">
        <f>H68+$J$4</f>
        <v>4.1250000000000009</v>
      </c>
    </row>
    <row r="68" spans="1:8" x14ac:dyDescent="0.25">
      <c r="A68" s="16"/>
      <c r="B68" s="16" t="s">
        <v>80</v>
      </c>
      <c r="C68" s="33">
        <f>'Table 5-7 fmt'!E21</f>
        <v>93</v>
      </c>
      <c r="D68" s="33">
        <f>'Table 5-7 fmt'!J21</f>
        <v>93</v>
      </c>
      <c r="E68" s="33">
        <f>'Table 5-7 fmt'!K21</f>
        <v>93</v>
      </c>
      <c r="F68" s="16"/>
      <c r="G68" s="16"/>
      <c r="H68" s="27">
        <f>H69+$J$4</f>
        <v>3.8000000000000007</v>
      </c>
    </row>
    <row r="69" spans="1:8" x14ac:dyDescent="0.25">
      <c r="A69" s="16"/>
      <c r="B69" s="16" t="s">
        <v>81</v>
      </c>
      <c r="C69" s="33">
        <f>'Table 5-7 fmt'!E22</f>
        <v>93</v>
      </c>
      <c r="D69" s="33">
        <f>'Table 5-7 fmt'!J22</f>
        <v>93</v>
      </c>
      <c r="E69" s="33">
        <f>'Table 5-7 fmt'!K22</f>
        <v>93</v>
      </c>
      <c r="F69" s="16"/>
      <c r="G69" s="16"/>
      <c r="H69" s="27">
        <f>H58+0.4</f>
        <v>3.4750000000000005</v>
      </c>
    </row>
    <row r="70" spans="1:8" x14ac:dyDescent="0.25">
      <c r="A70" s="16"/>
      <c r="B70" s="16"/>
      <c r="C70" s="33"/>
      <c r="D70" s="33"/>
      <c r="E70" s="33"/>
      <c r="F70" s="31"/>
      <c r="G70" s="31"/>
      <c r="H70" s="27"/>
    </row>
    <row r="71" spans="1:8" x14ac:dyDescent="0.25">
      <c r="A71" s="16"/>
      <c r="B71" s="16"/>
      <c r="C71" s="16"/>
      <c r="D71" s="16"/>
      <c r="E71" s="16"/>
      <c r="F71" s="16">
        <v>100</v>
      </c>
      <c r="G71" s="16"/>
      <c r="H71" s="16">
        <v>0</v>
      </c>
    </row>
    <row r="72" spans="1:8" x14ac:dyDescent="0.25">
      <c r="A72" s="16"/>
      <c r="B72" s="16"/>
      <c r="C72" s="16"/>
      <c r="D72" s="16"/>
      <c r="E72" s="16"/>
      <c r="F72" s="16">
        <v>100</v>
      </c>
      <c r="G72" s="16"/>
      <c r="H72" s="16">
        <v>5</v>
      </c>
    </row>
    <row r="73" spans="1:8" x14ac:dyDescent="0.25">
      <c r="A73" s="16"/>
      <c r="B73" s="16"/>
      <c r="C73" s="16"/>
      <c r="D73" s="16"/>
      <c r="E73" s="16"/>
      <c r="F73" s="16"/>
      <c r="G73" s="16"/>
      <c r="H73" s="16"/>
    </row>
    <row r="74" spans="1:8" x14ac:dyDescent="0.25">
      <c r="A74" s="16"/>
      <c r="B74" s="16"/>
      <c r="C74" s="16"/>
      <c r="D74" s="16"/>
      <c r="E74" s="16"/>
      <c r="F74" s="16"/>
      <c r="G74" s="16">
        <v>150</v>
      </c>
      <c r="H74" s="16">
        <v>0</v>
      </c>
    </row>
    <row r="75" spans="1:8" x14ac:dyDescent="0.25">
      <c r="A75" s="16"/>
      <c r="B75" s="16"/>
      <c r="C75" s="16"/>
      <c r="D75" s="16"/>
      <c r="E75" s="16"/>
      <c r="F75" s="16"/>
      <c r="G75" s="16">
        <v>150</v>
      </c>
      <c r="H75" s="16">
        <v>5</v>
      </c>
    </row>
    <row r="76" spans="1:8" x14ac:dyDescent="0.25">
      <c r="A76" s="16"/>
      <c r="B76" s="16"/>
      <c r="C76" s="16"/>
      <c r="D76" s="16"/>
      <c r="E76" s="16"/>
      <c r="F76" s="16"/>
      <c r="G76" s="16"/>
      <c r="H76" s="16"/>
    </row>
    <row r="77" spans="1:8" x14ac:dyDescent="0.25">
      <c r="C77" s="82" t="str">
        <f>+'Table 5-5 fmt'!A18</f>
        <v>Analysis (d): OM for HG Ta/T1</v>
      </c>
      <c r="D77" s="82"/>
      <c r="E77" s="82"/>
      <c r="F77" s="82"/>
      <c r="G77" s="82"/>
      <c r="H77" s="82"/>
    </row>
    <row r="78" spans="1:8" ht="30" x14ac:dyDescent="0.25">
      <c r="C78" s="42" t="s">
        <v>37</v>
      </c>
      <c r="D78" s="42" t="s">
        <v>28</v>
      </c>
      <c r="E78" s="42" t="s">
        <v>29</v>
      </c>
      <c r="F78" s="42" t="s">
        <v>40</v>
      </c>
      <c r="G78" s="42" t="s">
        <v>41</v>
      </c>
      <c r="H78" s="42" t="s">
        <v>38</v>
      </c>
    </row>
    <row r="79" spans="1:8" x14ac:dyDescent="0.25">
      <c r="A79" s="16" t="s">
        <v>39</v>
      </c>
      <c r="B79" s="16" t="str">
        <f>+'Table 5-5 fmt'!A19</f>
        <v>Utility weight - Disease free</v>
      </c>
      <c r="C79" s="32">
        <f>+'Table 5-5 fmt'!E19</f>
        <v>123</v>
      </c>
      <c r="D79" s="32">
        <f>+'Table 5-5 fmt'!J19</f>
        <v>140</v>
      </c>
      <c r="E79" s="32">
        <f>+'Table 5-5 fmt'!K19</f>
        <v>125</v>
      </c>
      <c r="F79" s="30"/>
      <c r="G79" s="30"/>
      <c r="H79" s="27">
        <f>H80+$J$4</f>
        <v>0.95</v>
      </c>
    </row>
    <row r="80" spans="1:8" x14ac:dyDescent="0.25">
      <c r="A80" s="16"/>
      <c r="B80" s="16" t="str">
        <f>+'Table 5-5 fmt'!A20</f>
        <v>Utility weight - Persistent/recurrent NMIBC</v>
      </c>
      <c r="C80" s="32">
        <f>+'Table 5-5 fmt'!E20</f>
        <v>123</v>
      </c>
      <c r="D80" s="32">
        <f>+'Table 5-5 fmt'!J20</f>
        <v>117</v>
      </c>
      <c r="E80" s="32">
        <f>+'Table 5-5 fmt'!K20</f>
        <v>118</v>
      </c>
      <c r="F80" s="30"/>
      <c r="G80" s="30"/>
      <c r="H80" s="27">
        <f>H81+$J$4</f>
        <v>0.625</v>
      </c>
    </row>
    <row r="81" spans="1:8" x14ac:dyDescent="0.25">
      <c r="A81" s="16"/>
      <c r="B81" s="16" t="str">
        <f>+'Table 5-5 fmt'!A21</f>
        <v>Utility weight - MIBC</v>
      </c>
      <c r="C81" s="32">
        <f>+'Table 5-5 fmt'!E21</f>
        <v>123</v>
      </c>
      <c r="D81" s="32">
        <f>+'Table 5-5 fmt'!J21</f>
        <v>123</v>
      </c>
      <c r="E81" s="32">
        <f>+'Table 5-5 fmt'!K21</f>
        <v>123</v>
      </c>
      <c r="F81" s="30"/>
      <c r="G81" s="30"/>
      <c r="H81" s="27">
        <v>0.3</v>
      </c>
    </row>
    <row r="82" spans="1:8" x14ac:dyDescent="0.25">
      <c r="A82" s="16"/>
      <c r="B82" s="16"/>
      <c r="C82" s="33"/>
      <c r="D82" s="33"/>
      <c r="E82" s="33"/>
      <c r="F82" s="16"/>
      <c r="G82" s="16"/>
      <c r="H82" s="16"/>
    </row>
    <row r="83" spans="1:8" x14ac:dyDescent="0.25">
      <c r="A83" s="16" t="str">
        <f>+A58</f>
        <v>Monthly costs</v>
      </c>
      <c r="B83" s="16" t="str">
        <f>+'Table 5-6 fmt'!A28</f>
        <v>Health state cost- Disease Free</v>
      </c>
      <c r="C83" s="33">
        <f>+'Table 5-6 fmt'!E28</f>
        <v>123</v>
      </c>
      <c r="D83" s="32">
        <f>+'Table 5-6 fmt'!J28</f>
        <v>123</v>
      </c>
      <c r="E83" s="32">
        <f>+'Table 5-6 fmt'!K28</f>
        <v>120</v>
      </c>
      <c r="F83" s="31"/>
      <c r="G83" s="31"/>
      <c r="H83" s="27">
        <f>H84+$J$4</f>
        <v>3.0750000000000006</v>
      </c>
    </row>
    <row r="84" spans="1:8" x14ac:dyDescent="0.25">
      <c r="A84" s="16"/>
      <c r="B84" s="16" t="str">
        <f>+'Table 5-6 fmt'!A29</f>
        <v>Health state cost- Persistent/ Recurrent NMIBC</v>
      </c>
      <c r="C84" s="33">
        <f>+'Table 5-6 fmt'!E29</f>
        <v>123</v>
      </c>
      <c r="D84" s="32">
        <f>+'Table 5-6 fmt'!J29</f>
        <v>123</v>
      </c>
      <c r="E84" s="32">
        <f>+'Table 5-6 fmt'!K29</f>
        <v>123</v>
      </c>
      <c r="F84" s="16"/>
      <c r="G84" s="16"/>
      <c r="H84" s="27">
        <f t="shared" ref="H84:H87" si="3">H85+$J$4</f>
        <v>2.7500000000000004</v>
      </c>
    </row>
    <row r="85" spans="1:8" x14ac:dyDescent="0.25">
      <c r="A85" s="16"/>
      <c r="B85" s="16" t="str">
        <f>+'Table 5-6 fmt'!A30</f>
        <v>Health state cost- MIBC</v>
      </c>
      <c r="C85" s="33">
        <f>+'Table 5-6 fmt'!E30</f>
        <v>123</v>
      </c>
      <c r="D85" s="32">
        <f>+'Table 5-6 fmt'!J30</f>
        <v>123</v>
      </c>
      <c r="E85" s="32">
        <f>+'Table 5-6 fmt'!K30</f>
        <v>123</v>
      </c>
      <c r="F85" s="31"/>
      <c r="G85" s="31"/>
      <c r="H85" s="27">
        <f t="shared" si="3"/>
        <v>2.4250000000000003</v>
      </c>
    </row>
    <row r="86" spans="1:8" x14ac:dyDescent="0.25">
      <c r="A86" s="16"/>
      <c r="B86" s="16" t="str">
        <f>+'Table 5-6 fmt'!A31</f>
        <v>Health state cost- Cystectomy</v>
      </c>
      <c r="C86" s="33">
        <f>+'Table 5-6 fmt'!E31</f>
        <v>123</v>
      </c>
      <c r="D86" s="32">
        <f>+'Table 5-6 fmt'!J31</f>
        <v>123</v>
      </c>
      <c r="E86" s="32">
        <f>+'Table 5-6 fmt'!K31</f>
        <v>123</v>
      </c>
      <c r="F86" s="16"/>
      <c r="G86" s="16"/>
      <c r="H86" s="27">
        <f t="shared" si="3"/>
        <v>2.1</v>
      </c>
    </row>
    <row r="87" spans="1:8" x14ac:dyDescent="0.25">
      <c r="A87" s="16"/>
      <c r="B87" s="16" t="str">
        <f>+'Table 5-6 fmt'!A32</f>
        <v>Health state cost- Post-cystectomy</v>
      </c>
      <c r="C87" s="33">
        <f>+'Table 5-6 fmt'!E32</f>
        <v>123</v>
      </c>
      <c r="D87" s="32">
        <f>+'Table 5-6 fmt'!J32</f>
        <v>121</v>
      </c>
      <c r="E87" s="32">
        <f>+'Table 5-6 fmt'!K32</f>
        <v>121</v>
      </c>
      <c r="F87" s="16"/>
      <c r="G87" s="16"/>
      <c r="H87" s="27">
        <f t="shared" si="3"/>
        <v>1.7749999999999999</v>
      </c>
    </row>
    <row r="88" spans="1:8" x14ac:dyDescent="0.25">
      <c r="A88" s="16"/>
      <c r="B88" s="16" t="str">
        <f>+'Table 5-6 fmt'!A33</f>
        <v>Health state cost- Metastatic disease</v>
      </c>
      <c r="C88" s="33">
        <f>+'Table 5-6 fmt'!E33</f>
        <v>123</v>
      </c>
      <c r="D88" s="32">
        <f>+'Table 5-6 fmt'!J33</f>
        <v>123</v>
      </c>
      <c r="E88" s="32">
        <f>+'Table 5-6 fmt'!K33</f>
        <v>123</v>
      </c>
      <c r="F88" s="16"/>
      <c r="G88" s="16"/>
      <c r="H88" s="27">
        <f>H79+0.5</f>
        <v>1.45</v>
      </c>
    </row>
    <row r="89" spans="1:8" x14ac:dyDescent="0.25">
      <c r="A89" s="16"/>
      <c r="B89" s="16"/>
      <c r="C89" s="33"/>
      <c r="D89" s="32"/>
      <c r="E89" s="32"/>
      <c r="F89" s="16"/>
      <c r="G89" s="16"/>
      <c r="H89" s="27"/>
    </row>
    <row r="90" spans="1:8" x14ac:dyDescent="0.25">
      <c r="A90" s="16" t="s">
        <v>76</v>
      </c>
      <c r="B90" s="16" t="s">
        <v>77</v>
      </c>
      <c r="C90" s="33">
        <f>'Table 5-7 fmt'!E25</f>
        <v>123</v>
      </c>
      <c r="D90" s="33">
        <f>'Table 5-7 fmt'!J25</f>
        <v>125</v>
      </c>
      <c r="E90" s="33">
        <f>'Table 5-7 fmt'!K25</f>
        <v>125</v>
      </c>
      <c r="F90" s="16"/>
      <c r="G90" s="16"/>
      <c r="H90" s="27">
        <f>H91+$J$4</f>
        <v>4.7750000000000012</v>
      </c>
    </row>
    <row r="91" spans="1:8" x14ac:dyDescent="0.25">
      <c r="A91" s="16"/>
      <c r="B91" s="16" t="s">
        <v>78</v>
      </c>
      <c r="C91" s="33">
        <f>'Table 5-7 fmt'!E26</f>
        <v>123</v>
      </c>
      <c r="D91" s="33">
        <f>'Table 5-7 fmt'!J26</f>
        <v>123</v>
      </c>
      <c r="E91" s="33">
        <f>'Table 5-7 fmt'!K26</f>
        <v>123</v>
      </c>
      <c r="F91" s="16"/>
      <c r="G91" s="16"/>
      <c r="H91" s="27">
        <f>H92+$J$4</f>
        <v>4.4500000000000011</v>
      </c>
    </row>
    <row r="92" spans="1:8" x14ac:dyDescent="0.25">
      <c r="A92" s="16"/>
      <c r="B92" s="16" t="s">
        <v>79</v>
      </c>
      <c r="C92" s="33">
        <f>'Table 5-7 fmt'!E27</f>
        <v>123</v>
      </c>
      <c r="D92" s="33">
        <f>'Table 5-7 fmt'!J27</f>
        <v>123</v>
      </c>
      <c r="E92" s="33">
        <f>'Table 5-7 fmt'!K27</f>
        <v>123</v>
      </c>
      <c r="F92" s="16"/>
      <c r="G92" s="16"/>
      <c r="H92" s="27">
        <f>H93+$J$4</f>
        <v>4.1250000000000009</v>
      </c>
    </row>
    <row r="93" spans="1:8" x14ac:dyDescent="0.25">
      <c r="A93" s="16"/>
      <c r="B93" s="16" t="s">
        <v>80</v>
      </c>
      <c r="C93" s="33">
        <f>'Table 5-7 fmt'!E28</f>
        <v>123</v>
      </c>
      <c r="D93" s="33">
        <f>'Table 5-7 fmt'!J28</f>
        <v>123</v>
      </c>
      <c r="E93" s="33">
        <f>'Table 5-7 fmt'!K28</f>
        <v>123</v>
      </c>
      <c r="F93" s="16"/>
      <c r="G93" s="16"/>
      <c r="H93" s="27">
        <f>H94+$J$4</f>
        <v>3.8000000000000007</v>
      </c>
    </row>
    <row r="94" spans="1:8" x14ac:dyDescent="0.25">
      <c r="A94" s="16"/>
      <c r="B94" s="16" t="s">
        <v>81</v>
      </c>
      <c r="C94" s="33">
        <f>'Table 5-7 fmt'!E29</f>
        <v>123</v>
      </c>
      <c r="D94" s="33">
        <f>'Table 5-7 fmt'!J29</f>
        <v>123</v>
      </c>
      <c r="E94" s="33">
        <f>'Table 5-7 fmt'!K29</f>
        <v>123</v>
      </c>
      <c r="F94" s="16"/>
      <c r="G94" s="16"/>
      <c r="H94" s="27">
        <f>H83+0.4</f>
        <v>3.4750000000000005</v>
      </c>
    </row>
    <row r="95" spans="1:8" x14ac:dyDescent="0.25">
      <c r="A95" s="16"/>
      <c r="B95" s="16"/>
      <c r="C95" s="33"/>
      <c r="D95" s="33"/>
      <c r="E95" s="33"/>
      <c r="F95" s="31"/>
      <c r="G95" s="31"/>
      <c r="H95" s="27"/>
    </row>
    <row r="96" spans="1:8" x14ac:dyDescent="0.25">
      <c r="A96" s="16"/>
      <c r="B96" s="16"/>
      <c r="C96" s="16"/>
      <c r="D96" s="16"/>
      <c r="E96" s="16"/>
      <c r="F96" s="16"/>
      <c r="G96" s="16"/>
      <c r="H96" s="16"/>
    </row>
    <row r="97" spans="1:8" x14ac:dyDescent="0.25">
      <c r="A97" s="16"/>
      <c r="B97" s="16"/>
      <c r="C97" s="16"/>
      <c r="D97" s="16"/>
      <c r="E97" s="16"/>
      <c r="F97" s="16">
        <v>100</v>
      </c>
      <c r="G97" s="16"/>
      <c r="H97" s="16">
        <v>0</v>
      </c>
    </row>
    <row r="98" spans="1:8" x14ac:dyDescent="0.25">
      <c r="A98" s="16"/>
      <c r="B98" s="16"/>
      <c r="C98" s="16"/>
      <c r="D98" s="16"/>
      <c r="E98" s="16"/>
      <c r="F98" s="16">
        <v>100</v>
      </c>
      <c r="G98" s="16"/>
      <c r="H98" s="16">
        <v>5</v>
      </c>
    </row>
    <row r="99" spans="1:8" x14ac:dyDescent="0.25">
      <c r="A99" s="16"/>
      <c r="B99" s="16"/>
      <c r="C99" s="16"/>
      <c r="D99" s="16"/>
      <c r="E99" s="16"/>
      <c r="F99" s="16"/>
      <c r="G99" s="16"/>
      <c r="H99" s="16"/>
    </row>
    <row r="100" spans="1:8" x14ac:dyDescent="0.25">
      <c r="A100" s="16"/>
      <c r="B100" s="16"/>
      <c r="C100" s="16"/>
      <c r="D100" s="16"/>
      <c r="E100" s="16"/>
      <c r="F100" s="16"/>
      <c r="G100" s="16">
        <v>150</v>
      </c>
      <c r="H100" s="16">
        <v>0</v>
      </c>
    </row>
    <row r="101" spans="1:8" x14ac:dyDescent="0.25">
      <c r="A101" s="16"/>
      <c r="B101" s="16"/>
      <c r="C101" s="16"/>
      <c r="D101" s="16"/>
      <c r="E101" s="16"/>
      <c r="F101" s="16"/>
      <c r="G101" s="16">
        <v>150</v>
      </c>
      <c r="H101" s="16">
        <v>5</v>
      </c>
    </row>
    <row r="109" spans="1:8" x14ac:dyDescent="0.25">
      <c r="A109" s="9"/>
    </row>
    <row r="110" spans="1:8" x14ac:dyDescent="0.25">
      <c r="A110" s="9"/>
    </row>
    <row r="111" spans="1:8" x14ac:dyDescent="0.25">
      <c r="A111" s="9"/>
    </row>
  </sheetData>
  <mergeCells count="4">
    <mergeCell ref="C2:H2"/>
    <mergeCell ref="C27:H27"/>
    <mergeCell ref="C52:H52"/>
    <mergeCell ref="C77:H77"/>
  </mergeCells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96C3-4C24-403A-950C-96873AFD05DB}">
  <sheetPr>
    <tabColor rgb="FF92D050"/>
  </sheetPr>
  <dimension ref="A2:J87"/>
  <sheetViews>
    <sheetView topLeftCell="B1" zoomScaleNormal="100" workbookViewId="0">
      <selection activeCell="G16" sqref="G16"/>
    </sheetView>
  </sheetViews>
  <sheetFormatPr defaultRowHeight="15" x14ac:dyDescent="0.25"/>
  <cols>
    <col min="1" max="1" width="33.85546875" customWidth="1"/>
    <col min="2" max="2" width="37" customWidth="1"/>
    <col min="3" max="8" width="11.42578125" customWidth="1"/>
  </cols>
  <sheetData>
    <row r="2" spans="1:10" ht="30" x14ac:dyDescent="0.25">
      <c r="B2" s="67" t="s">
        <v>61</v>
      </c>
      <c r="C2" s="72" t="s">
        <v>37</v>
      </c>
      <c r="D2" s="72" t="s">
        <v>28</v>
      </c>
      <c r="E2" s="72" t="s">
        <v>29</v>
      </c>
      <c r="F2" s="72" t="s">
        <v>40</v>
      </c>
      <c r="G2" s="72" t="s">
        <v>41</v>
      </c>
      <c r="H2" s="72" t="s">
        <v>38</v>
      </c>
    </row>
    <row r="3" spans="1:10" x14ac:dyDescent="0.25">
      <c r="A3" t="s">
        <v>39</v>
      </c>
      <c r="B3" s="83" t="str">
        <f>+Figures!B4</f>
        <v>Utility weight - Disease free</v>
      </c>
      <c r="C3" s="66">
        <f>+Figures!C4</f>
        <v>151</v>
      </c>
      <c r="D3" s="66">
        <f>+Figures!D4</f>
        <v>171</v>
      </c>
      <c r="E3" s="66">
        <f>+Figures!E4</f>
        <v>151</v>
      </c>
      <c r="F3" s="66"/>
      <c r="G3" s="66"/>
      <c r="H3" s="3">
        <v>4.25</v>
      </c>
      <c r="J3">
        <v>0.32500000000000001</v>
      </c>
    </row>
    <row r="4" spans="1:10" x14ac:dyDescent="0.25">
      <c r="B4" s="83" t="str">
        <f>+Figures!B5</f>
        <v>Utility weight - Persistent/recurrent NMIBC</v>
      </c>
      <c r="C4" s="66">
        <f>+Figures!C5</f>
        <v>151</v>
      </c>
      <c r="D4" s="66">
        <f>+Figures!D5</f>
        <v>154</v>
      </c>
      <c r="E4" s="66">
        <f>+Figures!E5</f>
        <v>154</v>
      </c>
      <c r="F4" s="66"/>
      <c r="G4" s="66"/>
      <c r="H4" s="3">
        <f>H3</f>
        <v>4.25</v>
      </c>
    </row>
    <row r="5" spans="1:10" x14ac:dyDescent="0.25">
      <c r="B5" s="83" t="str">
        <f>+Figures!B6</f>
        <v>Utility weight - MIBC</v>
      </c>
      <c r="C5" s="66">
        <f>+Figures!C6</f>
        <v>151</v>
      </c>
      <c r="D5" s="66">
        <f>+Figures!D6</f>
        <v>147</v>
      </c>
      <c r="E5" s="66">
        <f>+Figures!E6</f>
        <v>150</v>
      </c>
      <c r="F5" s="66"/>
      <c r="G5" s="66"/>
      <c r="H5" s="3">
        <f>H4</f>
        <v>4.25</v>
      </c>
    </row>
    <row r="6" spans="1:10" x14ac:dyDescent="0.25">
      <c r="B6" s="83"/>
    </row>
    <row r="7" spans="1:10" x14ac:dyDescent="0.25">
      <c r="A7" t="s">
        <v>56</v>
      </c>
      <c r="B7" s="83" t="str">
        <f>+Figures!B8</f>
        <v>Health state cost- Disease Free</v>
      </c>
      <c r="C7" s="66">
        <f>+Figures!C8</f>
        <v>151</v>
      </c>
      <c r="D7" s="66">
        <f>+Figures!D8</f>
        <v>150</v>
      </c>
      <c r="E7" s="66">
        <f>+Figures!E8</f>
        <v>153</v>
      </c>
      <c r="H7" s="3">
        <f>H3-J3</f>
        <v>3.9249999999999998</v>
      </c>
    </row>
    <row r="8" spans="1:10" x14ac:dyDescent="0.25">
      <c r="B8" s="83" t="str">
        <f>+Figures!B9</f>
        <v>Health state cost- Persistent/ Recurrent NMIBC</v>
      </c>
      <c r="C8" s="66">
        <f>+Figures!C9</f>
        <v>151</v>
      </c>
      <c r="D8" s="66">
        <f>+Figures!D9</f>
        <v>151</v>
      </c>
      <c r="E8" s="66">
        <f>+Figures!E9</f>
        <v>152</v>
      </c>
      <c r="H8" s="3">
        <f>H7</f>
        <v>3.9249999999999998</v>
      </c>
    </row>
    <row r="9" spans="1:10" x14ac:dyDescent="0.25">
      <c r="B9" s="83" t="str">
        <f>+Figures!B10</f>
        <v>Health state cost- MIBC</v>
      </c>
      <c r="C9" s="66">
        <f>+Figures!C10</f>
        <v>151</v>
      </c>
      <c r="D9" s="66">
        <f>+Figures!D10</f>
        <v>150</v>
      </c>
      <c r="E9" s="66">
        <f>+Figures!E10</f>
        <v>150</v>
      </c>
      <c r="H9" s="3">
        <f t="shared" ref="H9:H12" si="0">H8</f>
        <v>3.9249999999999998</v>
      </c>
    </row>
    <row r="10" spans="1:10" x14ac:dyDescent="0.25">
      <c r="B10" s="83" t="str">
        <f>+Figures!B11</f>
        <v>Health state cost- Cystectomy</v>
      </c>
      <c r="C10" s="66">
        <f>+Figures!C11</f>
        <v>151</v>
      </c>
      <c r="D10" s="66">
        <f>+Figures!D11</f>
        <v>150</v>
      </c>
      <c r="E10" s="66">
        <f>+Figures!E11</f>
        <v>150</v>
      </c>
      <c r="H10" s="3">
        <f t="shared" si="0"/>
        <v>3.9249999999999998</v>
      </c>
    </row>
    <row r="11" spans="1:10" x14ac:dyDescent="0.25">
      <c r="B11" s="83" t="str">
        <f>+Figures!B12</f>
        <v>Health state cost- Post-cystectomy</v>
      </c>
      <c r="C11" s="66">
        <f>+Figures!C12</f>
        <v>151</v>
      </c>
      <c r="D11" s="66">
        <f>+Figures!D12</f>
        <v>150</v>
      </c>
      <c r="E11" s="66">
        <f>+Figures!E12</f>
        <v>150</v>
      </c>
      <c r="H11" s="3">
        <f t="shared" si="0"/>
        <v>3.9249999999999998</v>
      </c>
    </row>
    <row r="12" spans="1:10" x14ac:dyDescent="0.25">
      <c r="B12" s="83" t="str">
        <f>+Figures!B13</f>
        <v>Health state cost- Metastatic disease</v>
      </c>
      <c r="C12" s="66">
        <f>+Figures!C13</f>
        <v>151</v>
      </c>
      <c r="D12" s="66">
        <f>+Figures!D13</f>
        <v>151</v>
      </c>
      <c r="E12" s="66">
        <f>+Figures!E13</f>
        <v>151</v>
      </c>
      <c r="H12" s="3">
        <f t="shared" si="0"/>
        <v>3.9249999999999998</v>
      </c>
    </row>
    <row r="13" spans="1:10" x14ac:dyDescent="0.25">
      <c r="B13" s="83"/>
    </row>
    <row r="14" spans="1:10" x14ac:dyDescent="0.25">
      <c r="A14" t="s">
        <v>76</v>
      </c>
      <c r="B14" s="83" t="str">
        <f>+Figures!B15</f>
        <v>Transition probability- Progression to MIBC</v>
      </c>
      <c r="C14" s="66">
        <f>+Figures!C15</f>
        <v>151</v>
      </c>
      <c r="D14" s="66">
        <f>+Figures!D15</f>
        <v>146</v>
      </c>
      <c r="E14" s="66">
        <f>+Figures!E15</f>
        <v>146</v>
      </c>
      <c r="H14" s="3">
        <f>H12-J3</f>
        <v>3.5999999999999996</v>
      </c>
    </row>
    <row r="15" spans="1:10" x14ac:dyDescent="0.25">
      <c r="B15" s="83" t="str">
        <f>+Figures!B16</f>
        <v>Transition probability- NMIBC Cystectomy</v>
      </c>
      <c r="C15" s="66">
        <f>+Figures!C16</f>
        <v>151</v>
      </c>
      <c r="D15" s="66">
        <f>+Figures!D16</f>
        <v>150</v>
      </c>
      <c r="E15" s="66">
        <f>+Figures!E16</f>
        <v>150</v>
      </c>
      <c r="H15" s="3">
        <f>H14</f>
        <v>3.5999999999999996</v>
      </c>
    </row>
    <row r="16" spans="1:10" x14ac:dyDescent="0.25">
      <c r="B16" s="83" t="str">
        <f>+Figures!B17</f>
        <v>Transition probability- MIBC Cystectomy</v>
      </c>
      <c r="C16" s="66">
        <f>+Figures!C17</f>
        <v>151</v>
      </c>
      <c r="D16" s="66">
        <f>+Figures!D17</f>
        <v>151</v>
      </c>
      <c r="E16" s="66">
        <f>+Figures!E17</f>
        <v>151</v>
      </c>
      <c r="H16" s="3">
        <f t="shared" ref="H16:H18" si="1">H15</f>
        <v>3.5999999999999996</v>
      </c>
    </row>
    <row r="17" spans="1:8" x14ac:dyDescent="0.25">
      <c r="B17" s="83" t="str">
        <f>+Figures!B18</f>
        <v>Transition probability- MIBC to Metastatic Disease</v>
      </c>
      <c r="C17" s="66">
        <f>+Figures!C18</f>
        <v>151</v>
      </c>
      <c r="D17" s="66">
        <f>+Figures!D18</f>
        <v>151</v>
      </c>
      <c r="E17" s="66">
        <f>+Figures!E18</f>
        <v>151</v>
      </c>
      <c r="H17" s="3">
        <f t="shared" si="1"/>
        <v>3.5999999999999996</v>
      </c>
    </row>
    <row r="18" spans="1:8" x14ac:dyDescent="0.25">
      <c r="B18" s="83" t="str">
        <f>+Figures!B19</f>
        <v>Transition probability- Post-Cystectomy to Metastatic Disease</v>
      </c>
      <c r="C18" s="66">
        <f>+Figures!C19</f>
        <v>151</v>
      </c>
      <c r="D18" s="66">
        <f>+Figures!D19</f>
        <v>151</v>
      </c>
      <c r="E18" s="66">
        <f>+Figures!E19</f>
        <v>151</v>
      </c>
      <c r="H18" s="3">
        <f t="shared" si="1"/>
        <v>3.5999999999999996</v>
      </c>
    </row>
    <row r="20" spans="1:8" x14ac:dyDescent="0.25">
      <c r="B20" s="67" t="s">
        <v>62</v>
      </c>
    </row>
    <row r="21" spans="1:8" x14ac:dyDescent="0.25">
      <c r="A21" t="s">
        <v>39</v>
      </c>
      <c r="B21" s="83" t="str">
        <f>+Figures!B29</f>
        <v>Utility weight - Disease free</v>
      </c>
      <c r="C21" s="66">
        <f>+Figures!C29</f>
        <v>382</v>
      </c>
      <c r="D21" s="66">
        <f>+Figures!D29</f>
        <v>524</v>
      </c>
      <c r="E21" s="66">
        <f>+Figures!E29</f>
        <v>382</v>
      </c>
      <c r="H21" s="3">
        <f>H18-J3</f>
        <v>3.2749999999999995</v>
      </c>
    </row>
    <row r="22" spans="1:8" x14ac:dyDescent="0.25">
      <c r="B22" s="83" t="str">
        <f>+Figures!B30</f>
        <v>Utility weight - Persistent/recurrent NMIBC</v>
      </c>
      <c r="C22" s="66">
        <f>+Figures!C30</f>
        <v>382</v>
      </c>
      <c r="D22" s="66">
        <f>+Figures!D30</f>
        <v>366</v>
      </c>
      <c r="E22" s="66">
        <f>+Figures!E30</f>
        <v>367</v>
      </c>
      <c r="H22" s="3">
        <f t="shared" ref="H22:H23" si="2">H21</f>
        <v>3.2749999999999995</v>
      </c>
    </row>
    <row r="23" spans="1:8" x14ac:dyDescent="0.25">
      <c r="B23" s="83" t="str">
        <f>+Figures!B31</f>
        <v>Utility weight - MIBC</v>
      </c>
      <c r="C23" s="66">
        <f>+Figures!C31</f>
        <v>382</v>
      </c>
      <c r="D23" s="66">
        <f>+Figures!D31</f>
        <v>384</v>
      </c>
      <c r="E23" s="66">
        <f>+Figures!E31</f>
        <v>383</v>
      </c>
      <c r="H23" s="3">
        <f t="shared" si="2"/>
        <v>3.2749999999999995</v>
      </c>
    </row>
    <row r="24" spans="1:8" x14ac:dyDescent="0.25">
      <c r="B24" s="83"/>
      <c r="C24" s="66"/>
      <c r="D24" s="66"/>
      <c r="E24" s="66"/>
      <c r="H24" s="3"/>
    </row>
    <row r="25" spans="1:8" x14ac:dyDescent="0.25">
      <c r="A25" t="s">
        <v>56</v>
      </c>
      <c r="B25" s="83" t="str">
        <f>+Figures!B33</f>
        <v>Health state cost- Disease Free</v>
      </c>
      <c r="C25" s="66">
        <f>+Figures!C33</f>
        <v>382</v>
      </c>
      <c r="D25" s="66">
        <f>+Figures!D33</f>
        <v>383</v>
      </c>
      <c r="E25" s="66">
        <f>+Figures!E33</f>
        <v>380</v>
      </c>
      <c r="H25" s="3">
        <f>H23-J3</f>
        <v>2.9499999999999993</v>
      </c>
    </row>
    <row r="26" spans="1:8" x14ac:dyDescent="0.25">
      <c r="B26" s="83" t="str">
        <f>+Figures!B34</f>
        <v>Health state cost- Persistent/ Recurrent NMIBC</v>
      </c>
      <c r="C26" s="66">
        <f>+Figures!C34</f>
        <v>382</v>
      </c>
      <c r="D26" s="66">
        <f>+Figures!D34</f>
        <v>383</v>
      </c>
      <c r="E26" s="66">
        <f>+Figures!E34</f>
        <v>381</v>
      </c>
      <c r="H26" s="3">
        <f t="shared" ref="H26:H30" si="3">H25</f>
        <v>2.9499999999999993</v>
      </c>
    </row>
    <row r="27" spans="1:8" x14ac:dyDescent="0.25">
      <c r="B27" s="83" t="str">
        <f>+Figures!B35</f>
        <v>Health state cost- MIBC</v>
      </c>
      <c r="C27" s="66">
        <f>+Figures!C35</f>
        <v>382</v>
      </c>
      <c r="D27" s="66">
        <f>+Figures!D35</f>
        <v>383</v>
      </c>
      <c r="E27" s="66">
        <f>+Figures!E35</f>
        <v>383</v>
      </c>
      <c r="H27" s="3">
        <f t="shared" si="3"/>
        <v>2.9499999999999993</v>
      </c>
    </row>
    <row r="28" spans="1:8" x14ac:dyDescent="0.25">
      <c r="B28" s="83" t="str">
        <f>+Figures!B36</f>
        <v>Health state cost- Cystectomy</v>
      </c>
      <c r="C28" s="66">
        <f>+Figures!C36</f>
        <v>382</v>
      </c>
      <c r="D28" s="66">
        <f>+Figures!D36</f>
        <v>383</v>
      </c>
      <c r="E28" s="66">
        <f>+Figures!E36</f>
        <v>383</v>
      </c>
      <c r="H28" s="3">
        <f t="shared" si="3"/>
        <v>2.9499999999999993</v>
      </c>
    </row>
    <row r="29" spans="1:8" x14ac:dyDescent="0.25">
      <c r="B29" s="83" t="str">
        <f>+Figures!B37</f>
        <v>Health state cost- Post-cystectomy</v>
      </c>
      <c r="C29" s="66">
        <f>+Figures!C37</f>
        <v>382</v>
      </c>
      <c r="D29" s="66">
        <f>+Figures!D37</f>
        <v>383</v>
      </c>
      <c r="E29" s="66">
        <f>+Figures!E37</f>
        <v>383</v>
      </c>
      <c r="H29" s="3">
        <f t="shared" si="3"/>
        <v>2.9499999999999993</v>
      </c>
    </row>
    <row r="30" spans="1:8" x14ac:dyDescent="0.25">
      <c r="B30" s="83" t="str">
        <f>+Figures!B38</f>
        <v>Health state cost- Metastatic disease</v>
      </c>
      <c r="C30" s="66">
        <f>+Figures!C38</f>
        <v>382</v>
      </c>
      <c r="D30" s="66">
        <f>+Figures!D38</f>
        <v>383</v>
      </c>
      <c r="E30" s="66">
        <f>+Figures!E38</f>
        <v>383</v>
      </c>
      <c r="H30" s="3">
        <f t="shared" si="3"/>
        <v>2.9499999999999993</v>
      </c>
    </row>
    <row r="31" spans="1:8" x14ac:dyDescent="0.25">
      <c r="B31" s="83"/>
      <c r="C31" s="66"/>
      <c r="D31" s="66"/>
      <c r="E31" s="66"/>
      <c r="H31" s="3"/>
    </row>
    <row r="32" spans="1:8" x14ac:dyDescent="0.25">
      <c r="A32" t="s">
        <v>76</v>
      </c>
      <c r="B32" s="83" t="str">
        <f>+Figures!B40</f>
        <v>Transition probability- Progression to MIBC</v>
      </c>
      <c r="C32" s="66">
        <f>+Figures!C40</f>
        <v>382</v>
      </c>
      <c r="D32" s="66">
        <f>+Figures!D40</f>
        <v>316</v>
      </c>
      <c r="E32" s="66">
        <f>+Figures!E40</f>
        <v>316</v>
      </c>
      <c r="H32" s="3">
        <f>H30-J3</f>
        <v>2.6249999999999991</v>
      </c>
    </row>
    <row r="33" spans="1:8" x14ac:dyDescent="0.25">
      <c r="B33" s="83" t="str">
        <f>+Figures!B41</f>
        <v>Transition probability- NMIBC Cystectomy</v>
      </c>
      <c r="C33" s="66">
        <f>+Figures!C41</f>
        <v>382</v>
      </c>
      <c r="D33" s="66">
        <f>+Figures!D41</f>
        <v>383</v>
      </c>
      <c r="E33" s="66">
        <f>+Figures!E41</f>
        <v>383</v>
      </c>
      <c r="H33" s="3">
        <f t="shared" ref="H33:H36" si="4">H32</f>
        <v>2.6249999999999991</v>
      </c>
    </row>
    <row r="34" spans="1:8" x14ac:dyDescent="0.25">
      <c r="B34" s="83" t="str">
        <f>+Figures!B42</f>
        <v>Transition probability- MIBC Cystectomy</v>
      </c>
      <c r="C34" s="66">
        <f>+Figures!C42</f>
        <v>382</v>
      </c>
      <c r="D34" s="66">
        <f>+Figures!D42</f>
        <v>382</v>
      </c>
      <c r="E34" s="66">
        <f>+Figures!E42</f>
        <v>382</v>
      </c>
      <c r="H34" s="3">
        <f t="shared" si="4"/>
        <v>2.6249999999999991</v>
      </c>
    </row>
    <row r="35" spans="1:8" x14ac:dyDescent="0.25">
      <c r="B35" s="83" t="str">
        <f>+Figures!B43</f>
        <v>Transition probability- MIBC to Metastatic Disease</v>
      </c>
      <c r="C35" s="66">
        <f>+Figures!C43</f>
        <v>382</v>
      </c>
      <c r="D35" s="66">
        <f>+Figures!D43</f>
        <v>382</v>
      </c>
      <c r="E35" s="66">
        <f>+Figures!E43</f>
        <v>382</v>
      </c>
      <c r="H35" s="3">
        <f t="shared" si="4"/>
        <v>2.6249999999999991</v>
      </c>
    </row>
    <row r="36" spans="1:8" x14ac:dyDescent="0.25">
      <c r="B36" s="83" t="str">
        <f>+Figures!B44</f>
        <v>Transition probability- Post-Cystectomy to Metastatic Disease</v>
      </c>
      <c r="C36" s="66">
        <f>+Figures!C44</f>
        <v>382</v>
      </c>
      <c r="D36" s="66">
        <f>+Figures!D44</f>
        <v>383</v>
      </c>
      <c r="E36" s="66">
        <f>+Figures!E44</f>
        <v>383</v>
      </c>
      <c r="H36" s="3">
        <f t="shared" si="4"/>
        <v>2.6249999999999991</v>
      </c>
    </row>
    <row r="37" spans="1:8" x14ac:dyDescent="0.25">
      <c r="C37" s="66"/>
      <c r="D37" s="66"/>
      <c r="E37" s="66"/>
      <c r="H37" s="3"/>
    </row>
    <row r="38" spans="1:8" x14ac:dyDescent="0.25">
      <c r="B38" s="67" t="s">
        <v>63</v>
      </c>
    </row>
    <row r="39" spans="1:8" x14ac:dyDescent="0.25">
      <c r="A39" t="s">
        <v>39</v>
      </c>
      <c r="B39" s="83" t="str">
        <f>+Figures!B54</f>
        <v>Utility weight - Disease free</v>
      </c>
      <c r="C39" s="66">
        <f>+Figures!C54</f>
        <v>93</v>
      </c>
      <c r="D39" s="66">
        <f>+Figures!D54</f>
        <v>122</v>
      </c>
      <c r="E39" s="66">
        <f>+Figures!E54</f>
        <v>93</v>
      </c>
      <c r="H39" s="3">
        <f>H36-J3</f>
        <v>2.2999999999999989</v>
      </c>
    </row>
    <row r="40" spans="1:8" x14ac:dyDescent="0.25">
      <c r="B40" s="83" t="str">
        <f>+Figures!B55</f>
        <v>Utility weight - Persistent/recurrent NMIBC</v>
      </c>
      <c r="C40" s="66">
        <f>+Figures!C55</f>
        <v>93</v>
      </c>
      <c r="D40" s="66">
        <f>+Figures!D55</f>
        <v>91</v>
      </c>
      <c r="E40" s="66">
        <f>+Figures!E55</f>
        <v>91</v>
      </c>
      <c r="H40" s="3">
        <f t="shared" ref="H40:H41" si="5">H39</f>
        <v>2.2999999999999989</v>
      </c>
    </row>
    <row r="41" spans="1:8" x14ac:dyDescent="0.25">
      <c r="B41" s="83" t="str">
        <f>+Figures!B56</f>
        <v>Utility weight - MIBC</v>
      </c>
      <c r="C41" s="66">
        <f>+Figures!C56</f>
        <v>93</v>
      </c>
      <c r="D41" s="66">
        <f>+Figures!D56</f>
        <v>93</v>
      </c>
      <c r="E41" s="66">
        <f>+Figures!E56</f>
        <v>93</v>
      </c>
      <c r="H41" s="3">
        <f t="shared" si="5"/>
        <v>2.2999999999999989</v>
      </c>
    </row>
    <row r="42" spans="1:8" x14ac:dyDescent="0.25">
      <c r="B42" s="83"/>
      <c r="C42" s="66"/>
      <c r="D42" s="66"/>
      <c r="E42" s="66"/>
      <c r="H42" s="3"/>
    </row>
    <row r="43" spans="1:8" x14ac:dyDescent="0.25">
      <c r="A43" t="s">
        <v>56</v>
      </c>
      <c r="B43" s="83" t="str">
        <f>+Figures!B58</f>
        <v>Health state cost- Disease Free</v>
      </c>
      <c r="C43" s="66">
        <f>+Figures!C58</f>
        <v>93</v>
      </c>
      <c r="D43" s="66">
        <f>+Figures!D58</f>
        <v>93</v>
      </c>
      <c r="E43" s="66">
        <f>+Figures!E58</f>
        <v>97</v>
      </c>
      <c r="H43" s="3">
        <f>H41-J3</f>
        <v>1.974999999999999</v>
      </c>
    </row>
    <row r="44" spans="1:8" x14ac:dyDescent="0.25">
      <c r="B44" s="83" t="str">
        <f>+Figures!B59</f>
        <v>Health state cost- Persistent/ Recurrent NMIBC</v>
      </c>
      <c r="C44" s="66">
        <f>+Figures!C59</f>
        <v>93</v>
      </c>
      <c r="D44" s="66">
        <f>+Figures!D59</f>
        <v>94</v>
      </c>
      <c r="E44" s="66">
        <f>+Figures!E59</f>
        <v>94</v>
      </c>
      <c r="H44" s="3">
        <f t="shared" ref="H44:H48" si="6">H43</f>
        <v>1.974999999999999</v>
      </c>
    </row>
    <row r="45" spans="1:8" x14ac:dyDescent="0.25">
      <c r="B45" s="83" t="str">
        <f>+Figures!B60</f>
        <v>Health state cost- MIBC</v>
      </c>
      <c r="C45" s="66">
        <f>+Figures!C60</f>
        <v>93</v>
      </c>
      <c r="D45" s="66">
        <f>+Figures!D60</f>
        <v>93</v>
      </c>
      <c r="E45" s="66">
        <f>+Figures!E60</f>
        <v>93</v>
      </c>
      <c r="H45" s="3">
        <f t="shared" si="6"/>
        <v>1.974999999999999</v>
      </c>
    </row>
    <row r="46" spans="1:8" x14ac:dyDescent="0.25">
      <c r="B46" s="83" t="str">
        <f>+Figures!B61</f>
        <v>Health state cost- Cystectomy</v>
      </c>
      <c r="C46" s="66">
        <f>+Figures!C61</f>
        <v>93</v>
      </c>
      <c r="D46" s="66">
        <f>+Figures!D61</f>
        <v>93</v>
      </c>
      <c r="E46" s="66">
        <f>+Figures!E61</f>
        <v>93</v>
      </c>
      <c r="H46" s="3">
        <f t="shared" si="6"/>
        <v>1.974999999999999</v>
      </c>
    </row>
    <row r="47" spans="1:8" x14ac:dyDescent="0.25">
      <c r="B47" s="83" t="str">
        <f>+Figures!B62</f>
        <v>Health state cost- Post-cystectomy</v>
      </c>
      <c r="C47" s="66">
        <f>+Figures!C62</f>
        <v>93</v>
      </c>
      <c r="D47" s="66">
        <f>+Figures!D62</f>
        <v>93</v>
      </c>
      <c r="E47" s="66">
        <f>+Figures!E62</f>
        <v>93</v>
      </c>
      <c r="H47" s="3">
        <f t="shared" si="6"/>
        <v>1.974999999999999</v>
      </c>
    </row>
    <row r="48" spans="1:8" x14ac:dyDescent="0.25">
      <c r="B48" s="83" t="str">
        <f>+Figures!B63</f>
        <v>Health state cost- Metastatic disease</v>
      </c>
      <c r="C48" s="66">
        <f>+Figures!C63</f>
        <v>93</v>
      </c>
      <c r="D48" s="66">
        <f>+Figures!D63</f>
        <v>94</v>
      </c>
      <c r="E48" s="66">
        <f>+Figures!E63</f>
        <v>94</v>
      </c>
      <c r="H48" s="3">
        <f t="shared" si="6"/>
        <v>1.974999999999999</v>
      </c>
    </row>
    <row r="49" spans="1:8" x14ac:dyDescent="0.25">
      <c r="B49" s="83"/>
      <c r="C49" s="66"/>
      <c r="D49" s="66"/>
      <c r="E49" s="66"/>
      <c r="H49" s="3"/>
    </row>
    <row r="50" spans="1:8" x14ac:dyDescent="0.25">
      <c r="A50" t="s">
        <v>76</v>
      </c>
      <c r="B50" s="83" t="str">
        <f>+Figures!B65</f>
        <v>Transition probability- Progression to MIBC</v>
      </c>
      <c r="C50" s="66">
        <f>+Figures!C65</f>
        <v>93</v>
      </c>
      <c r="D50" s="66">
        <f>+Figures!D65</f>
        <v>99</v>
      </c>
      <c r="E50" s="66">
        <f>+Figures!E65</f>
        <v>99</v>
      </c>
      <c r="H50" s="3">
        <f>H48-J3</f>
        <v>1.649999999999999</v>
      </c>
    </row>
    <row r="51" spans="1:8" x14ac:dyDescent="0.25">
      <c r="B51" s="83" t="str">
        <f>+Figures!B66</f>
        <v>Transition probability- NMIBC Cystectomy</v>
      </c>
      <c r="C51" s="66">
        <f>+Figures!C66</f>
        <v>93</v>
      </c>
      <c r="D51" s="66">
        <f>+Figures!D66</f>
        <v>93</v>
      </c>
      <c r="E51" s="66">
        <f>+Figures!E66</f>
        <v>93</v>
      </c>
      <c r="H51" s="3">
        <f t="shared" ref="H51:H54" si="7">H50</f>
        <v>1.649999999999999</v>
      </c>
    </row>
    <row r="52" spans="1:8" x14ac:dyDescent="0.25">
      <c r="B52" s="83" t="str">
        <f>+Figures!B67</f>
        <v>Transition probability- MIBC Cystectomy</v>
      </c>
      <c r="C52" s="66">
        <f>+Figures!C67</f>
        <v>93</v>
      </c>
      <c r="D52" s="66">
        <f>+Figures!D67</f>
        <v>93</v>
      </c>
      <c r="E52" s="66">
        <f>+Figures!E67</f>
        <v>93</v>
      </c>
      <c r="H52" s="3">
        <f t="shared" si="7"/>
        <v>1.649999999999999</v>
      </c>
    </row>
    <row r="53" spans="1:8" x14ac:dyDescent="0.25">
      <c r="B53" s="83" t="str">
        <f>+Figures!B68</f>
        <v>Transition probability- MIBC to Metastatic Disease</v>
      </c>
      <c r="C53" s="66">
        <f>+Figures!C68</f>
        <v>93</v>
      </c>
      <c r="D53" s="66">
        <f>+Figures!D68</f>
        <v>93</v>
      </c>
      <c r="E53" s="66">
        <f>+Figures!E68</f>
        <v>93</v>
      </c>
      <c r="H53" s="3">
        <f t="shared" si="7"/>
        <v>1.649999999999999</v>
      </c>
    </row>
    <row r="54" spans="1:8" x14ac:dyDescent="0.25">
      <c r="B54" s="83" t="str">
        <f>+Figures!B69</f>
        <v>Transition probability- Post-Cystectomy to Metastatic Disease</v>
      </c>
      <c r="C54" s="66">
        <f>+Figures!C69</f>
        <v>93</v>
      </c>
      <c r="D54" s="66">
        <f>+Figures!D69</f>
        <v>93</v>
      </c>
      <c r="E54" s="66">
        <f>+Figures!E69</f>
        <v>93</v>
      </c>
      <c r="H54" s="3">
        <f t="shared" si="7"/>
        <v>1.649999999999999</v>
      </c>
    </row>
    <row r="55" spans="1:8" x14ac:dyDescent="0.25">
      <c r="C55" s="66"/>
      <c r="D55" s="66"/>
      <c r="E55" s="66"/>
      <c r="H55" s="3"/>
    </row>
    <row r="56" spans="1:8" x14ac:dyDescent="0.25">
      <c r="B56" s="67" t="s">
        <v>64</v>
      </c>
    </row>
    <row r="57" spans="1:8" x14ac:dyDescent="0.25">
      <c r="A57" t="s">
        <v>39</v>
      </c>
      <c r="B57" s="83" t="str">
        <f>+Figures!B79</f>
        <v>Utility weight - Disease free</v>
      </c>
      <c r="C57" s="66">
        <f>+Figures!C79</f>
        <v>123</v>
      </c>
      <c r="D57" s="66">
        <f>+Figures!D79</f>
        <v>140</v>
      </c>
      <c r="E57" s="66">
        <f>+Figures!E79</f>
        <v>125</v>
      </c>
      <c r="H57" s="3">
        <f>H54-J3</f>
        <v>1.3249999999999991</v>
      </c>
    </row>
    <row r="58" spans="1:8" x14ac:dyDescent="0.25">
      <c r="B58" s="83" t="str">
        <f>+Figures!B80</f>
        <v>Utility weight - Persistent/recurrent NMIBC</v>
      </c>
      <c r="C58" s="66">
        <f>+Figures!C80</f>
        <v>123</v>
      </c>
      <c r="D58" s="66">
        <f>+Figures!D80</f>
        <v>117</v>
      </c>
      <c r="E58" s="66">
        <f>+Figures!E80</f>
        <v>118</v>
      </c>
      <c r="H58" s="3">
        <f t="shared" ref="H58:H59" si="8">H57</f>
        <v>1.3249999999999991</v>
      </c>
    </row>
    <row r="59" spans="1:8" x14ac:dyDescent="0.25">
      <c r="B59" s="83" t="str">
        <f>+Figures!B81</f>
        <v>Utility weight - MIBC</v>
      </c>
      <c r="C59" s="66">
        <f>+Figures!C81</f>
        <v>123</v>
      </c>
      <c r="D59" s="66">
        <f>+Figures!D81</f>
        <v>123</v>
      </c>
      <c r="E59" s="66">
        <f>+Figures!E81</f>
        <v>123</v>
      </c>
      <c r="H59" s="3">
        <f t="shared" si="8"/>
        <v>1.3249999999999991</v>
      </c>
    </row>
    <row r="60" spans="1:8" x14ac:dyDescent="0.25">
      <c r="B60" s="83"/>
      <c r="C60" s="66"/>
      <c r="D60" s="66"/>
      <c r="E60" s="66"/>
      <c r="H60" s="3"/>
    </row>
    <row r="61" spans="1:8" x14ac:dyDescent="0.25">
      <c r="A61" t="s">
        <v>56</v>
      </c>
      <c r="B61" s="83" t="str">
        <f>+Figures!B83</f>
        <v>Health state cost- Disease Free</v>
      </c>
      <c r="C61" s="66">
        <f>+Figures!C83</f>
        <v>123</v>
      </c>
      <c r="D61" s="66">
        <f>+Figures!D83</f>
        <v>123</v>
      </c>
      <c r="E61" s="66">
        <f>+Figures!E83</f>
        <v>120</v>
      </c>
      <c r="H61" s="3">
        <f>H59-J3</f>
        <v>0.99999999999999911</v>
      </c>
    </row>
    <row r="62" spans="1:8" x14ac:dyDescent="0.25">
      <c r="B62" s="83" t="str">
        <f>+Figures!B84</f>
        <v>Health state cost- Persistent/ Recurrent NMIBC</v>
      </c>
      <c r="C62" s="66">
        <f>+Figures!C84</f>
        <v>123</v>
      </c>
      <c r="D62" s="66">
        <f>+Figures!D84</f>
        <v>123</v>
      </c>
      <c r="E62" s="66">
        <f>+Figures!E84</f>
        <v>123</v>
      </c>
      <c r="H62" s="3">
        <f t="shared" ref="H62:H66" si="9">H61</f>
        <v>0.99999999999999911</v>
      </c>
    </row>
    <row r="63" spans="1:8" x14ac:dyDescent="0.25">
      <c r="B63" s="83" t="str">
        <f>+Figures!B85</f>
        <v>Health state cost- MIBC</v>
      </c>
      <c r="C63" s="66">
        <f>+Figures!C85</f>
        <v>123</v>
      </c>
      <c r="D63" s="66">
        <f>+Figures!D85</f>
        <v>123</v>
      </c>
      <c r="E63" s="66">
        <f>+Figures!E85</f>
        <v>123</v>
      </c>
      <c r="H63" s="3">
        <f t="shared" si="9"/>
        <v>0.99999999999999911</v>
      </c>
    </row>
    <row r="64" spans="1:8" x14ac:dyDescent="0.25">
      <c r="B64" s="83" t="str">
        <f>+Figures!B86</f>
        <v>Health state cost- Cystectomy</v>
      </c>
      <c r="C64" s="66">
        <f>+Figures!C86</f>
        <v>123</v>
      </c>
      <c r="D64" s="66">
        <f>+Figures!D86</f>
        <v>123</v>
      </c>
      <c r="E64" s="66">
        <f>+Figures!E86</f>
        <v>123</v>
      </c>
      <c r="H64" s="3">
        <f t="shared" si="9"/>
        <v>0.99999999999999911</v>
      </c>
    </row>
    <row r="65" spans="1:8" x14ac:dyDescent="0.25">
      <c r="B65" s="83" t="str">
        <f>+Figures!B87</f>
        <v>Health state cost- Post-cystectomy</v>
      </c>
      <c r="C65" s="66">
        <f>+Figures!C87</f>
        <v>123</v>
      </c>
      <c r="D65" s="66">
        <f>+Figures!D87</f>
        <v>121</v>
      </c>
      <c r="E65" s="66">
        <f>+Figures!E87</f>
        <v>121</v>
      </c>
      <c r="H65" s="3">
        <f t="shared" si="9"/>
        <v>0.99999999999999911</v>
      </c>
    </row>
    <row r="66" spans="1:8" x14ac:dyDescent="0.25">
      <c r="B66" s="83" t="str">
        <f>+Figures!B88</f>
        <v>Health state cost- Metastatic disease</v>
      </c>
      <c r="C66" s="66">
        <f>+Figures!C88</f>
        <v>123</v>
      </c>
      <c r="D66" s="66">
        <f>+Figures!D88</f>
        <v>123</v>
      </c>
      <c r="E66" s="66">
        <f>+Figures!E88</f>
        <v>123</v>
      </c>
      <c r="H66" s="3">
        <f t="shared" si="9"/>
        <v>0.99999999999999911</v>
      </c>
    </row>
    <row r="67" spans="1:8" x14ac:dyDescent="0.25">
      <c r="B67" s="83"/>
      <c r="C67" s="66"/>
      <c r="D67" s="66"/>
      <c r="E67" s="66"/>
      <c r="H67" s="3"/>
    </row>
    <row r="68" spans="1:8" x14ac:dyDescent="0.25">
      <c r="A68" t="s">
        <v>76</v>
      </c>
      <c r="B68" s="83" t="str">
        <f>+Figures!B90</f>
        <v>Transition probability- Progression to MIBC</v>
      </c>
      <c r="C68" s="66">
        <f>+Figures!C90</f>
        <v>123</v>
      </c>
      <c r="D68" s="66">
        <f>+Figures!D90</f>
        <v>125</v>
      </c>
      <c r="E68" s="66">
        <f>+Figures!E90</f>
        <v>125</v>
      </c>
      <c r="H68" s="3">
        <f>H66-J3</f>
        <v>0.67499999999999916</v>
      </c>
    </row>
    <row r="69" spans="1:8" x14ac:dyDescent="0.25">
      <c r="B69" s="83" t="str">
        <f>+Figures!B91</f>
        <v>Transition probability- NMIBC Cystectomy</v>
      </c>
      <c r="C69" s="66">
        <f>+Figures!C91</f>
        <v>123</v>
      </c>
      <c r="D69" s="66">
        <f>+Figures!D91</f>
        <v>123</v>
      </c>
      <c r="E69" s="66">
        <f>+Figures!E91</f>
        <v>123</v>
      </c>
      <c r="H69" s="3">
        <f t="shared" ref="H69:H72" si="10">H68</f>
        <v>0.67499999999999916</v>
      </c>
    </row>
    <row r="70" spans="1:8" x14ac:dyDescent="0.25">
      <c r="B70" s="83" t="str">
        <f>+Figures!B92</f>
        <v>Transition probability- MIBC Cystectomy</v>
      </c>
      <c r="C70" s="66">
        <f>+Figures!C92</f>
        <v>123</v>
      </c>
      <c r="D70" s="66">
        <f>+Figures!D92</f>
        <v>123</v>
      </c>
      <c r="E70" s="66">
        <f>+Figures!E92</f>
        <v>123</v>
      </c>
      <c r="H70" s="3">
        <f t="shared" si="10"/>
        <v>0.67499999999999916</v>
      </c>
    </row>
    <row r="71" spans="1:8" x14ac:dyDescent="0.25">
      <c r="B71" s="83" t="str">
        <f>+Figures!B93</f>
        <v>Transition probability- MIBC to Metastatic Disease</v>
      </c>
      <c r="C71" s="66">
        <f>+Figures!C93</f>
        <v>123</v>
      </c>
      <c r="D71" s="66">
        <f>+Figures!D93</f>
        <v>123</v>
      </c>
      <c r="E71" s="66">
        <f>+Figures!E93</f>
        <v>123</v>
      </c>
      <c r="H71" s="3">
        <f t="shared" si="10"/>
        <v>0.67499999999999916</v>
      </c>
    </row>
    <row r="72" spans="1:8" x14ac:dyDescent="0.25">
      <c r="B72" s="83" t="str">
        <f>+Figures!B94</f>
        <v>Transition probability- Post-Cystectomy to Metastatic Disease</v>
      </c>
      <c r="C72" s="66">
        <f>+Figures!C94</f>
        <v>123</v>
      </c>
      <c r="D72" s="66">
        <f>+Figures!D94</f>
        <v>123</v>
      </c>
      <c r="E72" s="66">
        <f>+Figures!E94</f>
        <v>123</v>
      </c>
      <c r="H72" s="3">
        <f t="shared" si="10"/>
        <v>0.67499999999999916</v>
      </c>
    </row>
    <row r="74" spans="1:8" x14ac:dyDescent="0.25">
      <c r="F74">
        <v>100</v>
      </c>
      <c r="H74">
        <v>0</v>
      </c>
    </row>
    <row r="75" spans="1:8" x14ac:dyDescent="0.25">
      <c r="F75">
        <v>100</v>
      </c>
      <c r="H75">
        <v>5</v>
      </c>
    </row>
    <row r="77" spans="1:8" x14ac:dyDescent="0.25">
      <c r="G77">
        <v>150</v>
      </c>
      <c r="H77">
        <v>0</v>
      </c>
    </row>
    <row r="78" spans="1:8" x14ac:dyDescent="0.25">
      <c r="G78">
        <v>150</v>
      </c>
      <c r="H78">
        <v>5</v>
      </c>
    </row>
    <row r="85" spans="1:1" x14ac:dyDescent="0.25">
      <c r="A85" s="9"/>
    </row>
    <row r="86" spans="1:1" x14ac:dyDescent="0.25">
      <c r="A86" s="9"/>
    </row>
    <row r="87" spans="1:1" x14ac:dyDescent="0.25">
      <c r="A87" s="9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Display</vt:lpstr>
      <vt:lpstr>Table 5-5 - inputs</vt:lpstr>
      <vt:lpstr>Table 5-5</vt:lpstr>
      <vt:lpstr>Table 5-5 fmt</vt:lpstr>
      <vt:lpstr>Table 5-6 - inputs</vt:lpstr>
      <vt:lpstr>Table 5-6</vt:lpstr>
      <vt:lpstr>Table 5-6 fmt</vt:lpstr>
      <vt:lpstr>Table 5-7 - inputs</vt:lpstr>
      <vt:lpstr>Table 5-7</vt:lpstr>
      <vt:lpstr>Table 5-7 fmt</vt:lpstr>
      <vt:lpstr>Figures</vt:lpstr>
      <vt:lpstr>Figures - main</vt:lpstr>
      <vt:lpstr>Benchmark1</vt:lpstr>
      <vt:lpstr>Benchmark2</vt:lpstr>
      <vt:lpstr>CE_Scale</vt:lpstr>
      <vt:lpstr>RoundPlace</vt:lpstr>
      <vt:lpstr>'Table 5-6'!xRoundPlace</vt:lpstr>
      <vt:lpstr>'Table 5-7'!xRoundPlace</vt:lpstr>
    </vt:vector>
  </TitlesOfParts>
  <Company>Tufts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Cohen, Joshua</dc:creator>
  <cp:lastModifiedBy>Cohen, Joshua</cp:lastModifiedBy>
  <dcterms:created xsi:type="dcterms:W3CDTF">2023-10-10T16:37:24Z</dcterms:created>
  <dcterms:modified xsi:type="dcterms:W3CDTF">2023-11-23T15:48:05Z</dcterms:modified>
</cp:coreProperties>
</file>