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emf" ContentType="image/x-emf"/>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4.xml" ContentType="application/vnd.openxmlformats-officedocument.spreadsheetml.comments+xml"/>
  <Override PartName="/xl/tables/table3.xml" ContentType="application/vnd.openxmlformats-officedocument.spreadsheetml.table+xml"/>
  <Override PartName="/xl/worksheets/sheet6.xml" ContentType="application/vnd.openxmlformats-officedocument.spreadsheetml.worksheet+xml"/>
  <Override PartName="/xl/comments5.xml" ContentType="application/vnd.openxmlformats-officedocument.spreadsheetml.comments+xml"/>
  <Override PartName="/xl/drawings/drawing2.xml" ContentType="application/vnd.openxmlformats-officedocument.drawing+xml"/>
  <Override PartName="/xl/drawings/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7.xml" ContentType="application/vnd.openxmlformats-officedocument.spreadsheetml.worksheet+xml"/>
  <Override PartName="/xl/comments6.xml" ContentType="application/vnd.openxmlformats-officedocument.spreadsheetml.comments+xml"/>
  <Override PartName="/xl/drawings/drawing3.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9.xml" ContentType="application/vnd.openxmlformats-officedocument.spreadsheetml.worksheet+xml"/>
  <Override PartName="/xl/comments7.xml" ContentType="application/vnd.openxmlformats-officedocument.spreadsheetml.comments+xml"/>
  <Override PartName="/xl/drawings/drawing5.xml" ContentType="application/vnd.openxmlformats-officedocument.drawing+xml"/>
  <Override PartName="/xl/tables/table1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408ceef62344e16" /></Relationships>
</file>

<file path=xl/workbook.xml><?xml version="1.0" encoding="utf-8"?>
<x:workbook xmlns:x="http://schemas.openxmlformats.org/spreadsheetml/2006/main">
  <x:bookViews>
    <x:workbookView xWindow="0" yWindow="0" windowWidth="24000" windowHeight="12000" activeTab="0"/>
  </x:bookViews>
  <x:sheets>
    <x:sheet xmlns:r="http://schemas.openxmlformats.org/officeDocument/2006/relationships" name="Matriz" sheetId="5" r:id="Rd07d8c3f5a1a430c"/>
    <x:sheet xmlns:r="http://schemas.openxmlformats.org/officeDocument/2006/relationships" name="Reportes" sheetId="11" r:id="R8a4ee15d91644fca"/>
    <x:sheet xmlns:r="http://schemas.openxmlformats.org/officeDocument/2006/relationships" name="TCO" sheetId="19" r:id="R4c77275020ea45c2"/>
    <x:sheet xmlns:r="http://schemas.openxmlformats.org/officeDocument/2006/relationships" name="Referencias" sheetId="9" r:id="R879b1b138f374315"/>
    <x:sheet xmlns:r="http://schemas.openxmlformats.org/officeDocument/2006/relationships" name="Glosario" sheetId="17" r:id="R2b65facb817b4b87"/>
    <x:sheet xmlns:r="http://schemas.openxmlformats.org/officeDocument/2006/relationships" name="Tab" sheetId="2" r:id="Rfab1a48fa65540c8"/>
    <x:sheet xmlns:r="http://schemas.openxmlformats.org/officeDocument/2006/relationships" name="Escalas" sheetId="3" r:id="R2940292a6b304c6d"/>
    <x:sheet xmlns:r="http://schemas.openxmlformats.org/officeDocument/2006/relationships" name="Objetivo" sheetId="8" r:id="Rbff00e34bcd745c9"/>
    <x:sheet xmlns:r="http://schemas.openxmlformats.org/officeDocument/2006/relationships" name="VPN4" sheetId="13" r:id="R047ad90a4a9d44e1"/>
  </x:sheets>
  <x:definedNames>
    <x:definedName name="__123Graph_A" hidden="1">#REF!</x:definedName>
    <x:definedName name="__123Graph_B" hidden="1">#REF!</x:definedName>
    <x:definedName name="__123Graph_C" hidden="1">#REF!</x:definedName>
    <x:definedName name="__123Graph_D" hidden="1">#REF!</x:definedName>
    <x:definedName name="__123Graph_E" hidden="1">#REF!</x:definedName>
    <x:definedName name="__123Graph_F" hidden="1">#REF!</x:definedName>
    <x:definedName name="__123Graph_X" hidden="1">#REF!</x:definedName>
    <x:definedName name="__123Graph_XCurrent" hidden="1">#REF!</x:definedName>
    <x:definedName name="__123Graph_XGrßfico1" hidden="1">#REF!</x:definedName>
    <x:definedName name="__123Graph_XGrßfico2" hidden="1">#REF!</x:definedName>
    <x:definedName name="__123Graph_XGrßfico3" hidden="1">#REF!</x:definedName>
    <x:definedName name="__123Graph_XGrßfico4" hidden="1">#REF!</x:definedName>
    <x:definedName name="__123Graph_XGrßfico9" hidden="1">#REF!</x:definedName>
    <x:definedName name="_1__123Graph_ATTL_DEV_EXP" hidden="1">#REF!</x:definedName>
    <x:definedName name="_2__123Graph_BTTL_DEV_EXP" hidden="1">#REF!</x:definedName>
    <x:definedName name="_3__123Graph_CTTL_DEV_EXP" hidden="1">#REF!</x:definedName>
    <x:definedName name="_4__123Graph_XTTL_DEV_EXP" hidden="1">#REF!</x:definedName>
    <x:definedName name="_Fill" hidden="1">#REF!</x:definedName>
    <x:definedName name="_gar01" hidden="1">#REF!</x:definedName>
    <x:definedName name="_gar02" hidden="1">#REF!</x:definedName>
    <x:definedName name="_Key1" hidden="1">#REF!</x:definedName>
    <x:definedName name="_Key2" hidden="1">#REF!</x:definedName>
    <x:definedName name="_Sort" hidden="1">#REF!</x:definedName>
    <x:definedName name="AAAAAAHHHHHHHHHH" hidden="1">#REF!</x:definedName>
    <x:definedName name="abge" hidden="1">#REF!</x:definedName>
    <x:definedName name="ABIPN" hidden="1">#REF!</x:definedName>
    <x:definedName name="angelo" hidden="1">#REF!</x:definedName>
    <x:definedName name="AOÓ´N" hidden="1">#REF!</x:definedName>
    <x:definedName name="BBBBBBBBBBBB6666666" hidden="1">#REF!</x:definedName>
    <x:definedName name="Cargas" hidden="1">#REF!</x:definedName>
    <x:definedName name="carlos" hidden="1">#REF!</x:definedName>
    <x:definedName name="Catego">Categoría[Categoría]</x:definedName>
    <x:definedName name="cfg" hidden="1">#REF!</x:definedName>
    <x:definedName name="cindy5" hidden="1">#REF!</x:definedName>
    <x:definedName name="CMOM´DVOMÁ" hidden="1">#REF!</x:definedName>
    <x:definedName name="DF" hidden="1">#REF!</x:definedName>
    <x:definedName name="dweh" hidden="1">#REF!</x:definedName>
    <x:definedName name="ESC">#REF!</x:definedName>
    <x:definedName name="EscalaC">Escalas!$G$4:$G$14</x:definedName>
    <x:definedName name="EscalaCA">Escalas!$G$16:$G$21</x:definedName>
    <x:definedName name="EscalaCB">Escalas!$G$23:$G$28</x:definedName>
    <x:definedName name="EscalaCC">Escalas!$G$30:$G$35</x:definedName>
    <x:definedName name="EscalaCD">Escalas!$G$37:$G$41</x:definedName>
    <x:definedName name="EscalaDB">Escalas!$G$43:$G$48</x:definedName>
    <x:definedName name="EscalaDC">Escalas!$G$50:$G$55</x:definedName>
    <x:definedName name="EscalaE">Escalas!$G$57:$G$64</x:definedName>
    <x:definedName name="EscalaF">Escalas!$G$66:$G$70</x:definedName>
    <x:definedName name="EscalaI">Escalas!$G$72:$G$82</x:definedName>
    <x:definedName name="EscalaK">Escalas!$G$84:$G$94</x:definedName>
    <x:definedName name="EscalaL">Escalas!$G$96:$G$106</x:definedName>
    <x:definedName name="EscalaM">Escalas!$G$108:$G$118</x:definedName>
    <x:definedName name="EscalaN">Escalas!$G$120:$G$121</x:definedName>
    <x:definedName name="EscalaO">Escalas!$G$123:$G$128</x:definedName>
    <x:definedName name="EscalaQ">Escalas!$G$137:$G$147</x:definedName>
    <x:definedName name="EscalaR">Escalas!$G$149:$G$158</x:definedName>
    <x:definedName name="EscalaS">Escalas!$G$160:$G$161</x:definedName>
    <x:definedName name="EscalaT">Escalas!$G$204:$G$214</x:definedName>
    <x:definedName name="EscalaU">Escalas!$G$216:$G$226</x:definedName>
    <x:definedName name="EscalaV">Escalas!$G$163:$G$173</x:definedName>
    <x:definedName name="EscalaVA">Escalas!$G$175:$G$181</x:definedName>
    <x:definedName name="EscalaVB">Escalas!$G$183:$G$188</x:definedName>
    <x:definedName name="EscalaVC">Escalas!$G$190:$G$195</x:definedName>
    <x:definedName name="EscalaVD">Escalas!$G$197:$G$202</x:definedName>
    <x:definedName name="EscaList">Escalas!$B$2:$B$241</x:definedName>
    <x:definedName name="fa" hidden="1">#REF!</x:definedName>
    <x:definedName name="FFFFFFFJJJJJJJ" hidden="1">#REF!</x:definedName>
    <x:definedName name="FormPago">FormPayLic[Forma de pago licencias]</x:definedName>
    <x:definedName name="FormPayBolsa">FormPayBols[Forma de pago bolsa de horas]</x:definedName>
    <x:definedName name="FormPayConsult">FormPayCons[Forma de pago consultoría]</x:definedName>
    <x:definedName name="FSDH" hidden="1">#REF!</x:definedName>
    <x:definedName name="gar" hidden="1">#REF!</x:definedName>
    <x:definedName name="giovanni" hidden="1">#REF!</x:definedName>
    <x:definedName name="graph" hidden="1">#REF!</x:definedName>
    <x:definedName name="GRTBN" hidden="1">#REF!</x:definedName>
    <x:definedName name="guerre" hidden="1">#REF!</x:definedName>
    <x:definedName name="h" hidden="1">#REF!</x:definedName>
    <x:definedName name="HGG" hidden="1">#REF!</x:definedName>
    <x:definedName name="HHHHHHHHHHHHHHKKKKKKK" hidden="1">#REF!</x:definedName>
    <x:definedName name="HHHHHHHHLLLLLLLLL" hidden="1">#REF!</x:definedName>
    <x:definedName name="HJ" hidden="1">#REF!</x:definedName>
    <x:definedName name="hope" hidden="1">#REF!</x:definedName>
    <x:definedName name="hope18" hidden="1">#REF!</x:definedName>
    <x:definedName name="JH" hidden="1">#REF!</x:definedName>
    <x:definedName name="jkl" hidden="1">#REF!</x:definedName>
    <x:definedName name="julio" hidden="1">#REF!</x:definedName>
    <x:definedName name="luis" hidden="1">#REF!</x:definedName>
    <x:definedName name="marco" hidden="1">#REF!</x:definedName>
    <x:definedName name="MON">#REF!</x:definedName>
    <x:definedName name="MONLIST">TRM[MON]</x:definedName>
    <x:definedName name="MONREP">#REF!</x:definedName>
    <x:definedName name="MonScale_">MonScale[Escala]</x:definedName>
    <x:definedName name="MONUNIT">TCO!#REF!</x:definedName>
    <x:definedName name="nada" hidden="1">#REF!</x:definedName>
    <x:definedName name="NNNNNNNNNNNKKKKKKK" hidden="1">#REF!</x:definedName>
    <x:definedName name="nR" hidden="1">#REF!</x:definedName>
    <x:definedName name="Oferentes">Matriz!#REF!</x:definedName>
    <x:definedName name="Parám">Parámetro[Parámetro]</x:definedName>
    <x:definedName name="PAYMETH">FormPayLic[Forma de pago licencias]</x:definedName>
    <x:definedName name="pedro" hidden="1">#REF!</x:definedName>
    <x:definedName name="PROYRH">#REF!</x:definedName>
    <x:definedName name="RMCOptions">"*100000000000000"</x:definedName>
    <x:definedName name="rual6" hidden="1">#REF!</x:definedName>
    <x:definedName name="SAPBEXdnldView" hidden="1">"4L7RP4JAZJTOELUN0YLS295VZ"</x:definedName>
    <x:definedName name="SAPBEXsysID" hidden="1">"SPW"</x:definedName>
    <x:definedName name="sasa" hidden="1">#REF!</x:definedName>
    <x:definedName name="sdfr" hidden="1">#REF!</x:definedName>
    <x:definedName name="SíNo">SiNo[S/N]</x:definedName>
    <x:definedName name="spend">OFFSET(start,1,3,rows,1)</x:definedName>
    <x:definedName name="Spend1">OFFSET(Start1,1,3,Rows1,1)</x:definedName>
    <x:definedName name="SSSSSSSSBG" hidden="1">#REF!</x:definedName>
    <x:definedName name="SSSSSSSSGGGGGGGGGG" hidden="1">#REF!</x:definedName>
    <x:definedName name="TCO">TCO!$K$44</x:definedName>
    <x:definedName name="TDESC">#REF!</x:definedName>
    <x:definedName name="tyler" hidden="1">#REF!</x:definedName>
    <x:definedName name="UHDFH" hidden="1">#REF!</x:definedName>
    <x:definedName name="UNI_AA_VERSION" hidden="1">"320.2.0"</x:definedName>
    <x:definedName name="UNI_PRES_CLOSEST" hidden="1">512</x:definedName>
    <x:definedName name="UNI_PRES_FILTER" hidden="1">1</x:definedName>
    <x:definedName name="UNI_PRES_HEADINGS" hidden="1">16</x:definedName>
    <x:definedName name="UNI_PRES_INVERT" hidden="1">2</x:definedName>
    <x:definedName name="UNI_PRES_MATRIX" hidden="1">4</x:definedName>
    <x:definedName name="UNI_PRES_MERGED" hidden="1">8</x:definedName>
    <x:definedName name="UNI_PRES_MRECORD" hidden="1">64</x:definedName>
    <x:definedName name="UNI_PRES_POST" hidden="1">256</x:definedName>
    <x:definedName name="UNI_PRES_PRIOR" hidden="1">2048</x:definedName>
    <x:definedName name="UNI_PRES_RECENT" hidden="1">1024</x:definedName>
    <x:definedName name="UNI_PRES_STATIC" hidden="1">128</x:definedName>
    <x:definedName name="UNI_PRES_TRANSPOSE" hidden="1">4096</x:definedName>
    <x:definedName name="UNI_RET_ATTRIB" hidden="1">64</x:definedName>
    <x:definedName name="UNI_RET_CONF" hidden="1">32</x:definedName>
    <x:definedName name="UNI_RET_DESC" hidden="1">4</x:definedName>
    <x:definedName name="UNI_RET_TAG" hidden="1">1</x:definedName>
    <x:definedName name="UNI_RET_TIME" hidden="1">8</x:definedName>
    <x:definedName name="UNI_RET_UNIT" hidden="1">2</x:definedName>
    <x:definedName name="UNI_RET_VALUE" hidden="1">16</x:definedName>
    <x:definedName name="VVVVVVVVVVVRRRRRRRRR" hidden="1">#REF!</x:definedName>
    <x:definedName name="wq" hidden="1">#REF!</x:definedName>
    <x:definedName name="WWWWWWTTTTT" hidden="1">#REF!</x:definedName>
    <x:definedName name="Y" hidden="1">#REF!</x:definedName>
    <x:definedName name="YDS" hidden="1">#REF!</x:definedName>
    <x:definedName name="yes" hidden="1">#REF!</x:definedName>
    <x:definedName name="YMAX">Matriz!#REF!</x:definedName>
    <x:definedName name="Ymin">Matriz!#REF!</x:definedName>
    <x:definedName name="YRESS" hidden="1">#REF!</x:definedName>
    <x:definedName name="YREYR" hidden="1">#REF!</x:definedName>
    <x:definedName name="YSRD" hidden="1">#REF!</x:definedName>
    <x:definedName name="ytr" hidden="1">#REF!</x:definedName>
    <x:definedName name="Z_E56B2C79_EF8E_4D28_B06F_C444E3529078_.wvu.PrintArea" hidden="1">#REF!</x:definedName>
    <x:definedName name="Catego" localSheetId="8">Categoría[Categoría]</x:definedName>
    <x:definedName name="MONREP" localSheetId="8">'VPN4'!$C$46</x:definedName>
    <x:definedName name="Parám" localSheetId="8">Parámetro[Parámetro]</x:definedName>
    <x:definedName name="SíNo" localSheetId="8">SiNo[S/N]</x:definedName>
    <x:definedName name="TDESC" localSheetId="8">'VPN4'!$E$98</x:definedName>
  </x:definedNames>
</x:workbook>
</file>

<file path=xl/comments1.xml><?xml version="1.0" encoding="utf-8"?>
<x:comments xmlns:x="http://schemas.openxmlformats.org/spreadsheetml/2006/main">
  <x:authors>
    <x:author>Walter Fernandez Gil</x:author>
  </x:authors>
  <x:commentList>
    <x:comment ref="M2" authorId="0">
      <x:text>
        <x:r>
          <x:t>De responder</x:t>
        </x:r>
      </x:text>
    </x:comment>
    <x:comment ref="O2" authorId="0">
      <x:text>
        <x:r>
          <x:t>▪La pregunta debe quedar respondida antes de contratar la fase n.
▪El requerimiento debe quedar operando a la entrega de la fase n.</x:t>
        </x:r>
      </x:text>
    </x:comment>
    <x:comment ref="R2" authorId="0">
      <x:text>
        <x:r>
          <x:t>Los pesos reflejan la prioridad definida por la PMO. No son negociables durante la evaluación y podrán ajustarse únicamente bajo criterio interno.</x:t>
        </x:r>
      </x:text>
    </x:comment>
    <x:comment ref="S2" authorId="0">
      <x:text>
        <x:r>
          <x:t>👉 Esta columna no la llena el oferente, la llena la PMO.</x:t>
        </x:r>
      </x:text>
    </x:comment>
    <x:comment ref="N52" authorId="0">
      <x:text>
        <x:r>
          <x:t>¿Cuántos meses de operación básica le tomaría a 1 usuario capacitado llegar a dominar ±75% la herramienta en cada respectiva fase?</x:t>
        </x:r>
      </x:text>
    </x:comment>
  </x:commentList>
</x:comments>
</file>

<file path=xl/comments2.xml><?xml version="1.0" encoding="utf-8"?>
<x:comments xmlns:x="http://schemas.openxmlformats.org/spreadsheetml/2006/main">
  <x:authors>
    <x:author>Walter Fernandez Gil</x:author>
  </x:authors>
  <x:commentList>
    <x:comment ref="C7" authorId="0">
      <x:text>
        <x:r>
          <x:t>Control total de la infraestructura, hardware, red, permisos, licencias, integraciones (con el ERP o Active Directory) y la seguridad global informática.</x:t>
        </x:r>
      </x:text>
    </x:comment>
    <x:comment ref="C8" authorId="0">
      <x:text>
        <x:r>
          <x:t>Configura metodologías, flujos de la PMO. Creación plantillas, iniciativas, proyectos, tareas, amarres y recursos. Asignación recursos. Fórmulas, campos personalizados, creación vistas. Soporte interno.</x:t>
        </x:r>
      </x:text>
    </x:comment>
    <x:comment ref="C9" authorId="0">
      <x:text>
        <x:r>
          <x:t>Acceso técnico para revisión de fórmulas, permisos y flujos de trabajo</x:t>
        </x:r>
      </x:text>
    </x:comment>
    <x:comment ref="C10" authorId="0">
      <x:text>
        <x:r>
          <x:t>Creación de iniciativas, presupuestos preliminares, flujos de caja y cargas de Excel. Formulación (Project Charter), presentaciones y reportes ejecutivos. Ctrl financiero</x:t>
        </x:r>
      </x:text>
    </x:comment>
    <x:comment ref="C11" authorId="0">
      <x:text>
        <x:r>
          <x:t>Gestión del día a día, asignación de tareas, cronogramas, revisión reportes de avance y ruta(s) crítica(s) . Supervisión reportes y comentarios ejecutivos.</x:t>
        </x:r>
      </x:text>
    </x:comment>
    <x:comment ref="C12" authorId="0">
      <x:text>
        <x:r>
          <x:t>Actualización de sus propias tareas, registro de tiempos y carga de entregables. Actualización fechas y %'s de ejecución.</x:t>
        </x:r>
      </x:text>
    </x:comment>
    <x:comment ref="C13" authorId="0">
      <x:text>
        <x:r>
          <x:t>Consulta de tableros (dashboards), reportes ejecutivos e indicadores de gestión. Posibilidad de entrar al detalle hasta cierto nivel.</x:t>
        </x:r>
      </x:text>
    </x:comment>
    <x:comment ref="A30" authorId="0">
      <x:text>
        <x:r>
          <x:t>Se espera que los precios de las licencias incluyan plan de parches, upgrades y soporte casa matriz. De lo contrario, debe ser indicado por la firma oferente e insertar la respectiva fila(s) que, a su vez, debe(n) ser sumada en los totales.</x:t>
        </x:r>
      </x:text>
    </x:comment>
  </x:commentList>
</x:comments>
</file>

<file path=xl/comments3.xml><?xml version="1.0" encoding="utf-8"?>
<x:comments xmlns:x="http://schemas.openxmlformats.org/spreadsheetml/2006/main">
  <x:authors>
    <x:author>Walter Fernandez Gil</x:author>
  </x:authors>
  <x:commentList>
    <x:comment ref="K1" authorId="0">
      <x:text>
        <x:r>
          <x:t>Por ejemplo: Ingeniería, obra civil, obra pública, proyecto industrial, refinería, petrolera, electrificadora, caldera, empresarial, software, etc.</x:t>
        </x:r>
      </x:text>
    </x:comment>
  </x:commentList>
</x:comments>
</file>

<file path=xl/comments4.xml><?xml version="1.0" encoding="utf-8"?>
<x:comments xmlns:x="http://schemas.openxmlformats.org/spreadsheetml/2006/main">
  <x:authors>
    <x:author>Walter Fernandez Gil</x:author>
  </x:authors>
  <x:commentList>
    <x:comment ref="F26" authorId="0">
      <x:text>
        <x:r>
          <x:t>Definición habitual: Período desde que el usuario "toca" o usa el sistema por primera vez durante la implementación (en la fase de capacitación) y continúa mucho después de que el software ya está "en vivo".
Definición original WFG (antes de bifurcar la Curva de aprendizaje): Para efectos de este comparativo, será el período desde que el software está listo (fin de la implementación) hasta que al menos 1 usuario de la PMO lo domina</x:t>
        </x:r>
      </x:text>
    </x:comment>
    <x:comment ref="F115" authorId="0">
      <x:text>
        <x:r>
          <x:t>Ayuda a decidir si un software es realmente barato o caro a largo plazo. Por ejemplo, un software de "código abierto" puede no tener costo de licencia, pero su TCO  podría ser más alto que uno de pago si requiere mucho personal especializado para mantenerlo.</x:t>
        </x:r>
      </x:text>
    </x:comment>
  </x:commentList>
</x:comments>
</file>

<file path=xl/comments5.xml><?xml version="1.0" encoding="utf-8"?>
<x:comments xmlns:x="http://schemas.openxmlformats.org/spreadsheetml/2006/main">
  <x:authors>
    <x:author>Walter Fernandez Gil</x:author>
  </x:authors>
  <x:commentList>
    <x:comment ref="G2" authorId="0">
      <x:text>
        <x:r>
          <x:t>No "indispensable", pero sí súper importante</x:t>
        </x:r>
      </x:text>
    </x:comment>
    <x:comment ref="Y10" authorId="0">
      <x:text>
        <x:r>
          <x:t>Incluye Modelo Comercial</x:t>
        </x:r>
      </x:text>
    </x:comment>
  </x:commentList>
</x:comments>
</file>

<file path=xl/comments6.xml><?xml version="1.0" encoding="utf-8"?>
<x:comments xmlns:x="http://schemas.openxmlformats.org/spreadsheetml/2006/main">
  <x:authors>
    <x:author>Walter Fernandez Gil</x:author>
  </x:authors>
  <x:commentList>
    <x:comment ref="F1" authorId="0">
      <x:text>
        <x:r>
          <x:t>La PMO se reserva el derecho de ajustar la calificación si la evidencia no es verificable</x:t>
        </x:r>
      </x:text>
    </x:comment>
  </x:commentList>
</x:comments>
</file>

<file path=xl/comments7.xml><?xml version="1.0" encoding="utf-8"?>
<x:comments xmlns:x="http://schemas.openxmlformats.org/spreadsheetml/2006/main">
  <x:authors>
    <x:author>Walter Fernandez Gil</x:author>
  </x:authors>
  <x:commentList>
    <x:comment ref="F2" authorId="0">
      <x:text>
        <x:r>
          <x:t>Día cero:
▪Pedido emitido.
▪Anticipo pagado.
▪Kick off meeting.
Estimado= 09-jul-2026</x:t>
        </x:r>
      </x:text>
    </x:comment>
  </x:commentList>
</x:comments>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<x:sst xmlns:x="http://schemas.openxmlformats.org/spreadsheetml/2006/main">
  <x:si>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r>
      <x:rPr>
        <x:b/>
        <x:sz val="800"/>
        <x:color rgb="FF000000"/>
      </x:rPr>
      <x:t xml:space="preserve">Respuestas Oferente (</x:t>
    </x:r>
    <x:r>
      <x:rPr>
        <x:b/>
        <x:sz val="800"/>
        <x:color rgb="FF000000"/>
        <x:rFont val="Aptos Narrow"/>
        <x:family val="2"/>
      </x:rPr>
      <x:t xml:space="preserve">Ω</x:t>
    </x:r>
    <x:r>
      <x:rPr>
        <x:b/>
        <x:sz val="800"/>
        <x:color rgb="FF000000"/>
        <x:rFont val="Calibri"/>
        <x:family val="2"/>
        <x:scheme val="minor"/>
      </x:rPr>
      <x:t xml:space="preserve">)</x:t>
    </x:r>
  </x:si>
  <x:si>
    <x:t xml:space="preserve">Cat</x:t>
  </x:si>
  <x:si>
    <x:t xml:space="preserve">Categoría</x:t>
  </x:si>
  <x:si>
    <x:t xml:space="preserve">Par</x:t>
  </x:si>
  <x:si>
    <x:t xml:space="preserve">Parámetro</x:t>
  </x:si>
  <x:si>
    <x:t xml:space="preserve">EDT</x:t>
  </x:si>
  <x:si>
    <x:t xml:space="preserve"># reque-rimientos</x:t>
  </x:si>
  <x:si>
    <x:t xml:space="preserve">Res</x:t>
  </x:si>
  <x:si>
    <x:t xml:space="preserve">Niv</x:t>
  </x:si>
  <x:si>
    <x:t xml:space="preserve">Requerimiento</x:t>
  </x:si>
  <x:si>
    <x:t xml:space="preserve">Und</x:t>
  </x:si>
  <x:si>
    <x:t xml:space="preserve">Comentario provisional</x:t>
  </x:si>
  <x:si>
    <x:t xml:space="preserve">Respuesta IA</x:t>
  </x:si>
  <x:si>
    <x:t xml:space="preserve">Responsable</x:t>
  </x:si>
  <x:si>
    <x:t xml:space="preserve">Explicación</x:t>
  </x:si>
  <x:si>
    <x:t xml:space="preserve">PMO Nivel</x:t>
  </x:si>
  <x:si>
    <x:t xml:space="preserve">Indis-pensable</x:t>
  </x:si>
  <x:si>
    <x:t xml:space="preserve">Diferen-ciador</x:t>
  </x:si>
  <x:si>
    <x:t xml:space="preserve">Impor-tancia</x:t>
  </x:si>
  <x:si>
    <x:t xml:space="preserve">Escala</x:t>
  </x:si>
  <x:si>
    <x:t xml:space="preserve">Sign</x:t>
  </x:si>
  <x:si>
    <x:t xml:space="preserve">Límite</x:t>
  </x:si>
  <x:si>
    <x:t xml:space="preserve">Costo opcional</x:t>
  </x:si>
  <x:si>
    <x:t xml:space="preserve">Documento por anexar</x:t>
  </x:si>
  <x:si>
    <x:t xml:space="preserve">Respuesta Ω</x:t>
  </x:si>
  <x:si>
    <x:t xml:space="preserve"> Costo adicional</x:t>
  </x:si>
  <x:si>
    <x:t xml:space="preserve"> Comentarios Ω</x:t>
  </x:si>
  <x:si>
    <x:t xml:space="preserve">Riesgo / Observación PMO</x:t>
  </x:si>
  <x:si>
    <x:t xml:space="preserve"> Calificación 01</x:t>
  </x:si>
  <x:si>
    <x:t xml:space="preserve">Total</x:t>
  </x:si>
  <x:si>
    <x:t xml:space="preserve">Casa matriz; Consultor</x:t>
  </x:si>
  <x:si>
    <x:t xml:space="preserve">Plataforma &amp; Arquitectura</x:t>
  </x:si>
  <x:si>
    <x:t xml:space="preserve">Casa matriz</x:t>
  </x:si>
  <x:si>
    <x:t xml:space="preserve">E Estabilidad y robustez del sistema</x:t>
  </x:si>
  <x:si>
    <x:t xml:space="preserve">Plataforma y robustez</x:t>
  </x:si>
  <x:si>
    <x:t xml:space="preserve">Online o SAAS (Software como Servicio en la Nube)</x:t>
  </x:si>
  <x:si>
    <x:t xml:space="preserve">Funciona en la nube. No requiere servidor(es) dedicado(s)</x:t>
  </x:si>
  <x:si>
    <x:t xml:space="preserve">Sí</x:t>
  </x:si>
  <x:si>
    <x:t xml:space="preserve">K Capacidad Técnica / Funcional</x:t>
  </x:si>
  <x:si>
    <x:t xml:space="preserve">≥</x:t>
  </x:si>
  <x:si>
    <x:t xml:space="preserve">Arquitectura lógica (1–2 láminas)</x:t>
  </x:si>
  <x:si>
    <x:t xml:space="preserve">Confidencialidad y Seguridad de la información</x:t>
  </x:si>
  <x:si>
    <x:t xml:space="preserve">No debe ser posible que un tercero penetre sin los permisos requeridos</x:t>
  </x:si>
  <x:si>
    <x:t xml:space="preserve">Multiusuario</x:t>
  </x:si>
  <x:si>
    <x:t xml:space="preserve">Varios usuarios pueden estar modificando un mismo proyecto/portafolio/documento simultáneamente</x:t>
  </x:si>
  <x:si>
    <x:t xml:space="preserve">Multidispositivo</x:t>
  </x:si>
  <x:si>
    <x:t xml:space="preserve">Cualquier usuario puede entrar desde cualquier dispositivo: PC, tablet o celular para consultar o actualizar información</x:t>
  </x:si>
  <x:si>
    <x:t xml:space="preserve">Multidimensión</x:t>
  </x:si>
  <x:si>
    <x:t xml:space="preserve">Permite organizar "cubos" de información</x:t>
  </x:si>
  <x:si>
    <x:t xml:space="preserve">Multiaccesibilidad</x:t>
  </x:si>
  <x:si>
    <x:t xml:space="preserve">Cualquier usuario, con la debida administración de permisos, debe estar en capacidad de ver la información de cualquier proyecto de la compañía en el mundo</x:t>
  </x:si>
  <x:si>
    <x:t xml:space="preserve">Flexibilidad para cambiar cantidad de usuarios. Agregar/Desactivar licencias</x:t>
  </x:si>
  <x:si>
    <x:t xml:space="preserve">V Modelo Comercial</x:t>
  </x:si>
  <x:si>
    <x:t xml:space="preserve">Reporte cuentas o licencias y fecha de último uso por usuario</x:t>
  </x:si>
  <x:si>
    <x:t xml:space="preserve">Requerimientos del Sistema</x:t>
  </x:si>
  <x:si>
    <x:t xml:space="preserve">¿Escala o pregunta abierta?</x:t>
  </x:si>
  <x:si>
    <x:t xml:space="preserve">RAM, tarjeta gráfica, servidores, memoria, hardware externo, marca de navegador, etc.</x:t>
  </x:si>
  <x:si>
    <x:t xml:space="preserve">Y Pregunta abierta</x:t>
  </x:si>
  <x:si>
    <x:t xml:space="preserve">Listado/Explicación requerimientos del sistema</x:t>
  </x:si>
  <x:si>
    <x:t xml:space="preserve">Información centralizada</x:t>
  </x:si>
  <x:si>
    <x:t xml:space="preserve">Facilita que todos los usuarios puedan consultar la información</x:t>
  </x:si>
  <x:si>
    <x:t xml:space="preserve">Trabajo cooperativo</x:t>
  </x:si>
  <x:si>
    <x:t xml:space="preserve">Facilita flujos de trabajo. Permisos y aprobación de documentos y datos.</x:t>
  </x:si>
  <x:si>
    <x:t xml:space="preserve">Posible trabajo eventual fuera de línea y restablecimiento fácil en caso de caída de Internet</x:t>
  </x:si>
  <x:si>
    <x:t xml:space="preserve">Posibilita que el usuario agregue tareas, edite fechas, etc. Sin conexión a Internet. Los datos serán cargados cuando se conecte a una red, sin crear conflictos de sincronización</x:t>
  </x:si>
  <x:si>
    <x:t xml:space="preserve">Capacidad cantidad de proyectos</x:t>
  </x:si>
  <x:si>
    <x:t xml:space="preserve">#</x:t>
  </x:si>
  <x:si>
    <x:t xml:space="preserve">Z Tiempos y capacidad máxima</x:t>
  </x:si>
  <x:si>
    <x:t xml:space="preserve">Capacidad usuarios total</x:t>
  </x:si>
  <x:si>
    <x:r>
      <x:rPr>
        <x:sz val="8"/>
        <x:rFont val="Aptos Narrow"/>
        <x:family val="2"/>
      </x:rPr>
      <x:t xml:space="preserve">≥</x:t>
    </x:r>
    <x:r>
      <x:rPr>
        <x:sz val="8"/>
        <x:rFont val="Calibri"/>
        <x:family val="2"/>
        <x:scheme val="minor"/>
      </x:rPr>
      <x:t xml:space="preserve"> 100 al inicio...≥ 500 en 3 años</x:t>
    </x:r>
  </x:si>
  <x:si>
    <x:t xml:space="preserve">Capacidad usuarios por proyecto</x:t>
  </x:si>
  <x:si>
    <x:t xml:space="preserve">Requerido mínimo ≥ 5</x:t>
  </x:si>
  <x:si>
    <x:t xml:space="preserve">Capacidad usuarios por proyecto en simultáneo</x:t>
  </x:si>
  <x:si>
    <x:t xml:space="preserve">Requerido mínimo ≥ 3</x:t>
  </x:si>
  <x:si>
    <x:t xml:space="preserve">Integridad transaccional, tolerancia a fallos, manejo de concurrencia, prevención de corrupción y pérdida de datos</x:t>
  </x:si>
  <x:si>
    <x:t xml:space="preserve">Arquitectura segura: Los datos (no solo archivos) no se van a "dañar" o corromper</x:t>
  </x:si>
  <x:si>
    <x:t xml:space="preserve">Inteligencia artificial IA incorporada para autoaprendizaje, desarrollo de fórmulas y macros, Indicadores, Reportes ágiles, análisis de datos, creación de módulos, innovación.</x:t>
  </x:si>
  <x:si>
    <x:t xml:space="preserve">¿Cómo se mide?</x:t>
  </x:si>
  <x:si>
    <x:t xml:space="preserve">Predicción de retrasos, dashboards, indicadores y sugerencias automáticas, enriquecimiento de riesgos</x:t>
  </x:si>
  <x:si>
    <x:t xml:space="preserve">Interoperabilidad</x:t>
  </x:si>
  <x:si>
    <x:t xml:space="preserve">Interoperabilidad con SAP</x:t>
  </x:si>
  <x:si>
    <x:t xml:space="preserve">Es difícil medir porque en mi empresa hay mucha "barrera" por las políticas corporativas de seguridad TI</x:t>
  </x:si>
  <x:si>
    <x:t xml:space="preserve">Capacidad para comunicarse, intercambiar datos y utilizar la información compartida con otros sistemas o aplicaciones diferentes, permitiendo "cruzarse", tanto a través de conectores o archivos planos, dadas las políticas TI corporativas (SW)</x:t>
  </x:si>
  <x:si>
    <x:t xml:space="preserve">I Integración e Interoperabilidad</x:t>
  </x:si>
  <x:si>
    <x:t xml:space="preserve">Interoperabilidad con Microsoft Project</x:t>
  </x:si>
  <x:si>
    <x:t xml:space="preserve">Para migrar información actual y, sobre todo, para coordinar con contratistas durante desarrollo de ingeniería y ejecución de proyectos</x:t>
  </x:si>
  <x:si>
    <x:t xml:space="preserve">Interoperabilidad con Microsoft Excel</x:t>
  </x:si>
  <x:si>
    <x:t xml:space="preserve">Para conectar con matrices de avance, data sheets, packing lists, formatos de comisionamiento, listados de instrumentos, etc.</x:t>
  </x:si>
  <x:si>
    <x:t xml:space="preserve">Interoperabilidad con PDF: Interpretación cronogramas principalmente</x:t>
  </x:si>
  <x:si>
    <x:t xml:space="preserve">Recibir cronogramas de proveedores en PDF, interpretarlos y conectarlos fácilmente en el PDF</x:t>
  </x:si>
  <x:si>
    <x:t xml:space="preserve">Interoperabilidad con Microsoft Planner</x:t>
  </x:si>
  <x:si>
    <x:t xml:space="preserve">Planner solo tendría sentido para:
✅ Trabajo operativo personal, por ejemplo:
•	pendientes de diseño
•	revisiones internas
•	tareas sin dependencia dura
•	listas “por hacer”
Pero:
•	🔹 no como sistema oficial del proyecto
•	🔹 no como sustituto de Project
•	🔹 no como fuente de auditoría</x:t>
  </x:si>
  <x:si>
    <x:t xml:space="preserve">Interoperabilidad con Microsoft SharePoint</x:t>
  </x:si>
  <x:si>
    <x:t xml:space="preserve">Interoperabilidad con Microsoft Power BI</x:t>
  </x:si>
  <x:si>
    <x:t xml:space="preserve">Interoperabilidad con Autodesk Forma (Antes ACC)</x:t>
  </x:si>
  <x:si>
    <x:t xml:space="preserve">Interoperabilidad con otra plataforma de diseño ¿Cuál?</x:t>
  </x:si>
  <x:si>
    <x:t xml:space="preserve">Interoperabilidad con archivos SQL, CSV</x:t>
  </x:si>
  <x:si>
    <x:t xml:space="preserve">Integraciones nativas adicionales</x:t>
  </x:si>
  <x:si>
    <x:t xml:space="preserve">Dadas las políticas corporativas actuales de seguridad TI en SW, se le da alta importancia a este rubro</x:t>
  </x:si>
  <x:si>
    <x:t xml:space="preserve">Roadmap (Escalabilidad)</x:t>
  </x:si>
  <x:si>
    <x:t xml:space="preserve">Vigencia Tecnológica: Roadmap de Evolución</x:t>
  </x:si>
  <x:si>
    <x:t xml:space="preserve">Madurez. Probabilidad de escalamiento (mejorar el software) post-venta, Facilidad de expansión posterior. Capacidad portafolio para 1000 proyectos</x:t>
  </x:si>
  <x:si>
    <x:t xml:space="preserve">M Madurez y Vigencia Tecnológica: Roadmap de Evolución</x:t>
  </x:si>
  <x:si>
    <x:t xml:space="preserve">Release Log (historial de cambios) de los últimos 24 meses.</x:t>
  </x:si>
  <x:si>
    <x:t xml:space="preserve">Frecuencia de releases: ¿Cada cuánto hay actualizaciones?</x:t>
  </x:si>
  <x:si>
    <x:t xml:space="preserve">mes</x:t>
  </x:si>
  <x:si>
    <x:t xml:space="preserve">NI MUCHO NI MUY POQUITO. Se compensa con la fila inmediatamente inferior</x:t>
  </x:si>
  <x:si>
    <x:t xml:space="preserve">Una actualización constante es sana, siempre y cuando no se exagere en cuanto parches inútiles</x:t>
  </x:si>
  <x:si>
    <x:t xml:space="preserve">A Costos y tiempos mínimos - Fórmula</x:t>
  </x:si>
  <x:si>
    <x:t xml:space="preserve">≤</x:t>
  </x:si>
  <x:si>
    <x:t xml:space="preserve">Roadmap oficial (PDF)</x:t>
  </x:si>
  <x:si>
    <x:t xml:space="preserve">Calidad y Propósito de las Actualizaciones</x:t>
  </x:si>
  <x:si>
    <x:t xml:space="preserve">Compensa con la anterior: Si la frecuencia de releases es muy seguida, pide calidad.</x:t>
  </x:si>
  <x:si>
    <x:t xml:space="preserve">O Overhaul del software</x:t>
  </x:si>
  <x:si>
    <x:t xml:space="preserve">Changelog de los últimos 24 meses</x:t>
  </x:si>
  <x:si>
    <x:t xml:space="preserve">Capacidad operativa</x:t>
  </x:si>
  <x:si>
    <x:t xml:space="preserve">Usabilidad real</x:t>
  </x:si>
  <x:si>
    <x:t xml:space="preserve">Facilidad de uso</x:t>
  </x:si>
  <x:si>
    <x:t xml:space="preserve">U Usabilidad real / Fricción diaria</x:t>
  </x:si>
  <x:si>
    <x:t xml:space="preserve">Implementación y Soporte</x:t>
  </x:si>
  <x:si>
    <x:t xml:space="preserve">Consultor</x:t>
  </x:si>
  <x:si>
    <x:t xml:space="preserve">Las afirmaciones que no estén respaldadas por referencias verificables serán evaluadas en el nivel de puntuación más bajo.</x:t>
  </x:si>
  <x:si>
    <x:t xml:space="preserve">C Consultoría: Capacitación, Implementación y Soporte</x:t>
  </x:si>
  <x:si>
    <x:t xml:space="preserve">Experiencia</x:t>
  </x:si>
  <x:si>
    <x:t xml:space="preserve">Experiencia del fabricante en entornos PPM empresariales</x:t>
  </x:si>
  <x:si>
    <x:t xml:space="preserve">año</x:t>
  </x:si>
  <x:si>
    <x:t xml:space="preserve">Relacionar en la pestaña "Referencias".</x:t>
  </x:si>
  <x:si>
    <x:t xml:space="preserve">Experiencia de la firma consultora en migraciones reales desde Project Online / PWA</x:t>
  </x:si>
  <x:si>
    <x:t xml:space="preserve">Caso real similar documentado</x:t>
  </x:si>
  <x:si>
    <x:t xml:space="preserve">Experiencia de la firma consultora en contextos similares (PMO central, multi‑proyecto, recursos compartidos, etc.)</x:t>
  </x:si>
  <x:si>
    <x:t xml:space="preserve">Indique el número de proyectos de migración ejecutados (o acompañados) desde Microsoft Project Online / PWA hacia esta solución, en los últimos 5 años.</x:t>
  </x:si>
  <x:si>
    <x:t xml:space="preserve">Experiencia de firma consultora trabajando conjuntamente con fabricante del software en proyectos PPM empresariales.</x:t>
  </x:si>
  <x:si>
    <x:t xml:space="preserve">Cantidad de proyectos de firma consultora aplicando este software en proyectos PPM empresariales.</x:t>
  </x:si>
  <x:si>
    <x:t xml:space="preserve">Experiencia conjunta en proyectos industriales y/o ingeniería &amp; construcción</x:t>
  </x:si>
  <x:si>
    <x:t xml:space="preserve">%</x:t>
  </x:si>
  <x:si>
    <x:t xml:space="preserve">Proporción # proyectos proyectos industriales y/o ingeniería &amp; construcción sobre el total de proyectos</x:t>
  </x:si>
  <x:si>
    <x:t xml:space="preserve">Necesidad de soporte</x:t>
  </x:si>
  <x:si>
    <x:t xml:space="preserve">Necesidad de soporte del software para su operación, considerando usuarios administradores</x:t>
  </x:si>
  <x:si>
    <x:t xml:space="preserve">Evalúa el nivel de dependencia del usuario final respecto al soporte técnico para la operación diaria del sistema. Se valora positivamente una herramienta clara, intuitiva y con alta autonomía de uso.</x:t>
  </x:si>
  <x:si>
    <x:t xml:space="preserve">R Necesidad de soporte</x:t>
  </x:si>
  <x:si>
    <x:t xml:space="preserve">Nivel de soporte requerido para la operación diaria del software una vez finalizada la implementación, considerando usuarios finales no técnicos.</x:t>
  </x:si>
  <x:si>
    <x:t xml:space="preserve">¿Cuántas horas de capacitación requeriría 1 usuario para empezar operación básica del software?</x:t>
  </x:si>
  <x:si>
    <x:t xml:space="preserve">hor</x:t>
  </x:si>
  <x:si>
    <x:r>
      <x:t xml:space="preserve">¿Cuántas horas/semana de soporte puede requerir este </x:t>
    </x:r>
    <x:r>
      <x:rPr>
        <x:sz val="8"/>
        <x:color theme="1"/>
        <x:rFont val="Calibri"/>
        <x:family val="2"/>
      </x:rPr>
      <x:t xml:space="preserve">↑</x:t>
    </x:r>
    <x:r>
      <x:rPr>
        <x:sz val="8"/>
        <x:color theme="1"/>
        <x:rFont val="Calibri"/>
        <x:family val="2"/>
        <x:scheme val="minor"/>
      </x:rPr>
      <x:t xml:space="preserve"> usuario durante el primer mes de operación básica?</x:t>
    </x:r>
  </x:si>
  <x:si>
    <x:t xml:space="preserve">hor/sem</x:t>
  </x:si>
  <x:si>
    <x:r>
      <x:t xml:space="preserve">¿Cuántos meses de operación básica le tomaría a 1 usuario capacitado llegar a dominar </x:t>
    </x:r>
    <x:r>
      <x:rPr>
        <x:sz val="8"/>
        <x:color theme="1"/>
        <x:rFont val="Aptos Narrow"/>
        <x:family val="2"/>
      </x:rPr>
      <x:t xml:space="preserve">±</x:t>
    </x:r>
    <x:r>
      <x:rPr>
        <x:sz val="9"/>
        <x:color theme="1"/>
        <x:rFont val="Calibri"/>
        <x:family val="2"/>
      </x:rPr>
      <x:t xml:space="preserve">75%</x:t>
    </x:r>
    <x:r>
      <x:rPr>
        <x:sz val="8"/>
        <x:color theme="1"/>
        <x:rFont val="Calibri"/>
        <x:family val="2"/>
        <x:scheme val="minor"/>
      </x:rPr>
      <x:t xml:space="preserve"> la herramienta en cada respectiva fase?</x:t>
    </x:r>
  </x:si>
  <x:si>
    <x:t xml:space="preserve">¿Qué solicitudes de soporte son más frecuentes?</x:t>
  </x:si>
  <x:si>
    <x:t xml:space="preserve">¿Con qué periodicidad (veces/semana/usuario) suelen presentarse las solicitudes de soporte?</x:t>
  </x:si>
  <x:si>
    <x:t xml:space="preserve">Curva de aprendizaje PMO</x:t>
  </x:si>
  <x:si>
    <x:t xml:space="preserve">¿Cómo verificar este tiempo?</x:t>
  </x:si>
  <x:si>
    <x:t xml:space="preserve">Curva de aprendizaje usuario promedio</x:t>
  </x:si>
  <x:si>
    <x:t xml:space="preserve">Indique experiencias en clientes similares donde el uso operativo no requiera soporte permanente.</x:t>
  </x:si>
  <x:si>
    <x:t xml:space="preserve">Implementación</x:t>
  </x:si>
  <x:si>
    <x:t xml:space="preserve">¿La firma consultora firmará el acuerdo de confidencialidad SW?</x:t>
  </x:si>
  <x:si>
    <x:t xml:space="preserve">PENDIENTE JULIANA CHÁVEZ (DEPTO. JURÍDICO)</x:t>
  </x:si>
  <x:si>
    <x:t xml:space="preserve">S Sí/No</x:t>
  </x:si>
  <x:si>
    <x:t xml:space="preserve">=</x:t>
  </x:si>
  <x:si>
    <x:t xml:space="preserve">Acuerdo de confidencialidad (formato SW) firmado</x:t>
  </x:si>
  <x:si>
    <x:t xml:space="preserve">Tiempo de implementación</x:t>
  </x:si>
  <x:si>
    <x:t xml:space="preserve">¿Implementación y Soporte?</x:t>
  </x:si>
  <x:si>
    <x:t xml:space="preserve">Extracto SLA estándar</x:t>
  </x:si>
  <x:si>
    <x:t xml:space="preserve">Pre-implementación (Visión, configuración)</x:t>
  </x:si>
  <x:si>
    <x:t xml:space="preserve">sem</x:t>
  </x:si>
  <x:si>
    <x:t xml:space="preserve">Después de oficializado el Pedido ¿Cuánto tiempo después inicia la implementación efectiva (cuando empieza la interacción con un proyecto real?</x:t>
  </x:si>
  <x:si>
    <x:t xml:space="preserve">Horas totales de consultoría durante la implementación</x:t>
  </x:si>
  <x:si>
    <x:t xml:space="preserve">¿Se puede mejorar más? No quiero que el proveedor incluya sus horas de configuración. Es decir, el tiempo que se tome sin el cliente</x:t>
  </x:si>
  <x:si>
    <x:t xml:space="preserve">Implementación incluye horas de acompañamiento con el cliente. No incluye las horas </x:t>
  </x:si>
  <x:si>
    <x:t xml:space="preserve">Horas de capacitación</x:t>
  </x:si>
  <x:si>
    <x:t xml:space="preserve">% de horas de capacitación e implementación dedicadas a proyectos reales</x:t>
  </x:si>
  <x:si>
    <x:t xml:space="preserve">Entregables:
▪Al menos 2–3 proyectos en conceptualización
▪1 proyecto recién aprobado
▪1 proyecto en ejecución con histórico en MS Project
▪1 proyecto en cierre</x:t>
  </x:si>
  <x:si>
    <x:t xml:space="preserve">Implantación de la imagen corporativa en pantallas y reportes</x:t>
  </x:si>
  <x:si>
    <x:t xml:space="preserve">Sí/No</x:t>
  </x:si>
  <x:si>
    <x:t xml:space="preserve">New</x:t>
  </x:si>
  <x:si>
    <x:t xml:space="preserve"># usuarios límite para capacitación por fase</x:t>
  </x:si>
  <x:si>
    <x:t xml:space="preserve">Manual de usuario en español</x:t>
  </x:si>
  <x:si>
    <x:t xml:space="preserve">Manual de usuario en inglés</x:t>
  </x:si>
  <x:si>
    <x:t xml:space="preserve">Revisión/mejoramiento estructuras actuales</x:t>
  </x:si>
  <x:si>
    <x:t xml:space="preserve">Consultoría</x:t>
  </x:si>
  <x:si>
    <x:t xml:space="preserve">Charlas de sensibilización de nueva cultura</x:t>
  </x:si>
  <x:si>
    <x:t xml:space="preserve">Capacitación a directivos y usuarios indirectos</x:t>
  </x:si>
  <x:si>
    <x:t xml:space="preserve">Soporte</x:t>
  </x:si>
  <x:si>
    <x:t xml:space="preserve">Disponibilidad para desarrollar o acompañar casos de interoperabilidad con otros sistemas, bien sea por conexión directa o archivos planos. Por ejemplo, sistema de acceso a las plantas y Accidentalidad para generar indicadores HSE por proyecto, disciplina, etc.</x:t>
  </x:si>
  <x:si>
    <x:r>
      <x:t xml:space="preserve">Software de acceso de personal </x:t>
    </x:r>
    <x:r>
      <x:rPr>
        <x:sz val="8"/>
        <x:color theme="1"/>
        <x:rFont val="Aptos Narrow"/>
        <x:family val="2"/>
      </x:rPr>
      <x:t xml:space="preserve">↔</x:t>
    </x:r>
    <x:r>
      <x:rPr>
        <x:sz val="8"/>
        <x:color theme="1"/>
        <x:rFont val="Calibri"/>
        <x:family val="2"/>
      </x:rPr>
      <x:t xml:space="preserve"> SAP </x:t>
    </x:r>
    <x:r>
      <x:rPr>
        <x:sz val="8"/>
        <x:color theme="1"/>
        <x:rFont val="Aptos Narrow"/>
        <x:family val="2"/>
      </x:rPr>
      <x:t xml:space="preserve">↔</x:t>
    </x:r>
    <x:r>
      <x:rPr>
        <x:sz val="8"/>
        <x:color theme="1"/>
        <x:rFont val="Calibri"/>
        <x:family val="2"/>
      </x:rPr>
      <x:t xml:space="preserve"> Accidentes ↔ Proyectos </x:t>
    </x:r>
    <x:r>
      <x:rPr>
        <x:sz val="8"/>
        <x:color theme="1"/>
        <x:rFont val="Wingdings"/>
      </x:rPr>
      <x:t xml:space="preserve">è</x:t>
    </x:r>
    <x:r>
      <x:rPr>
        <x:sz val="8"/>
        <x:color theme="1"/>
        <x:rFont val="Calibri"/>
        <x:family val="2"/>
      </x:rPr>
      <x:t xml:space="preserve"> Estadísticas HSE generadas por la solución y con ayuda de Power BI</x:t>
    </x:r>
    <x:r>
      <x:rPr>
        <x:sz val="8"/>
        <x:color theme="1"/>
        <x:rFont val="Calibri"/>
        <x:family val="2"/>
        <x:scheme val="minor"/>
      </x:rPr>
      <x:t xml:space="preserve">. Siempre y cuando las políticas SW/IT lo permitan. Como segunda opción, conectar con consultas SQL.</x:t>
    </x:r>
  </x:si>
  <x:si>
    <x:t xml:space="preserve">¿El soporte desde casa matriz requiere condiciones determinadas? ¿Cuáles?</x:t>
  </x:si>
  <x:si>
    <x:t xml:space="preserve">¿Requiere determinadas condiciones?</x:t>
  </x:si>
  <x:si>
    <x:t xml:space="preserve">Boletín mensual de novedades</x:t>
  </x:si>
  <x:si>
    <x:t xml:space="preserve">¿Cuántas veces al año el soporte a un cliente depende de la casa matriz?</x:t>
  </x:si>
  <x:si>
    <x:t xml:space="preserve">Disponibilidad servicio de consultoría en Colombia</x:t>
  </x:si>
  <x:si>
    <x:t xml:space="preserve">Disponibilidad servicio de consultoría en Latam (español, portugués) ¿Qué condiciones implica?</x:t>
  </x:si>
  <x:si>
    <x:t xml:space="preserve">Disponibilidad servicio de consultoría en el mundo ¿Otros idiomas? ¿Qué idiomas? ¿Qué condiciones implica?</x:t>
  </x:si>
  <x:si>
    <x:t xml:space="preserve">Velocidad mínima de respuesta a requerimientos urgentes</x:t>
  </x:si>
  <x:si>
    <x:t xml:space="preserve">Velocidad mínima de respuesta a requerimientos normales</x:t>
  </x:si>
  <x:si>
    <x:t xml:space="preserve">Disponibilidad horaria semanal para dar soporte</x:t>
  </x:si>
  <x:si>
    <x:t xml:space="preserve">Disponibilidad sugerida= lunes a viernes 08:00 a 16:00 + sábado 08:00 a 12:00</x:t>
  </x:si>
  <x:si>
    <x:t xml:space="preserve">Adjuntar agenda semanal</x:t>
  </x:si>
  <x:si>
    <x:t xml:space="preserve">Servicio post-venta</x:t>
  </x:si>
  <x:si>
    <x:t xml:space="preserve">Servicio anual de soporte</x:t>
  </x:si>
  <x:si>
    <x:r>
      <x:t xml:space="preserve">Bolsa de horas/año </x:t>
    </x:r>
    <x:r>
      <x:rPr>
        <x:sz val="10"/>
        <x:color theme="1"/>
        <x:rFont val="Calibri"/>
        <x:family val="2"/>
        <x:scheme val="minor"/>
      </x:rPr>
      <x:t xml:space="preserve">Ⓗ</x:t>
    </x:r>
  </x:si>
  <x:si>
    <x:t xml:space="preserve">Sugerida= 100h</x:t>
  </x:si>
  <x:si>
    <x:t xml:space="preserve">Bolsa sugerida= 100 h/año</x:t>
  </x:si>
  <x:si>
    <x:t xml:space="preserve">Consultoría: Garantías y acompañamiento</x:t>
  </x:si>
  <x:si>
    <x:t xml:space="preserve">CD Consultoría: Garantías y acompañamiento</x:t>
  </x:si>
  <x:si>
    <x:t xml:space="preserve">Tiempo de gestión Agregar licencia</x:t>
  </x:si>
  <x:si>
    <x:t xml:space="preserve">día</x:t>
  </x:si>
  <x:si>
    <x:t xml:space="preserve">Tiempo de gestión eliminar licencia</x:t>
  </x:si>
  <x:si>
    <x:t xml:space="preserve">Capacidad operativa disponible= %Total -  % de capacidad actualmente comprometida</x:t>
  </x:si>
  <x:si>
    <x:t xml:space="preserve">Recurso humano disponible para asumir la migración y la consultoría</x:t>
  </x:si>
  <x:si>
    <x:t xml:space="preserve">Explique brevemente cómo se compone la capacidad restante (empleados de planta, cierre de proyectos, contratistas) de la firma oferente</x:t>
  </x:si>
  <x:si>
    <x:t xml:space="preserve">Organigrama</x:t>
  </x:si>
  <x:si>
    <x:t xml:space="preserve">¿Quiénes exactamente ejecutarían la migración?</x:t>
  </x:si>
  <x:si>
    <x:t xml:space="preserve">¿Cómo indico al bidder que la respuesta a esto no será una "camisa de fuerza"? Es decir, que puede asignar recursos en este formulario, pero que posiblemente el organigrama final podría estar conformado por otras personas.</x:t>
  </x:si>
  <x:si>
    <x:r>
      <x:t xml:space="preserve">Bidder: Equipo asignable y </x:t>
    </x:r>
    <x:r>
      <x:rPr>
        <x:i/>
        <x:sz val="8"/>
        <x:rFont val="Calibri"/>
        <x:family val="2"/>
        <x:scheme val="minor"/>
      </x:rPr>
      <x:t xml:space="preserve">seniority</x:t>
    </x:r>
  </x:si>
  <x:si>
    <x:t xml:space="preserve">DB Bidder: Equipo asignable y seniority</x:t>
  </x:si>
  <x:si>
    <x:t xml:space="preserve">¿Qué pasa si el proyecto se acelera o se "traba"?</x:t>
  </x:si>
  <x:si>
    <x:t xml:space="preserve">DC Bidder: Elasticidad de recursos</x:t>
  </x:si>
  <x:si>
    <x:t xml:space="preserve">Evidencia reciente de migraciones similares y referenciarlas en pestaña "Referencias"</x:t>
  </x:si>
  <x:si>
    <x:t xml:space="preserve">Gestión Documental</x:t>
  </x:si>
  <x:si>
    <x:t xml:space="preserve">Q Normas de Calidad</x:t>
  </x:si>
  <x:si>
    <x:t xml:space="preserve">Comunicaciones</x:t>
  </x:si>
  <x:si>
    <x:t xml:space="preserve">Cumplimiento normas ISO 23081 o 30301 para gestión documental</x:t>
  </x:si>
  <x:si>
    <x:r>
      <x:rPr>
        <x:sz val="8"/>
        <x:color theme="1"/>
        <x:rFont val="Aptos Narrow"/>
        <x:family val="2"/>
      </x:rPr>
      <x:t xml:space="preserve">▪</x:t>
    </x:r>
    <x:r>
      <x:rPr>
        <x:sz val="8"/>
        <x:color theme="1"/>
        <x:rFont val="Calibri"/>
        <x:family val="2"/>
        <x:scheme val="minor"/>
      </x:rPr>
      <x:t xml:space="preserve">ISO 23081 Metadatos para gestión documentos electrónicos
▪ISO 30301 Gestión documental que apoya estrategia organizacional
▪ISO 15489 Principios de creación, captura y gestión de registros.
▪Otros: Cumplimiento con frameworks y certificaciones (ISO 9000, ISO 9001, ISO25010, ISO 27000, ISO 27001, COBIT)</x:t>
    </x:r>
  </x:si>
  <x:si>
    <x:t xml:space="preserve">Alineación con prácticas BIM</x:t>
  </x:si>
  <x:si>
    <x:t xml:space="preserve">Documentación y Resultados pruebas piloto (Quality Assurance)</x:t>
  </x:si>
  <x:si>
    <x:t xml:space="preserve">Creación sitio por proyecto en SharePoint</x:t>
  </x:si>
  <x:si>
    <x:t xml:space="preserve">Migración de sitios actualmente en SharePoint</x:t>
  </x:si>
  <x:si>
    <x:t xml:space="preserve">Registro de recepción y envío de documentos</x:t>
  </x:si>
  <x:si>
    <x:t xml:space="preserve">Generación y registro de Transmittals</x:t>
  </x:si>
  <x:si>
    <x:t xml:space="preserve">Formato numerado (consecutivo automático) que relaciona los documentos enviados o recibidos (por parte de un interesado o proveedor) en cada paquete de información</x:t>
  </x:si>
  <x:si>
    <x:t xml:space="preserve">Reporte de transmittals</x:t>
  </x:si>
  <x:si>
    <x:t xml:space="preserve">Sistema de búsqueda fácil de un documento o determinada información</x:t>
  </x:si>
  <x:si>
    <x:t xml:space="preserve">Posibilidad de configurar plantillas propias (Ejemplo: Compliance Document)</x:t>
  </x:si>
  <x:si>
    <x:t xml:space="preserve">Intercambio de documentos muy grandes (&gt;100 GB) con entes internos y, principalmente, externos</x:t>
  </x:si>
  <x:si>
    <x:t xml:space="preserve">Plantillas requeridas y sujetas a cambios personalizados</x:t>
  </x:si>
  <x:si>
    <x:r>
      <x:t xml:space="preserve">Gestión documental en plataforma </x:t>
    </x:r>
    <x:r>
      <x:rPr>
        <x:sz val="8"/>
        <x:rFont val="Aptos Narrow"/>
        <x:family val="2"/>
      </x:rPr>
      <x:t xml:space="preserve">≠</x:t>
    </x:r>
    <x:r>
      <x:rPr>
        <x:sz val="8"/>
        <x:rFont val="Calibri"/>
        <x:family val="2"/>
      </x:rPr>
      <x:t xml:space="preserve"> SharePoint. </x:t>
    </x:r>
    <x:r>
      <x:rPr>
        <x:sz val="8"/>
        <x:rFont val="Calibri"/>
        <x:family val="2"/>
        <x:scheme val="minor"/>
      </x:rPr>
      <x:t xml:space="preserve">Describir</x:t>
    </x:r>
  </x:si>
  <x:si>
    <x:t xml:space="preserve">Sitio general y sitio por proyecto en herramienta ≠ SharePoint</x:t>
  </x:si>
  <x:si>
    <x:t xml:space="preserve">Texto o diagrama explicativo de la gestión documental</x:t>
  </x:si>
  <x:si>
    <x:t xml:space="preserve">Migración de sitios actualmente en Servidores dedicados</x:t>
  </x:si>
  <x:si>
    <x:t xml:space="preserve">Creado por, Editado por, fecha, tamaño, tipo de documento, dimensiones (imágenes), etc.</x:t>
  </x:si>
  <x:si>
    <x:t xml:space="preserve">Campos asociados a cada documento, fácilmente visibles como columnas y parametrizables en las vistas</x:t>
  </x:si>
  <x:si>
    <x:t xml:space="preserve">Historial de versiones con fecha de modificación, usuario, etc.</x:t>
  </x:si>
  <x:si>
    <x:r>
      <x:t xml:space="preserve">Aplica sobre todo si es plataforma </x:t>
    </x:r>
    <x:r>
      <x:rPr>
        <x:sz val="8"/>
        <x:rFont val="Aptos Narrow"/>
        <x:family val="2"/>
      </x:rPr>
      <x:t xml:space="preserve">≠</x:t>
    </x:r>
    <x:r>
      <x:rPr>
        <x:sz val="8"/>
        <x:rFont val="Calibri"/>
        <x:family val="2"/>
      </x:rPr>
      <x:t xml:space="preserve"> SharePoint</x:t>
    </x:r>
  </x:si>
  <x:si>
    <x:t xml:space="preserve">Adecuación a sistema actual de carpetas SW/PMO</x:t>
  </x:si>
  <x:si>
    <x:t xml:space="preserve">PMO tiene su propia estructura tipo de carpetas por proyecto</x:t>
  </x:si>
  <x:si>
    <x:t xml:space="preserve">Bitácora de novedades, problemas e interferencias</x:t>
  </x:si>
  <x:si>
    <x:t xml:space="preserve">Plantilla para Acta de Entrega de producto</x:t>
  </x:si>
  <x:si>
    <x:t xml:space="preserve">Nativa + Probabilidad de aplicar la plantilla de SW/PMO</x:t>
  </x:si>
  <x:si>
    <x:t xml:space="preserve">Plantilla para Acta de Cierre de proyecto</x:t>
  </x:si>
  <x:si>
    <x:t xml:space="preserve">Gestión Proyecto</x:t>
  </x:si>
  <x:si>
    <x:t xml:space="preserve">Alcance</x:t>
  </x:si>
  <x:si>
    <x:t xml:space="preserve">Definición gráfica (WBS Chart) y descriptiva (Diccionario WBS) del alcance con base en matriz de requerimientos y exclusiones + Diagrama de proceso</x:t>
  </x:si>
  <x:si>
    <x:t xml:space="preserve">Herramienta para "dibujar" la WBS</x:t>
  </x:si>
  <x:si>
    <x:t xml:space="preserve">Cruce práctico con WBS presupuestal y WBS de cronograma, de manera que cualquier cambio en uno de los 3 faros (Alcance-Costo-Tiempo) se refleje en los otros 2</x:t>
  </x:si>
  <x:si>
    <x:t xml:space="preserve">Tiempo</x:t>
  </x:si>
  <x:si>
    <x:t xml:space="preserve">Versatilidad en manejo de escalas de tiempo incluyendo unidades genéricas (ejemplo: mes1, mes2…)</x:t>
  </x:si>
  <x:si>
    <x:r>
      <x:t xml:space="preserve">WBS, Cronograma, Presupuesto, </x:t>
    </x:r>
    <x:r>
      <x:rPr>
        <x:i/>
        <x:sz val="8"/>
        <x:color theme="1"/>
        <x:rFont val="Calibri"/>
        <x:family val="2"/>
        <x:scheme val="minor"/>
      </x:rPr>
      <x:t xml:space="preserve">Resource Breakdown Structure</x:t>
    </x:r>
    <x:r>
      <x:rPr>
        <x:sz val="8"/>
        <x:color theme="1"/>
        <x:rFont val="Calibri"/>
        <x:family val="2"/>
        <x:scheme val="minor"/>
      </x:rPr>
      <x:t xml:space="preserve">, etc. amarrados (dinámico): Que no sea necesario crear/modificar en varias partes.</x:t>
    </x:r>
  </x:si>
  <x:si>
    <x:t xml:space="preserve">Diagrama Gantt, Diagrama PERT, Vista Calendario, Uso de recursos (Histograma), Uso de tareas, Flujo de caja, Proyección de recursos, Producción (por ejemplo: m² o kg semanales por instalar), etc.
Reportes detallados, gerenciales y directivos.</x:t>
  </x:si>
  <x:si>
    <x:t xml:space="preserve">Plantillas parametrizables de creación cronograma de proyecto</x:t>
  </x:si>
  <x:si>
    <x:t xml:space="preserve">Velocidad de recálculo que permita agilidad en reuniones de cronograma</x:t>
  </x:si>
  <x:si>
    <x:t xml:space="preserve">Monitoreo de avance y alertas desviaciones importantes</x:t>
  </x:si>
  <x:si>
    <x:t xml:space="preserve">Lenguaje informal, formal y ESTADÍSTICO.</x:t>
  </x:si>
  <x:si>
    <x:t xml:space="preserve">% de avance previsto vs. programado vs. actual. Por subtarea, tareas de resumen, proyecto y demás agrupaciones (portafolio, programa, fase, sistema, disciplina, responsable, frente, área, equipo, etc.)</x:t>
  </x:si>
  <x:si>
    <x:t xml:space="preserve">Ponderación de avance por trabajo, duración, costo u otro criterio. Programado o Real. Implicación en las curvas.</x:t>
  </x:si>
  <x:si>
    <x:t xml:space="preserve">Curva de avance prevista, programada y real de portafolio, programa, proyecto. Por fase, disciplina, sistema, responsable, área, frente y otros campos.</x:t>
  </x:si>
  <x:si>
    <x:t xml:space="preserve">Posibilidad de guardar información histórica para elaborar curvas de avance por % reales, no recalculados</x:t>
  </x:si>
  <x:si>
    <x:t xml:space="preserve">Cálculo del atraso o adelanto actual por curva de avance y por ruta crítica (Entregable 4)</x:t>
  </x:si>
  <x:si>
    <x:t xml:space="preserve">Curvas de avance ejemplo</x:t>
  </x:si>
  <x:si>
    <x:t xml:space="preserve">Ruta crítica principal y rutas críticas secundarias</x:t>
  </x:si>
  <x:si>
    <x:t xml:space="preserve">Matrices de avance (previsto, programado y actual) por área, sistema, disciplina y fase.</x:t>
  </x:si>
  <x:si>
    <x:t xml:space="preserve">Integración de cronogramas de proyectos en curso con posibles proyectos del futuro</x:t>
  </x:si>
  <x:si>
    <x:t xml:space="preserve">Toma de avances en campo con dispositivo móvil</x:t>
  </x:si>
  <x:si>
    <x:t xml:space="preserve">Casco con cámara inteligente + tecnología BIM</x:t>
  </x:si>
  <x:si>
    <x:t xml:space="preserve">Posibilidad de ponderación % de avance por costo, duración, trabajo u otro. Baseline o actual</x:t>
  </x:si>
  <x:si>
    <x:t xml:space="preserve">Gestión de Planificación Operativa a Corto Plazo (Último Planificador)</x:t>
  </x:si>
  <x:si>
    <x:t xml:space="preserve">La plataforma debe permitir el desglose de las actividades del cronograma maestro (método de ruta crítica) en subtareas diarias o semanales detalladas, orientadas a la ejecución de campo. Debe incluir un tablero visual interactivo (tipo Kanban) que facilite a los ingenieros y líderes de disciplina registrar compromisos operativos diarios, gestionar restricciones físicas y medir el porcentaje de asignaciones completadas, asegurando la trazabilidad del avance real de la obra sin saturar la estructura principal del proyecto.</x:t>
  </x:si>
  <x:si>
    <x:t xml:space="preserve">Integración con metodología BIM y herramientas de diseño y modelado 3D+ para dibujar el avance en el plano o en el modelo (maqueta virtual) y comparar gráficamente previsto vs. programado vs. real</x:t>
  </x:si>
  <x:si>
    <x:t xml:space="preserve">Cálculo de atraso o adelanto por fechas previstas y programadas</x:t>
  </x:si>
  <x:si>
    <x:t xml:space="preserve">Retraso actual estimado, Reprogramación y retraso final estimado: Fecha Final Estimada</x:t>
  </x:si>
  <x:si>
    <x:t xml:space="preserve">Posibilidad de programar en días hábiles y mostrar en días calendario u otra unidad de tiempo</x:t>
  </x:si>
  <x:si>
    <x:t xml:space="preserve">Capacidad cantidad de amarres (predecesoras) por tarea</x:t>
  </x:si>
  <x:si>
    <x:t xml:space="preserve">Vista que facilite el amarre entre tareas lejanas</x:t>
  </x:si>
  <x:si>
    <x:t xml:space="preserve">Notificaciones de tareas</x:t>
  </x:si>
  <x:si>
    <x:t xml:space="preserve">Esquema de notificaciones automáticas basado en umbrales de desempeño, riesgos y capacidad, que alerte oportunamente a los responsables y niveles de gobierno correspondientes, habilitando decisiones tempranas alineadas a los objetivos estratégicos.</x:t>
  </x:si>
  <x:si>
    <x:t xml:space="preserve">% Previsto nativo</x:t>
  </x:si>
  <x:si>
    <x:t xml:space="preserve">Costo</x:t>
  </x:si>
  <x:si>
    <x:t xml:space="preserve">Plantilla de presupuesto de proyecto</x:t>
  </x:si>
  <x:si>
    <x:t xml:space="preserve">Minería de datos en SAP y Excel para desarrollar presupuestos con base en costos históricos y actuales</x:t>
  </x:si>
  <x:si>
    <x:t xml:space="preserve">Estatus presupuestal (Gastado, Comprometido, Saldo actual, Estimado por comprometer, Costo Estimado Final, Saldo estimado) semanal y mensual. Diario eventualmente. Agrupado por proyecto y por elemento PEP</x:t>
  </x:si>
  <x:si>
    <x:r>
      <x:t xml:space="preserve">Hoy día está definido Con SAP </x:t>
    </x:r>
    <x:r>
      <x:rPr>
        <x:sz val="8"/>
        <x:color theme="1"/>
        <x:rFont val="Tahoma"/>
        <x:family val="2"/>
      </x:rPr>
      <x:t xml:space="preserve">→</x:t>
    </x:r>
    <x:r>
      <x:rPr>
        <x:sz val="8"/>
        <x:color theme="1"/>
        <x:rFont val="Calibri"/>
        <x:family val="2"/>
        <x:scheme val="minor"/>
      </x:rPr>
      <x:t xml:space="preserve"> Excel. Muy manual.</x:t>
    </x:r>
  </x:si>
  <x:si>
    <x:t xml:space="preserve">Reporte de estatus presupuestal en USD, COP o EUR. Escala parametrizable (millones, miles o 1). Entregable 2</x:t>
  </x:si>
  <x:si>
    <x:t xml:space="preserve">Reporte Estatus Pptal ejemplo</x:t>
  </x:si>
  <x:si>
    <x:t xml:space="preserve">Segmentación costos nacionales e importados; IVA; compras y servicios, etc.</x:t>
  </x:si>
  <x:si>
    <x:t xml:space="preserve">Importar datos o reportes desde SAP para descargarlos en los proyectos y elementos correspondientes</x:t>
  </x:si>
  <x:si>
    <x:t xml:space="preserve">Posibilidad de definir TRM por proyecto o global, tanto para presupuesto como para comprometido</x:t>
  </x:si>
  <x:si>
    <x:t xml:space="preserve">TRM del gastado: TRM del proyecto, promedio del mes causado, del día.</x:t>
  </x:si>
  <x:si>
    <x:t xml:space="preserve">TRM comprometido: Promedio trimestre anterior, promedio trimestre actual, la del día, la del mes, etc.</x:t>
  </x:si>
  <x:si>
    <x:t xml:space="preserve">Control contratos (contratado, anticipos, pagado, adicionales, sanciones, otrosí, saldo, etc.)</x:t>
  </x:si>
  <x:si>
    <x:t xml:space="preserve">Reporte de Anticipos</x:t>
  </x:si>
  <x:si>
    <x:t xml:space="preserve">Manejo de "Causado anticipado" (cuando el pedido se notifica como recibido en el exterior, no se espera que llegue a Almacén)</x:t>
  </x:si>
  <x:si>
    <x:t xml:space="preserve">Dependiendo de método contable, el Gasto puede reportarse en FOB o en DDP</x:t>
  </x:si>
  <x:si>
    <x:t xml:space="preserve">Proyección de costos y Flujos de caja para proyectos en conceptualización, en ejecución y finalizados. Agrupación por mes, trimestre y año.</x:t>
  </x:si>
  <x:si>
    <x:t xml:space="preserve">Riesgo</x:t>
  </x:si>
  <x:si>
    <x:r>
      <x:t xml:space="preserve">Elaboración </x:t>
    </x:r>
    <x:r>
      <x:rPr>
        <x:b/>
        <x:sz val="8"/>
        <x:color theme="1"/>
        <x:rFont val="Calibri"/>
        <x:family val="2"/>
        <x:scheme val="minor"/>
      </x:rPr>
      <x:t xml:space="preserve">Matriz Estratégica de riesgos</x:t>
    </x:r>
    <x:r>
      <x:rPr>
        <x:sz val="8"/>
        <x:color theme="1"/>
        <x:rFont val="Calibri"/>
        <x:family val="2"/>
        <x:scheme val="minor"/>
      </x:rPr>
      <x:t xml:space="preserve">: </x:t>
    </x:r>
    <x:r>
      <x:rPr>
        <x:i/>
        <x:sz val="8"/>
        <x:color theme="1"/>
        <x:rFont val="Calibri"/>
        <x:family val="2"/>
        <x:scheme val="minor"/>
      </x:rPr>
      <x:t xml:space="preserve">Risk Breakdown Structure</x:t>
    </x:r>
    <x:r>
      <x:rPr>
        <x:sz val="8"/>
        <x:color theme="1"/>
        <x:rFont val="Calibri"/>
        <x:family val="2"/>
        <x:scheme val="minor"/>
      </x:rPr>
      <x:t xml:space="preserve">. Gestión robusta de Issues y Acciones. Siguiendo metodologías como: ISO 31000, Marco COSO ERM (Enfoque en Gobierno y Control), Estándar PMI/PMBOK o similares
</x:t>
    </x:r>
  </x:si>
  <x:si>
    <x:t xml:space="preserve">La identificación de riesgos debe responder a un marco metodológico formal y al histórico de lecciones aprendidas, eliminando la subjetividad y la improvisación técnica. En el seguimiento debe arrojar claramente Hallazgos, observaciones, no conformidades y pendientes</x:t>
  </x:si>
  <x:si>
    <x:t xml:space="preserve">Diagrama de Convergencia bajo métodos como Dolphi, Monte Carlo o similares.</x:t>
  </x:si>
  <x:si>
    <x:t xml:space="preserve">Para cumplir con el parámetro anterior ⬆️ se exige el uso de un Diagrama de Convergencia: herramienta analítica y visual que valida la estabilidad y el consenso en la modelación de datos, graficando cómo las desviaciones iniciales se reducen hasta alinearse en una solución óptima aceptable.</x:t>
  </x:si>
  <x:si>
    <x:t xml:space="preserve">Reporte ejemplo de Diagrama de Convergencia</x:t>
  </x:si>
  <x:si>
    <x:t xml:space="preserve">Interacción de la matriz de riesgos con demás parámetros (costo-contingencias, tiempo, recurso, adquisiciones, riesgos, etc.)</x:t>
  </x:si>
  <x:si>
    <x:t xml:space="preserve">La solución debe permitir registrar, dar seguimiento y gobernar los riesgos derivados de estudios HAZOP/HAZIP, sin pretender sustituir dichas metodologías, las cuales se ejecutan fuera de la herramienta de gestión de proyectos.</x:t>
  </x:si>
  <x:si>
    <x:t xml:space="preserve">Integración o importación desde Excel / herramientas externas de HAZOP y HAZID</x:t>
  </x:si>
  <x:si>
    <x:t xml:space="preserve">Alineamiento con estándares de gestión de riesgos y calidad, conformes con marcos y normatividad reconocida para proyectos</x:t>
  </x:si>
  <x:si>
    <x:r>
      <x:rPr>
        <x:b/>
        <x:sz val="8"/>
        <x:color theme="1"/>
        <x:rFont val="Calibri"/>
        <x:family val="2"/>
        <x:scheme val="minor"/>
      </x:rPr>
      <x:t xml:space="preserve">Referencias:
🔹 Gestión de riesgos
</x:t>
    </x:r>
    <x:r>
      <x:rPr>
        <x:sz val="8"/>
        <x:color theme="1"/>
        <x:rFont val="Calibri"/>
        <x:family val="2"/>
        <x:scheme val="minor"/>
      </x:rPr>
      <x:t xml:space="preserve">ISO 31000 – Gestión del riesgo
PMI – PMBOK (Risk Management)
COSO ERM (si hay enfoque corporativo)
</x:t>
    </x:r>
    <x:r>
      <x:rPr>
        <x:b/>
        <x:sz val="8"/>
        <x:color theme="1"/>
        <x:rFont val="Calibri"/>
        <x:family val="2"/>
        <x:scheme val="minor"/>
      </x:rPr>
      <x:t xml:space="preserve">🔹 Calidad y procesos
</x:t>
    </x:r>
    <x:r>
      <x:rPr>
        <x:sz val="8"/>
        <x:color theme="1"/>
        <x:rFont val="Calibri"/>
        <x:family val="2"/>
        <x:scheme val="minor"/>
      </x:rPr>
      <x:t xml:space="preserve">ISO 9001 (enfoque a procesos y mejora)
ISO 21500 / 21502 (gestión de proyectos)</x:t>
    </x:r>
  </x:si>
  <x:si>
    <x:t xml:space="preserve">Campos configurables en la matriz de riegos</x:t>
  </x:si>
  <x:si>
    <x:t xml:space="preserve">Workflows de aprobación</x:t>
  </x:si>
  <x:si>
    <x:t xml:space="preserve">Trazabilidad riesgo → acción → impacto en cronograma/costo</x:t>
  </x:si>
  <x:si>
    <x:t xml:space="preserve">Cumplimiento norma ISO 21502 para gestión de proyectos, programas y portafolios</x:t>
  </x:si>
  <x:si>
    <x:t xml:space="preserve">ISO 21502:2020 "Gestión de proyectos, programas y portafolios: Guía para la gestión de proyectos", la cual reemplazó a la antigua ISO 21500:2012. Esta norma proporciona directrices sobre buenas prácticas para la gestión, abarcando planificación, ejecución, control y cierre de proyectos de cualquier tipo</x:t>
  </x:si>
  <x:si>
    <x:t xml:space="preserve">Integración</x:t>
  </x:si>
  <x:si>
    <x:t xml:space="preserve">Uso de abreviaturas de proyectos, recursos (3 letras por persona), proveedores para aplicar en gráficas, ahorrar espacio y evitar saturación entre datos</x:t>
  </x:si>
  <x:si>
    <x:t xml:space="preserve">Indicadores de atraso y sobrecosto tipo Cuadrante de 4 áreas</x:t>
  </x:si>
  <x:si>
    <x:t xml:space="preserve">Interacción del Project Charter con demás parámetros (costo-contingencias, tiempo, recurso, adquisiciones, riesgos, etc.)</x:t>
  </x:si>
  <x:si>
    <x:t xml:space="preserve">Campos personalizados: Área(s), Sistema(s), Disciplina(s), Fase, Planificador de Necesidades, Área, Contratista (Co.), etc.</x:t>
  </x:si>
  <x:si>
    <x:t xml:space="preserve">Enlace Gestión documental con Portafolio de proyectos</x:t>
  </x:si>
  <x:si>
    <x:t xml:space="preserve">Capacidad cantidad de actividades (tareas) por proyecto</x:t>
  </x:si>
  <x:si>
    <x:t xml:space="preserve">Large Capital Projects pueden tener ≥ 5000 tareas</x:t>
  </x:si>
  <x:si>
    <x:t xml:space="preserve">Capacidad cantidad de niveles en Esquema de trabajo</x:t>
  </x:si>
  <x:si>
    <x:t xml:space="preserve">Capacidad cantidad de subproyectos por proyecto</x:t>
  </x:si>
  <x:si>
    <x:r>
      <x:t xml:space="preserve">Large Capital Projects pueden tener </x:t>
    </x:r>
    <x:r>
      <x:rPr>
        <x:sz val="8"/>
        <x:color theme="1"/>
        <x:rFont val="Aptos Narrow"/>
        <x:family val="2"/>
      </x:rPr>
      <x:t xml:space="preserve">≥</x:t>
    </x:r>
    <x:r>
      <x:rPr>
        <x:sz val="8"/>
        <x:color theme="1"/>
        <x:rFont val="Calibri"/>
        <x:family val="2"/>
        <x:scheme val="minor"/>
      </x:rPr>
      <x:t xml:space="preserve"> 10 subproyectos</x:t>
    </x:r>
  </x:si>
  <x:si>
    <x:t xml:space="preserve">Diseño de la interfaz configurable y amistosa</x:t>
  </x:si>
  <x:si>
    <x:t xml:space="preserve">Alineación con prácticas PMI</x:t>
  </x:si>
  <x:si>
    <x:t xml:space="preserve">Campos nativos y personalizados versátiles, globales y por proyecto: Fáciles de configurar, aplicar y renombrar (en varias vistas simultáneamente), formato, etc.</x:t>
  </x:si>
  <x:si>
    <x:t xml:space="preserve">Agrupación de tareas por sistema, disciplina, fase, etc.</x:t>
  </x:si>
  <x:si>
    <x:t xml:space="preserve">Indicadores de gestión por área, responsable, etc.</x:t>
  </x:si>
  <x:si>
    <x:t xml:space="preserve">Estatus por Área, Sistema, Disciplina y Fase</x:t>
  </x:si>
  <x:si>
    <x:t xml:space="preserve">Integrar reuniones y tareas</x:t>
  </x:si>
  <x:si>
    <x:t xml:space="preserve">Optimizar la admón de tareas, de manera que se evite múltiple trabajo (no tener que crearla en varias partes)</x:t>
  </x:si>
  <x:si>
    <x:t xml:space="preserve">Manejo de escenarios (optimista, pesimista, real, etc.)</x:t>
  </x:si>
  <x:si>
    <x:t xml:space="preserve">Panel de tareas por responsable, por disciplina y por proyecto</x:t>
  </x:si>
  <x:si>
    <x:t xml:space="preserve">Seguimiento Cierre de Proyecto</x:t>
  </x:si>
  <x:si>
    <x:t xml:space="preserve">Área(s), Sistema(s), Disciplina(s), Fase actual (indicador gráfico)</x:t>
  </x:si>
  <x:si>
    <x:t xml:space="preserve">Estatus del proyecto: Automático parametrizable o manual</x:t>
  </x:si>
  <x:si>
    <x:t xml:space="preserve">Reportes unificados</x:t>
  </x:si>
  <x:si>
    <x:t xml:space="preserve">Aplicación de la técnica del Valor Ganado para curvas de avance e Indicadores de "Earned Value" por proyecto, por fase, por disciplina, por área, por subproyecto y por tarea.</x:t>
  </x:si>
  <x:si>
    <x:t xml:space="preserve">Cost Variance, Schedule Variance, CPI (Rendimiento del Costo), SPI (Rendimiento en Tiempo), TCPI (Desempeño por Completar)</x:t>
  </x:si>
  <x:si>
    <x:t xml:space="preserve">Indicadores de Tendencia (↑↓)</x:t>
  </x:si>
  <x:si>
    <x:t xml:space="preserve">Otros indicadores e indicadores gráficos basados en los anteriores</x:t>
  </x:si>
  <x:si>
    <x:t xml:space="preserve">Departamento a cargo (IP, MM, etc.) y planta beneficiaria (PP, PF, M4, M7, etc.)</x:t>
  </x:si>
  <x:si>
    <x:t xml:space="preserve">Banderas o iconos en tablero de proyectos que resuman estado de cada proyecto (Entregable 1)</x:t>
  </x:si>
  <x:si>
    <x:t xml:space="preserve">Tablero de proyectos ejemplo</x:t>
  </x:si>
  <x:si>
    <x:t xml:space="preserve">Project Charter o Formulación del proyecto</x:t>
  </x:si>
  <x:si>
    <x:t xml:space="preserve">Matriz de Lecciones aprendidas</x:t>
  </x:si>
  <x:si>
    <x:t xml:space="preserve">Matriz que permita registrar posibles oportunidades de mejora para tener en cuenta en siguientes proyectos</x:t>
  </x:si>
  <x:si>
    <x:t xml:space="preserve">Base de datos de lecciones aprendidas</x:t>
  </x:si>
  <x:si>
    <x:t xml:space="preserve">Debe haber una conexión entre los aprendizajes de proyectos anteriores para aplicar durante la conceptualización, planeación, ejecución y entrega de todos los proyectos</x:t>
  </x:si>
  <x:si>
    <x:t xml:space="preserve">Posibilidad de importar datos desde Excel por proyecto y por objetos, con baja intervención manual</x:t>
  </x:si>
  <x:si>
    <x:t xml:space="preserve">Detalles, resúmenes y reportes en formatos PDF y Excel para quienes no tienen licencia</x:t>
  </x:si>
  <x:si>
    <x:t xml:space="preserve">Resumen en 1 página: Título proyecto, Objetivo, Ejecución Pptal, Hitos, Plano esquemático, Crono resumido y curva de avance. Fotos si es necesario.</x:t>
  </x:si>
  <x:si>
    <x:t xml:space="preserve">Reporte ejecutivo ejemplo</x:t>
  </x:si>
  <x:si>
    <x:t xml:space="preserve">Reporte ejecutivo por proyecto. Plantilla y actualización automática. Entregable 3.</x:t>
  </x:si>
  <x:si>
    <x:t xml:space="preserve">Si este software no requiere licencia para  los visualizadores , este requerimiento se considera cumplido.</x:t>
  </x:si>
  <x:si>
    <x:t xml:space="preserve">Reporte ejecutivo de proyecto ejemplo</x:t>
  </x:si>
  <x:si>
    <x:t xml:space="preserve">Generación reporte por potafolio, por proyecto, por elemento PEP, por grafo</x:t>
  </x:si>
  <x:si>
    <x:t xml:space="preserve">Reporte ejemplo de portafolio</x:t>
  </x:si>
  <x:si>
    <x:t xml:space="preserve">Posibilidad de exportar información a Excel (con sangría y esquema de agrupación) y desde Excel al Cronograma</x:t>
  </x:si>
  <x:si>
    <x:t xml:space="preserve">Migración campos personalizados, actualmente en Project Online</x:t>
  </x:si>
  <x:si>
    <x:t xml:space="preserve">Información relevante en tiempo real</x:t>
  </x:si>
  <x:si>
    <x:t xml:space="preserve">Comentarios posiblemente extractados de (actas de) reuniones</x:t>
  </x:si>
  <x:si>
    <x:t xml:space="preserve">Alertas de información relevante</x:t>
  </x:si>
  <x:si>
    <x:t xml:space="preserve">Cambio</x:t>
  </x:si>
  <x:si>
    <x:t xml:space="preserve">Interacción del Ctrl de cambios con demás parámetros (costo-contingencias, tiempo, recurso, adquisiciones, riesgos, etc.)</x:t>
  </x:si>
  <x:si>
    <x:t xml:space="preserve">Control de Cambios y Gestión Integrada del Cambio</x:t>
  </x:si>
  <x:si>
    <x:t xml:space="preserve">Portafolio</x:t>
  </x:si>
  <x:si>
    <x:t xml:space="preserve">Agrupación de proyectos por división, planta, etc.</x:t>
  </x:si>
  <x:si>
    <x:t xml:space="preserve">Agrupación de proyectos por categoría, disciplina, sistema, fase, etc.</x:t>
  </x:si>
  <x:si>
    <x:t xml:space="preserve">Inclusión fácil de de proyectos en borrador o conceptualización</x:t>
  </x:si>
  <x:si>
    <x:t xml:space="preserve">Integración en el portafolio de flujos de caja de proyectos en diferentes fases y diferentes usuarios</x:t>
  </x:si>
  <x:si>
    <x:t xml:space="preserve">Un contralor puede estar registrando (manualmente o con ayuda de Excel o cronograma) flujos de cajas trimestrales para iniciativas, mientras que el SAP está arrojando gastado real para proyectos en ejecución</x:t>
  </x:si>
  <x:si>
    <x:t xml:space="preserve">Resumen proyección financiera (Rentabilidad, Payback = Tiempo de retorno, VPN) siempre con base en el ahorro teórico que el proyecto representará</x:t>
  </x:si>
  <x:si>
    <x:t xml:space="preserve">Banco de Iniciativas</x:t>
  </x:si>
  <x:si>
    <x:t xml:space="preserve">Asignación ágil de recursos para proyectos en conceptualización</x:t>
  </x:si>
  <x:si>
    <x:t xml:space="preserve">Recursos</x:t>
  </x:si>
  <x:si>
    <x:t xml:space="preserve">Recurso</x:t>
  </x:si>
  <x:si>
    <x:t xml:space="preserve">Gestión de Recurso Humano integrada: Estructurar OBS amarrada a matriz de interesados, presupuesto y cronograma</x:t>
  </x:si>
  <x:si>
    <x:t xml:space="preserve">Evita doble trabajo</x:t>
  </x:si>
  <x:si>
    <x:t xml:space="preserve">Organigrama (OBS): facilidad de actualizar dinámicamente. Por proyecto y total</x:t>
  </x:si>
  <x:si>
    <x:t xml:space="preserve">OBS histórico por proyecto indicando disciplina, rol, superior, etc.</x:t>
  </x:si>
  <x:si>
    <x:t xml:space="preserve">Comparativo OBS conceptual vs. OBS histórico y actual</x:t>
  </x:si>
  <x:si>
    <x:t xml:space="preserve">Interacción con el directorio activo de la compañía para agregar recursos</x:t>
  </x:si>
  <x:si>
    <x:t xml:space="preserve">Presupuesto de recurso humano por proyecto: Salarios capitalizables, costo mensual subcontratistas</x:t>
  </x:si>
  <x:si>
    <x:t xml:space="preserve">Asignación de recursos y responsable único por tarea</x:t>
  </x:si>
  <x:si>
    <x:t xml:space="preserve">Histogramas: Distribución de recursos en el tiempo vs. Capacidad</x:t>
  </x:si>
  <x:si>
    <x:t xml:space="preserve">Disponibilidad de recursos según vacaciones y otros eventos</x:t>
  </x:si>
  <x:si>
    <x:t xml:space="preserve">Optimizar y Dinamizar la creación y actualización de recursos, de manera que se evite múltiple trabajo (no tener que crearlo ni modificarlo en todas las partes anteriores)</x:t>
  </x:si>
  <x:si>
    <x:t xml:space="preserve">Matriz de interesados, incluidos entes externos</x:t>
  </x:si>
  <x:si>
    <x:t xml:space="preserve">Herramienta para construir la matriz de interesados</x:t>
  </x:si>
  <x:si>
    <x:t xml:space="preserve">Gobierno, Roles y Colaboración</x:t>
  </x:si>
  <x:si>
    <x:t xml:space="preserve">Gobernanza y Colaboración</x:t>
  </x:si>
  <x:si>
    <x:t xml:space="preserve">Listado de usuarios activos, vencidos, en trámite, tipo de licencia y fechas de actividad.</x:t>
  </x:si>
  <x:si>
    <x:t xml:space="preserve">Reporte de usuarios en línea y última fecha de uso</x:t>
  </x:si>
  <x:si>
    <x:t xml:space="preserve">Control de duplicados</x:t>
  </x:si>
  <x:si>
    <x:t xml:space="preserve">Capacidad de la solución para prevenir, detectar y gestionar información duplicada de proyectos, recursos, portafolios y datos operativos, asegurando consistencia y unicidad en la gestión de proyectos de toda la compañía</x:t>
  </x:si>
  <x:si>
    <x:t xml:space="preserve">Auditoría</x:t>
  </x:si>
  <x:si>
    <x:t xml:space="preserve">Capacidad de la solución para registrar y evidenciar cambios, accesos y operaciones clave, permitiendo control, verificación, cumplimiento normativo y revisión histórica de la gestión de proyectos</x:t>
  </x:si>
  <x:si>
    <x:t xml:space="preserve">Trazabilidad</x:t>
  </x:si>
  <x:si>
    <x:t xml:space="preserve">Capacidad de la solución para seguir el rastro completo de proyectos, decisiones y datos, desde su origen hasta su estado actual, facilitando transparencia, análisis, control y toma de decisiones</x:t>
  </x:si>
  <x:si>
    <x:t xml:space="preserve">Interacción práctica con contratistas y proveedores</x:t>
  </x:si>
  <x:si>
    <x:t xml:space="preserve">Facilita que terceros actualicen la información sin necesidad de doble trabajo.</x:t>
  </x:si>
  <x:si>
    <x:t xml:space="preserve">Administración de usuarios y permisos</x:t>
  </x:si>
  <x:si>
    <x:t xml:space="preserve">Administración de roles y perfiles según RBS</x:t>
  </x:si>
  <x:si>
    <x:t xml:space="preserve">Control de revisiones y aprobaciones</x:t>
  </x:si>
  <x:si>
    <x:t xml:space="preserve">Posibilidad de recibir e integrar cronogramas de contratistas en otras plataformas (preferiblemente Microsoft Project)</x:t>
  </x:si>
  <x:si>
    <x:t xml:space="preserve">Flujos de trabajo para aprobaciones (Workflow)</x:t>
  </x:si>
  <x:si>
    <x:t xml:space="preserve">Portafolio, Programas y Estrategia</x:t>
  </x:si>
  <x:si>
    <x:t xml:space="preserve">Dashboards parametrizables</x:t>
  </x:si>
  <x:si>
    <x:t xml:space="preserve">Banco, Tablero o Centro de Proyectos (Entregable 1)</x:t>
  </x:si>
  <x:si>
    <x:t xml:space="preserve">Vista funcional que resuma el estatus (indicadores de tiempo, costo, etc.) de los proyectos y permita ingresar al detalle. Multisuario.</x:t>
  </x:si>
  <x:si>
    <x:t xml:space="preserve">Categorización de proyectos por varios conceptos</x:t>
  </x:si>
  <x:si>
    <x:t xml:space="preserve">Desplazamiento de proyectos en períodos de tiempo</x:t>
  </x:si>
  <x:si>
    <x:t xml:space="preserve">Seguimiento a indicadores reales financieros y de producción</x:t>
  </x:si>
  <x:si>
    <x:t xml:space="preserve">Medibles durante operación: Producción, productividad, eficiencia, etc. Financieros: Rentabilidad real, ahorro (savings)</x:t>
  </x:si>
  <x:si>
    <x:t xml:space="preserve">Interfase con Power BI</x:t>
  </x:si>
  <x:si>
    <x:t xml:space="preserve">Portafolio de Proyectos</x:t>
  </x:si>
  <x:si>
    <x:t xml:space="preserve">Frontera Eficiente u otro método para priorizar proyectos</x:t>
  </x:si>
  <x:si>
    <x:t xml:space="preserve">Priorización manual de proyectos, si así se requiere</x:t>
  </x:si>
  <x:si>
    <x:t xml:space="preserve">Portafolios dinámicos (Por programa, por estrategia, etc.)</x:t>
  </x:si>
  <x:si>
    <x:t xml:space="preserve">Integración con gestión tiempo y costos</x:t>
  </x:si>
  <x:si>
    <x:t xml:space="preserve">Funcionalidad PPM / Portafolio</x:t>
  </x:si>
  <x:si>
    <x:t xml:space="preserve">Página web de proyectos</x:t>
  </x:si>
  <x:si>
    <x:t xml:space="preserve">Portafolio de proyectos accesible para directivos</x:t>
  </x:si>
  <x:si>
    <x:t xml:space="preserve">Indicadores de éxito (on time, on budget, required features and functions, in operation, savings or productivity achieved)</x:t>
  </x:si>
  <x:si>
    <x:t xml:space="preserve">Generación de indicador por proyecto, por planta, por departamento, por portafolio, por programa</x:t>
  </x:si>
  <x:si>
    <x:t xml:space="preserve">Propuesta comercial</x:t>
  </x:si>
  <x:si>
    <x:t xml:space="preserve">Incluye Modelo Comercial</x:t>
  </x:si>
  <x:si>
    <x:t xml:space="preserve">VA Forma de pago licencia: Modalidad de pago</x:t>
  </x:si>
  <x:si>
    <x:t xml:space="preserve">VA Forma pago licencia: Modalidad de pago</x:t>
  </x:si>
  <x:si>
    <x:t xml:space="preserve">VB Forma pago licencia: Escalabilidad</x:t>
  </x:si>
  <x:si>
    <x:t xml:space="preserve">VC Forma pago licencia: Previsibilidad precio</x:t>
  </x:si>
  <x:si>
    <x:t xml:space="preserve">VD Forma pago licencia: Condiciones financieras</x:t>
  </x:si>
  <x:si>
    <x:t xml:space="preserve">Consultoría: Tipo de cobro</x:t>
  </x:si>
  <x:si>
    <x:t xml:space="preserve">CA Consultoría: Tipo de cobro</x:t>
  </x:si>
  <x:si>
    <x:t xml:space="preserve">Consultoría: Distribución del pago en el tiempo</x:t>
  </x:si>
  <x:si>
    <x:t xml:space="preserve">CB Consultoría: Distribución del pago en el tiempo</x:t>
  </x:si>
  <x:si>
    <x:t xml:space="preserve">Consultoría: Claridad del alcance</x:t>
  </x:si>
  <x:si>
    <x:t xml:space="preserve">CC Consultoría: Claridad del alcance</x:t>
  </x:si>
  <x:si>
    <x:t xml:space="preserve">Tiempo de garantía</x:t>
  </x:si>
  <x:si>
    <x:t xml:space="preserve">Factor Tiempo de Implementación / Tiempo para pagar saldo implementación</x:t>
  </x:si>
  <x:si>
    <x:r>
      <x:t xml:space="preserve">Se espera un factor </x:t>
    </x:r>
    <x:r>
      <x:rPr>
        <x:sz val="8"/>
        <x:color theme="1"/>
        <x:rFont val="Aptos Narrow"/>
        <x:family val="2"/>
      </x:rPr>
      <x:t xml:space="preserve">≥</x:t>
    </x:r>
    <x:r>
      <x:rPr>
        <x:sz val="8"/>
        <x:color theme="1"/>
        <x:rFont val="Calibri"/>
        <x:family val="2"/>
      </x:rPr>
      <x:t xml:space="preserve">1.00. Generalmente = 1.00</x:t>
    </x:r>
  </x:si>
  <x:si>
    <x:t xml:space="preserve">Costo Estimado alcance opcional</x:t>
  </x:si>
  <x:si>
    <x:t xml:space="preserve">kUSD</x:t>
  </x:si>
  <x:si>
    <x:t xml:space="preserve">Rubros no incluídos en propuesta básica ("Opcionales")</x:t>
  </x:si>
  <x:si>
    <x:t xml:space="preserve">Costo hardware especial requerido para alcance opcional</x:t>
  </x:si>
  <x:si>
    <x:t xml:space="preserve">RAM, tarjeta gráfica, etc. Oferente debe suministrar costo al menos estimado, aunque no sea el proveedor</x:t>
  </x:si>
  <x:si>
    <x:t xml:space="preserve">Costo Plan anual de parches, upgrades y soporte casa matriz</x:t>
  </x:si>
  <x:si>
    <x:t xml:space="preserve">Preferiblemente incluido en el costo de las licencias</x:t>
  </x:si>
  <x:si>
    <x:t xml:space="preserve">Forma de pago actualizaciones</x:t>
  </x:si>
  <x:si>
    <x:t xml:space="preserve">año anticipado; mes vencido, mes anticipado</x:t>
  </x:si>
  <x:si>
    <x:t xml:space="preserve">F Forma de pago año/mes</x:t>
  </x:si>
  <x:si>
    <x:r>
      <x:rPr>
        <x:sz val="8"/>
        <x:color theme="1"/>
        <x:rFont val="Wingdings"/>
      </x:rPr>
      <x:t xml:space="preserve">è</x:t>
    </x:r>
    <x:r>
      <x:rPr>
        <x:sz val="8"/>
        <x:color theme="1"/>
        <x:rFont val="Calibri"/>
        <x:family val="2"/>
        <x:scheme val="minor"/>
      </x:rPr>
      <x:t xml:space="preserve"> Costo unitario por hora de soporte</x:t>
    </x:r>
  </x:si>
  <x:si>
    <x:t xml:space="preserve">USD/hor</x:t>
  </x:si>
  <x:si>
    <x:t xml:space="preserve">USD por hora= 💰 / Ⓗ</x:t>
  </x:si>
  <x:si>
    <x:t xml:space="preserve">Costo unitario hora adicional</x:t>
  </x:si>
  <x:si>
    <x:t xml:space="preserve">COP/hor</x:t>
  </x:si>
  <x:si>
    <x:t xml:space="preserve">Pesos colombianos por hora</x:t>
  </x:si>
  <x:si>
    <x:t xml:space="preserve">Horas sobrantes se acumulan para siguiente año</x:t>
  </x:si>
  <x:si>
    <x:t xml:space="preserve">Bolsa de hor/año: Tipo de cobro</x:t>
  </x:si>
  <x:si>
    <x:t xml:space="preserve">Bolsa de hor/año: Distribución del pago en el tiempo</x:t>
  </x:si>
  <x:si>
    <x:t xml:space="preserve">Bolsa de hor/año: Claridad del alcance</x:t>
  </x:si>
  <x:si>
    <x:t xml:space="preserve">Costo total de propiedad (TCO) = Valor Presente Neto de la inversión y los costos primeros 3 años</x:t>
  </x:si>
  <x:si>
    <x:t xml:space="preserve">Costo inicial + costo anual + costo de mantenimiento + costo de soporte + costo de administración</x:t>
  </x:si>
  <x:si>
    <x:t xml:space="preserve">Reporte 1: Tablero de proyectos</x:t>
  </x:si>
  <x:si>
    <x:r>
      <x:t xml:space="preserve">Oportunidades de mejora: ▪Comparativo vs. Baseline ▪Mostrar gráficamente Desfase o Variación de fin </x:t>
    </x:r>
    <x:r>
      <x:rPr>
        <x:sz val="8"/>
        <x:color theme="1"/>
        <x:rFont val="Calibri"/>
        <x:family val="2"/>
      </x:rPr>
      <x:t xml:space="preserve">▪</x:t>
    </x:r>
    <x:r>
      <x:rPr>
        <x:sz val="8"/>
        <x:color theme="1"/>
        <x:rFont val="Calibri"/>
        <x:family val="2"/>
        <x:scheme val="minor"/>
      </x:rPr>
      <x:t xml:space="preserve">Leyenda o "Convenciones" </x:t>
    </x:r>
    <x:r>
      <x:rPr>
        <x:sz val="8"/>
        <x:color theme="1"/>
        <x:rFont val="Calibri"/>
        <x:family val="2"/>
      </x:rPr>
      <x:t xml:space="preserve">▪Abrir por disciplina ▪Agregar gráfico de estatus presupuestal.</x:t>
    </x:r>
  </x:si>
  <x:si>
    <x:t xml:space="preserve">Reporte 2: Reporte ejecutivo proyecto</x:t>
  </x:si>
  <x:si>
    <x:r>
      <x:t xml:space="preserve">Oportunidad de mejora: ▪La imagen de arriba generalmente es un layout esquemático del alcance del proyecto </x:t>
    </x:r>
    <x:r>
      <x:rPr>
        <x:sz val="8"/>
        <x:color theme="1"/>
        <x:rFont val="Calibri"/>
        <x:family val="2"/>
      </x:rPr>
      <x:t xml:space="preserve">▪</x:t>
    </x:r>
    <x:r>
      <x:rPr>
        <x:sz val="8"/>
        <x:color theme="1"/>
        <x:rFont val="Calibri"/>
        <x:family val="2"/>
        <x:scheme val="minor"/>
      </x:rPr>
      <x:t xml:space="preserve">Este reporte tiene actualmente un alto componente manual. Se prepara en PowerPoint y se publica en PDF </x:t>
    </x:r>
    <x:r>
      <x:rPr>
        <x:sz val="8"/>
        <x:color theme="1"/>
        <x:rFont val="Calibri"/>
        <x:family val="2"/>
      </x:rPr>
      <x:t xml:space="preserve">▪</x:t>
    </x:r>
    <x:r>
      <x:rPr>
        <x:sz val="8"/>
        <x:color theme="1"/>
        <x:rFont val="Calibri"/>
        <x:family val="2"/>
        <x:scheme val="minor"/>
      </x:rPr>
      <x:t xml:space="preserve">La curva de avance generalmente es la del proyecto.</x:t>
    </x:r>
  </x:si>
  <x:si>
    <x:t xml:space="preserve">Reporte 3: Curva de avance proyecto</x:t>
  </x:si>
  <x:si>
    <x:r>
      <x:t xml:space="preserve">Oportunidad de mejora: </x:t>
    </x:r>
    <x:r>
      <x:rPr>
        <x:sz val="8"/>
        <x:color theme="1"/>
        <x:rFont val="Calibri"/>
        <x:family val="2"/>
      </x:rPr>
      <x:t xml:space="preserve">▪</x:t>
    </x:r>
    <x:r>
      <x:rPr>
        <x:sz val="7"/>
        <x:color theme="1"/>
        <x:rFont val="Calibri"/>
        <x:family val="2"/>
      </x:rPr>
      <x:t xml:space="preserve">Atraso en % </x:t>
    </x:r>
  </x:si>
  <x:si>
    <x:t xml:space="preserve">Esta gráfica muestra atraso de la curva global. Oportunidades de mejora: Mostrar el atraso de la ruta crítica= Final estimado - Final BL. Estos conceptos requieren sensibilización de usuarios visualizadores.</x:t>
  </x:si>
  <x:si>
    <x:t xml:space="preserve">Reporte 4: Curva de avance Mantenimiento Anual con Hitos</x:t>
  </x:si>
  <x:si>
    <x:t xml:space="preserve">Oportunidades de mejora: Aplicar y etiquetar hitos y atrasos, automáticamente, sin que se crucen visualmente.</x:t>
  </x:si>
  <x:si>
    <x:t xml:space="preserve">Nota: Es muy importante mostrar el Desfase o Variación de fin en la unidad de tiempo idónea (meses o semanas para cronogramas ejecutivos, días u horas para mantenimientos anuales)</x:t>
  </x:si>
  <x:si>
    <x:t xml:space="preserve">Firma Oferente:</x:t>
  </x:si>
  <x:si>
    <x:t xml:space="preserve">Ficticious Projects Fusion</x:t>
  </x:si>
  <x:si>
    <x:t xml:space="preserve">Página de precios unitarios</x:t>
  </x:si>
  <x:si>
    <x:t xml:space="preserve">mes01</x:t>
  </x:si>
  <x:si>
    <x:t xml:space="preserve">mes02</x:t>
  </x:si>
  <x:si>
    <x:t xml:space="preserve">mes03</x:t>
  </x:si>
  <x:si>
    <x:t xml:space="preserve">mes04</x:t>
  </x:si>
  <x:si>
    <x:t xml:space="preserve">mes05</x:t>
  </x:si>
  <x:si>
    <x:t xml:space="preserve">mes06</x:t>
  </x:si>
  <x:si>
    <x:t xml:space="preserve">mes07</x:t>
  </x:si>
  <x:si>
    <x:t xml:space="preserve">mes08</x:t>
  </x:si>
  <x:si>
    <x:t xml:space="preserve">mes09</x:t>
  </x:si>
  <x:si>
    <x:t xml:space="preserve">mes10</x:t>
  </x:si>
  <x:si>
    <x:t xml:space="preserve">mes11</x:t>
  </x:si>
  <x:si>
    <x:t xml:space="preserve">mes12</x:t>
  </x:si>
  <x:si>
    <x:t xml:space="preserve">mes13</x:t>
  </x:si>
  <x:si>
    <x:t xml:space="preserve">mes14</x:t>
  </x:si>
  <x:si>
    <x:t xml:space="preserve">mes15</x:t>
  </x:si>
  <x:si>
    <x:t xml:space="preserve">mes16</x:t>
  </x:si>
  <x:si>
    <x:t xml:space="preserve">mes17</x:t>
  </x:si>
  <x:si>
    <x:t xml:space="preserve">mes18</x:t>
  </x:si>
  <x:si>
    <x:t xml:space="preserve">mes19</x:t>
  </x:si>
  <x:si>
    <x:t xml:space="preserve">mes20</x:t>
  </x:si>
  <x:si>
    <x:t xml:space="preserve">mes21</x:t>
  </x:si>
  <x:si>
    <x:t xml:space="preserve">mes22</x:t>
  </x:si>
  <x:si>
    <x:t xml:space="preserve">mes23</x:t>
  </x:si>
  <x:si>
    <x:t xml:space="preserve">mes24</x:t>
  </x:si>
  <x:si>
    <x:t xml:space="preserve">mes25</x:t>
  </x:si>
  <x:si>
    <x:t xml:space="preserve">mes26</x:t>
  </x:si>
  <x:si>
    <x:t xml:space="preserve">mes27</x:t>
  </x:si>
  <x:si>
    <x:t xml:space="preserve">mes28</x:t>
  </x:si>
  <x:si>
    <x:t xml:space="preserve">mes29</x:t>
  </x:si>
  <x:si>
    <x:t xml:space="preserve">mes30</x:t>
  </x:si>
  <x:si>
    <x:t xml:space="preserve">mes31</x:t>
  </x:si>
  <x:si>
    <x:t xml:space="preserve">mes32</x:t>
  </x:si>
  <x:si>
    <x:t xml:space="preserve">mes33</x:t>
  </x:si>
  <x:si>
    <x:t xml:space="preserve">mes34</x:t>
  </x:si>
  <x:si>
    <x:t xml:space="preserve">mes35</x:t>
  </x:si>
  <x:si>
    <x:t xml:space="preserve">mes36</x:t>
  </x:si>
  <x:si>
    <x:t xml:space="preserve">TCO Valor total [USD]</x:t>
  </x:si>
  <x:si>
    <x:t xml:space="preserve">Resumen solución tecnológica:</x:t>
  </x:si>
  <x:si>
    <x:t xml:space="preserve">Híbrido Licencias de Time Line + Licencias SuperProject para usuarios visuallizadores</x:t>
  </x:si>
  <x:si>
    <x:t xml:space="preserve">Desde:</x:t>
  </x:si>
  <x:si>
    <x:t xml:space="preserve">Q3</x:t>
  </x:si>
  <x:si>
    <x:t xml:space="preserve">Q4</x:t>
  </x:si>
  <x:si>
    <x:t xml:space="preserve">Q1</x:t>
  </x:si>
  <x:si>
    <x:t xml:space="preserve">Q2</x:t>
  </x:si>
  <x:si>
    <x:t xml:space="preserve">Hasta:</x:t>
  </x:si>
  <x:si>
    <x:t xml:space="preserve">Tipo de usuario</x:t>
  </x:si>
  <x:si>
    <x:t xml:space="preserve">User</x:t>
  </x:si>
  <x:si>
    <x:t xml:space="preserve">Rol</x:t>
  </x:si>
  <x:si>
    <x:t xml:space="preserve">Análogo Microsoft Project</x:t>
  </x:si>
  <x:si>
    <x:t xml:space="preserve">Moneda</x:t>
  </x:si>
  <x:si>
    <x:t xml:space="preserve">Mon Escala</x:t>
  </x:si>
  <x:si>
    <x:t xml:space="preserve">Currency Scale</x:t>
  </x:si>
  <x:si>
    <x:t xml:space="preserve">TRM</x:t>
  </x:si>
  <x:si>
    <x:t xml:space="preserve">Frecuencia de Facturación</x:t>
  </x:si>
  <x:si>
    <x:t xml:space="preserve">Plazo de Pago
[≥ 60d]</x:t>
  </x:si>
  <x:si>
    <x:t xml:space="preserve">Precio Unitario en la [Moneda] y [Escala] indicadas por fila</x:t>
  </x:si>
  <x:si>
    <x:t xml:space="preserve">MON</x:t>
  </x:si>
  <x:si>
    <x:t xml:space="preserve">Cantidad de licencias entrantes por mes
(estimado SWC)</x:t>
  </x:si>
  <x:si>
    <x:t xml:space="preserve">Evento supuesto</x:t>
  </x:si>
  <x:si>
    <x:t xml:space="preserve">🔷 Inicio implementación Molinos</x:t>
  </x:si>
  <x:si>
    <x:t xml:space="preserve">🔷 Inicio implementación Corrugado</x:t>
  </x:si>
  <x:si>
    <x:t xml:space="preserve">🔷 Inicio otras divisiones o países</x:t>
  </x:si>
  <x:si>
    <x:t xml:space="preserve">Super Administrador / TI</x:t>
  </x:si>
  <x:si>
    <x:t xml:space="preserve">Global Admin / Super User</x:t>
  </x:si>
  <x:si>
    <x:t xml:space="preserve">Control total de la infraestructura, hardware, red, permisos, licencias, integraciones (con el ERP o Active Directory) y la seguridad global informática.</x:t>
  </x:si>
  <x:si>
    <x:t xml:space="preserve">PP5</x:t>
  </x:si>
  <x:si>
    <x:t xml:space="preserve">EUR</x:t>
  </x:si>
  <x:si>
    <x:t xml:space="preserve"> 1</x:t>
  </x:si>
  <x:si>
    <x:t xml:space="preserve">Mensual Anticipado (Monthly In Advance)</x:t>
  </x:si>
  <x:si>
    <x:t xml:space="preserve">Administradores del Sistema</x:t>
  </x:si>
  <x:si>
    <x:t xml:space="preserve">System Admin / Power User</x:t>
  </x:si>
  <x:si>
    <x:t xml:space="preserve">Configura metodologías, flujos de la PMO. Creación plantillas, iniciativas, proyectos, tareas, amarres y recursos. Asignación recursos. Fórmulas, campos personalizados, creación vistas. Soporte interno.</x:t>
  </x:si>
  <x:si>
    <x:t xml:space="preserve">Consultores expertos PMO</x:t>
  </x:si>
  <x:si>
    <x:t xml:space="preserve">Technical Configurator</x:t>
  </x:si>
  <x:si>
    <x:t xml:space="preserve">Acceso técnico para revisión de fórmulas, permisos y flujos de trabajo</x:t>
  </x:si>
  <x:si>
    <x:t xml:space="preserve">Contralores / Planificadores</x:t>
  </x:si>
  <x:si>
    <x:t xml:space="preserve">Portfolio Creator &amp; Finance</x:t>
  </x:si>
  <x:si>
    <x:t xml:space="preserve">Creación de iniciativas, presupuestos preliminares, flujos de caja y cargas de Excel. Formulación (Project Charter), presentaciones y reportes ejecutivos. Ctrl financiero</x:t>
  </x:si>
  <x:si>
    <x:t xml:space="preserve">PP3</x:t>
  </x:si>
  <x:si>
    <x:t xml:space="preserve">Gerentes de Proyecto y Líderes de disciplina</x:t>
  </x:si>
  <x:si>
    <x:t xml:space="preserve">Project Manager / Team Leader</x:t>
  </x:si>
  <x:si>
    <x:t xml:space="preserve">Gestión del día a día, asignación de tareas, cronogramas, revisión reportes de avance y ruta(s) crítica(s) . Supervisión reportes y comentarios ejecutivos.</x:t>
  </x:si>
  <x:si>
    <x:t xml:space="preserve">Ingenieros y Analistas de Ingeniería</x:t>
  </x:si>
  <x:si>
    <x:t xml:space="preserve">Team Member / Contributor</x:t>
  </x:si>
  <x:si>
    <x:t xml:space="preserve">Actualización de sus propias tareas, registro de tiempos y carga de entregables. Actualización fechas y %'s de ejecución.</x:t>
  </x:si>
  <x:si>
    <x:t xml:space="preserve">PP1</x:t>
  </x:si>
  <x:si>
    <x:t xml:space="preserve">Directivos e Interesados</x:t>
  </x:si>
  <x:si>
    <x:t xml:space="preserve">Viewer / Stakeholder</x:t>
  </x:si>
  <x:si>
    <x:t xml:space="preserve">Consulta de tableros (dashboards), reportes ejecutivos e indicadores de gestión. Posibilidad de entrar al detalle hasta cierto nivel.</x:t>
  </x:si>
  <x:si>
    <x:t xml:space="preserve">PP0</x:t>
  </x:si>
  <x:si>
    <x:t xml:space="preserve">Licencias acumuladas</x:t>
  </x:si>
  <x:si>
    <x:t xml:space="preserve">Planners</x:t>
  </x:si>
  <x:si>
    <x:t xml:space="preserve">Admin</x:t>
  </x:si>
  <x:si>
    <x:t xml:space="preserve">Administrador</x:t>
  </x:si>
  <x:si>
    <x:t xml:space="preserve">Ing. Senior</x:t>
  </x:si>
  <x:si>
    <x:t xml:space="preserve">Project Manager</x:t>
  </x:si>
  <x:si>
    <x:t xml:space="preserve">Gerente y líder</x:t>
  </x:si>
  <x:si>
    <x:t xml:space="preserve">Ing. y Analista</x:t>
  </x:si>
  <x:si>
    <x:t xml:space="preserve">Team Member</x:t>
  </x:si>
  <x:si>
    <x:t xml:space="preserve">Equipo de trabajo</x:t>
  </x:si>
  <x:si>
    <x:t xml:space="preserve">Interesado</x:t>
  </x:si>
  <x:si>
    <x:t xml:space="preserve">Visualizador</x:t>
  </x:si>
  <x:si>
    <x:t xml:space="preserve">Precios unitarios que aplican</x:t>
  </x:si>
  <x:si>
    <x:t xml:space="preserve">Costo licenciamiento total en USD $ Dólares</x:t>
  </x:si>
  <x:si>
    <x:t xml:space="preserve">USD</x:t>
  </x:si>
  <x:si>
    <x:t xml:space="preserve">Modo de Pago</x:t>
  </x:si>
  <x:si>
    <x:t xml:space="preserve">Distribución de los pagos de consultoría</x:t>
  </x:si>
  <x:si>
    <x:t xml:space="preserve">Consultoría de implementación (Capacitación y Acompañamiento) Fase I</x:t>
  </x:si>
  <x:si>
    <x:t xml:space="preserve">Considerar siempre retención ≤ 10%</x:t>
  </x:si>
  <x:si>
    <x:t xml:space="preserve">COP</x:t>
  </x:si>
  <x:si>
    <x:t xml:space="preserve">M Millones</x:t>
  </x:si>
  <x:si>
    <x:t xml:space="preserve">Anticipo y Actas de Avance </x:t>
  </x:si>
  <x:si>
    <x:t xml:space="preserve">Consultoría de implementación (Capacitación y Acompañamiento) Fase II</x:t>
  </x:si>
  <x:si>
    <x:t xml:space="preserve">Costo bolsa anual de 450 horas</x:t>
  </x:si>
  <x:si>
    <x:t xml:space="preserve">Mensual Fija (Retainer)</x:t>
  </x:si>
  <x:si>
    <x:t xml:space="preserve">k mil</x:t>
  </x:si>
  <x:si>
    <x:t xml:space="preserve">Resumen de costos</x:t>
  </x:si>
  <x:si>
    <x:t xml:space="preserve">TCO=</x:t>
  </x:si>
  <x:si>
    <x:t xml:space="preserve">Costo licenciamiento</x:t>
  </x:si>
  <x:si>
    <x:t xml:space="preserve">Costo consultoría (Fase I + Fase II + Bolsas de horas)</x:t>
  </x:si>
  <x:si>
    <x:t xml:space="preserve">Firma consultora</x:t>
  </x:si>
  <x:si>
    <x:t xml:space="preserve">Empresa cliente</x:t>
  </x:si>
  <x:si>
    <x:t xml:space="preserve">Ciudad o municipio</x:t>
  </x:si>
  <x:si>
    <x:t xml:space="preserve">País</x:t>
  </x:si>
  <x:si>
    <x:t xml:space="preserve">Nombre contacto</x:t>
  </x:si>
  <x:si>
    <x:t xml:space="preserve">Email contacto</x:t>
  </x:si>
  <x:si>
    <x:t xml:space="preserve">Teléfono contacto</x:t>
  </x:si>
  <x:si>
    <x:t xml:space="preserve">Solución aplicada</x:t>
  </x:si>
  <x:si>
    <x:t xml:space="preserve">Proyectos implementados</x:t>
  </x:si>
  <x:si>
    <x:t xml:space="preserve">Actual (en curso) Sí/No</x:t>
  </x:si>
  <x:si>
    <x:t xml:space="preserve">Tipo de proyecto (describir/sintetizar a criterio propio)</x:t>
  </x:si>
  <x:si>
    <x:t xml:space="preserve">Rol específico de la firma consultora</x:t>
  </x:si>
  <x:si>
    <x:t xml:space="preserve">Alcance funcional (PPM, recursos, portafolio, reporting)</x:t>
  </x:si>
  <x:si>
    <x:t xml:space="preserve">Año</x:t>
  </x:si>
  <x:si>
    <x:t xml:space="preserve">PAR</x:t>
  </x:si>
  <x:si>
    <x:t xml:space="preserve">Glosario ⬇️</x:t>
  </x:si>
  <x:si>
    <x:t xml:space="preserve">Orig</x:t>
  </x:si>
  <x:si>
    <x:t xml:space="preserve">Cont</x:t>
  </x:si>
  <x:si>
    <x:t xml:space="preserve">Descripción</x:t>
  </x:si>
  <x:si>
    <x:t xml:space="preserve">Imagen</x:t>
  </x:si>
  <x:si>
    <x:t xml:space="preserve">Unidad de medida</x:t>
  </x:si>
  <x:si>
    <x:t xml:space="preserve">Cantidad</x:t>
  </x:si>
  <x:si>
    <x:r>
      <x:t xml:space="preserve">℗ o </x:t>
    </x:r>
    <x:r>
      <x:rPr>
        <x:sz val="8"/>
        <x:rFont val="Webdings"/>
        <x:family val="1"/>
      </x:rPr>
      <x:t xml:space="preserve">è</x:t>
    </x:r>
  </x:si>
  <x:si>
    <x:t xml:space="preserve">Pendiente…</x:t>
  </x:si>
  <x:si>
    <x:t xml:space="preserve">Ω</x:t>
  </x:si>
  <x:si>
    <x:t xml:space="preserve">Letra Omega: equivale a "Oferente" o firma proponente.</x:t>
  </x:si>
  <x:si>
    <x:t xml:space="preserve">TI</x:t>
  </x:si>
  <x:si>
    <x:t xml:space="preserve">Accidentes.xlsx</x:t>
  </x:si>
  <x:si>
    <x:t xml:space="preserve">Archivo Excel donde IP registra todos los accidentes (y algunos incidentes) laborales y ambientales relacionados con sus proyectos.</x:t>
  </x:si>
  <x:si>
    <x:t xml:space="preserve">API</x:t>
  </x:si>
  <x:si>
    <x:r>
      <x:t xml:space="preserve">API (</x:t>
    </x:r>
    <x:r>
      <x:rPr>
        <x:i/>
        <x:sz val="8"/>
        <x:color theme="1"/>
        <x:rFont val="Calibri"/>
        <x:family val="2"/>
        <x:scheme val="minor"/>
      </x:rPr>
      <x:t xml:space="preserve">Application Programming Interface</x:t>
    </x:r>
    <x:r>
      <x:rPr>
        <x:sz val="8"/>
        <x:color theme="1"/>
        <x:rFont val="Calibri"/>
        <x:family val="2"/>
        <x:scheme val="minor"/>
      </x:rPr>
      <x:t xml:space="preserve"> o Interfaz de Programación de Aplicaciones) es un conjunto de reglas y protocolos que permite que 2 (o más) componentes de software se comuniquen entre sí, facilitando el intercambio de datos y funcionalidades. Actúa como un intermediario o "puente", donde una aplicación (cliente) solicita información y otra (servidor) responde, sin necesidad de conocer sus detalles internos</x:t>
    </x:r>
  </x:si>
  <x:si>
    <x:t xml:space="preserve">Autodesk Forma</x:t>
  </x:si>
  <x:si>
    <x:t xml:space="preserve">Antes ACC. Autocad Construction Cloud. Plataforma de Autodesk que integra los planos y modelos de la planta y de cada proyecto, con el fin de gestionar/visualizar la maqueta virtual (Gemelo Digital o Modelo BIM) desde la fase de conceptualización hasta su operación.</x:t>
  </x:si>
  <x:si>
    <x:t xml:space="preserve">Aux. Doc.</x:t>
  </x:si>
  <x:si>
    <x:t xml:space="preserve">Auxiliar de Documentación.</x:t>
  </x:si>
  <x:si>
    <x:t xml:space="preserve">BDatos</x:t>
  </x:si>
  <x:si>
    <x:t xml:space="preserve">Base de Datos o Database.</x:t>
  </x:si>
  <x:si>
    <x:t xml:space="preserve">Bidiario</x:t>
  </x:si>
  <x:si>
    <x:t xml:space="preserve">2 veces por día. Es posible que, durante un Mantenimiento Anual, el reporte de avance se genere 2 veces cada día: Uno en la mañana y otro en la tarde.</x:t>
  </x:si>
  <x:si>
    <x:t xml:space="preserve">BIM</x:t>
  </x:si>
  <x:si>
    <x:t xml:space="preserve">Building Information Modeling: Metodología de trabajo colaborativa basada en la creación de un modelo digital que centraliza toda la información geométrica, técnica y operativa de un proyecto durante todo su ciclo de vida. Utiliza planos (2D) y representaciones digitales en 3D enriquecidas con datos técnicos para diseñar, construir y operar infraestructuras de manera eficiente.</x:t>
  </x:si>
  <x:si>
    <x:t xml:space="preserve">Firma fabricante del software</x:t>
  </x:si>
  <x:si>
    <x:t xml:space="preserve">CD</x:t>
  </x:si>
  <x:si>
    <x:t xml:space="preserve">Departamento de Contraloría Divisional.</x:t>
  </x:si>
  <x:si>
    <x:t xml:space="preserve">CDE</x:t>
  </x:si>
  <x:si>
    <x:t xml:space="preserve">Common Data Environment / Entorno Común de Datos): Plataforma digital y flujo de trabajo que gestiona de forma exclusiva la documentación técnica de un proyecto BIM (planos, data-sheets, layouts, P&amp;ID's, unifilares y modelos 3D), aislando este flujo de la documentación ofimática y administrativa (actas, cronogramas, presupuestos o matrices de riesgo). Garantiza el control técnico del activo a través del ciclo de estados de la información: WIP (en desarrollo), Shared (compartido para revisión y coordinación), Published (aprobado para construcción), Archived (historial o As-Built) y su entrega a operación (As-Is).</x:t>
  </x:si>
  <x:si>
    <x:t xml:space="preserve">Changelog</x:t>
  </x:si>
  <x:si>
    <x:r>
      <x:t xml:space="preserve">Es un registro técnico, exhaustivo y cronológico de absolutamente todo lo que se modificó en el código.
</x:t>
    </x:r>
    <x:r>
      <x:rPr>
        <x:b/>
        <x:sz val="8"/>
        <x:color theme="1"/>
        <x:rFont val="Calibri"/>
        <x:family val="2"/>
        <x:scheme val="minor"/>
      </x:rPr>
      <x:t xml:space="preserve">Audiencia</x:t>
    </x:r>
    <x:r>
      <x:rPr>
        <x:sz val="8"/>
        <x:color theme="1"/>
        <x:rFont val="Calibri"/>
        <x:family val="2"/>
        <x:scheme val="minor"/>
      </x:rPr>
      <x:t xml:space="preserve">: Ingenieros de proyecto, TI y PMO.
</x:t>
    </x:r>
    <x:r>
      <x:rPr>
        <x:b/>
        <x:sz val="8"/>
        <x:color theme="1"/>
        <x:rFont val="Calibri"/>
        <x:family val="2"/>
        <x:scheme val="minor"/>
      </x:rPr>
      <x:t xml:space="preserve">Contenido</x:t>
    </x:r>
    <x:r>
      <x:rPr>
        <x:sz val="8"/>
        <x:color theme="1"/>
        <x:rFont val="Calibri"/>
        <x:family val="2"/>
        <x:scheme val="minor"/>
      </x:rPr>
      <x:t xml:space="preserve">: Listado crudo de bugs corregidos, funciones eliminadas, cambios en la base de datos y actualizaciones de librerías.
</x:t>
    </x:r>
    <x:r>
      <x:rPr>
        <x:b/>
        <x:sz val="8"/>
        <x:color theme="1"/>
        <x:rFont val="Calibri"/>
        <x:family val="2"/>
        <x:scheme val="minor"/>
      </x:rPr>
      <x:t xml:space="preserve">Estilo</x:t>
    </x:r>
    <x:r>
      <x:rPr>
        <x:sz val="8"/>
        <x:color theme="1"/>
        <x:rFont val="Calibri"/>
        <x:family val="2"/>
        <x:scheme val="minor"/>
      </x:rPr>
      <x:t xml:space="preserve">: "Se corrigió el error en el puntero de la API v2.1" o "Update de Node.js a la versión 18".
Sirve para ver si el software tiene muchos errores técnicos (muchos arreglos de bugs = inmadurez).</x:t>
    </x:r>
  </x:si>
  <x:si>
    <x:t xml:space="preserve">CI</x:t>
  </x:si>
  <x:si>
    <x:t xml:space="preserve">Departamento de Compras e Importaciones.</x:t>
  </x:si>
  <x:si>
    <x:t xml:space="preserve">Co.</x:t>
  </x:si>
  <x:si>
    <x:t xml:space="preserve">Firma contratista, empresa proveedora o prestadora de un servicio (Actualmente es un campo personalizado de Project)</x:t>
  </x:si>
  <x:si>
    <x:t xml:space="preserve">Comprometido</x:t>
  </x:si>
  <x:si>
    <x:t xml:space="preserve">Pedidos no recibidos (material o equipo no entregado en almacén, servicio no notificado), incluido el Comprometido indirecto (embalaje, transporte, logística, seguros, aduana, nacionalización, cargue, descargue, fletes, etc.)</x:t>
  </x:si>
  <x:si>
    <x:t xml:space="preserve">Comprometido Indirecto</x:t>
  </x:si>
  <x:si>
    <x:t xml:space="preserve">Estimado de los costos de impuestos, transporte, seguros, etc.</x:t>
  </x:si>
  <x:si>
    <x:t xml:space="preserve">Consorcio</x:t>
  </x:si>
  <x:si>
    <x:t xml:space="preserve">Unión de 2 firmas para licitar (cotizar)</x:t>
  </x:si>
  <x:si>
    <x:t xml:space="preserve">Adquisiciones y contratación</x:t>
  </x:si>
  <x:si>
    <x:t xml:space="preserve">Consultor, Proveedor</x:t>
  </x:si>
  <x:si>
    <x:t xml:space="preserve">Firma a la que finalmente se le otorgará el contrato de servicio</x:t>
  </x:si>
  <x:si>
    <x:t xml:space="preserve">Contrato</x:t>
  </x:si>
  <x:si>
    <x:t xml:space="preserve">Orden de compra o Pedido que se genera en SAP para hacer un trabajo o comprar de un bien.</x:t>
  </x:si>
  <x:si>
    <x:t xml:space="preserve">Control de Proyectos</x:t>
  </x:si>
  <x:si>
    <x:r>
      <x:t xml:space="preserve">Proceso continuo de medir el avance de una obra o iniciativa, comparar los resultados reales con la planificación inicial y aplicar acciones correctivas para asegurar que el proyecto se complete a tiempo, dentro del presupuesto y con la calidad requerida. A diferencia de la gestión general, el control se enfoca específicamente en los datos, las métricas y las desviaciones. Funciones principales: </x:t>
    </x:r>
    <x:r>
      <x:rPr>
        <x:sz val="8"/>
        <x:rFont val="Calibri"/>
        <x:family val="2"/>
      </x:rPr>
      <x:t xml:space="preserve">▪</x:t>
    </x:r>
    <x:r>
      <x:rPr>
        <x:b/>
        <x:sz val="8"/>
        <x:rFont val="Calibri"/>
        <x:family val="2"/>
        <x:scheme val="minor"/>
      </x:rPr>
      <x:t xml:space="preserve">Monitoreo de costos</x:t>
    </x:r>
    <x:r>
      <x:rPr>
        <x:sz val="8"/>
        <x:rFont val="Calibri"/>
        <x:family val="2"/>
        <x:scheme val="minor"/>
      </x:rPr>
      <x:t xml:space="preserve">: Supervisar el dinero gastado para evitar sobrecostos (utilizando técnicas como el Análisis de Valor Ganado). ▪</x:t>
    </x:r>
    <x:r>
      <x:rPr>
        <x:b/>
        <x:sz val="8"/>
        <x:rFont val="Calibri"/>
        <x:family val="2"/>
        <x:scheme val="minor"/>
      </x:rPr>
      <x:t xml:space="preserve">Control de cronograma</x:t>
    </x:r>
    <x:r>
      <x:rPr>
        <x:sz val="8"/>
        <x:rFont val="Calibri"/>
        <x:family val="2"/>
        <x:scheme val="minor"/>
      </x:rPr>
      <x:t xml:space="preserve">: Asegurar que los hitos y tareas se cumplan en las fechas límite establecidas. ▪</x:t>
    </x:r>
    <x:r>
      <x:rPr>
        <x:b/>
        <x:sz val="8"/>
        <x:rFont val="Calibri"/>
        <x:family val="2"/>
        <x:scheme val="minor"/>
      </x:rPr>
      <x:t xml:space="preserve">Gestión de cambios</x:t>
    </x:r>
    <x:r>
      <x:rPr>
        <x:sz val="8"/>
        <x:rFont val="Calibri"/>
        <x:family val="2"/>
        <x:scheme val="minor"/>
      </x:rPr>
      <x:t xml:space="preserve">: Evaluar y aprobar (o rechazar) de forma estricta cualquier modificación al alcance original del proyecto. ▪</x:t>
    </x:r>
    <x:r>
      <x:rPr>
        <x:b/>
        <x:sz val="8"/>
        <x:rFont val="Calibri"/>
        <x:family val="2"/>
        <x:scheme val="minor"/>
      </x:rPr>
      <x:t xml:space="preserve">Mitigación de riesgos</x:t>
    </x:r>
    <x:r>
      <x:rPr>
        <x:sz val="8"/>
        <x:rFont val="Calibri"/>
        <x:family val="2"/>
        <x:scheme val="minor"/>
      </x:rPr>
      <x:t xml:space="preserve">: Identificar problemas potenciales antes de que ocurran y ejecutar planes de contingencia.
Diferencia entre Gestión y Control: ▪</x:t>
    </x:r>
    <x:r>
      <x:rPr>
        <x:b/>
        <x:sz val="8"/>
        <x:rFont val="Calibri"/>
        <x:family val="2"/>
        <x:scheme val="minor"/>
      </x:rPr>
      <x:t xml:space="preserve">Gestión de proyectos</x:t>
    </x:r>
    <x:r>
      <x:rPr>
        <x:sz val="8"/>
        <x:rFont val="Calibri"/>
        <x:family val="2"/>
        <x:scheme val="minor"/>
      </x:rPr>
      <x:t xml:space="preserve"> (Management): Es el rol amplio. Define el rumbo, lidera al equipo, comunica a los interesados y asigna los recursos. ▪</x:t>
    </x:r>
    <x:r>
      <x:rPr>
        <x:b/>
        <x:sz val="8"/>
        <x:rFont val="Calibri"/>
        <x:family val="2"/>
        <x:scheme val="minor"/>
      </x:rPr>
      <x:t xml:space="preserve">Control de proyectos</x:t>
    </x:r>
    <x:r>
      <x:rPr>
        <x:sz val="8"/>
        <x:rFont val="Calibri"/>
        <x:family val="2"/>
        <x:scheme val="minor"/>
      </x:rPr>
      <x:t xml:space="preserve"> (Controls): Es la función analítica. Procesa los datos, genera los reportes de rendimiento y advierte al gestor si el proyecto se está desviando del plan</x:t>
    </x:r>
  </x:si>
  <x:si>
    <x:t xml:space="preserve">Pesos colombianos. kCOP= miles de pesos. MCOP= Millones de pesos</x:t>
  </x:si>
  <x:si>
    <x:t xml:space="preserve">CPLT</x:t>
  </x:si>
  <x:si>
    <x:t xml:space="preserve">Herramienta corporativa actual para matricular proyectos</x:t>
  </x:si>
  <x:si>
    <x:t xml:space="preserve">Período estimado desde que el software está listo para operación (fin de la implementación) hasta que al menos un usuario de la PMO puede operar y administrar el sistema de forma autónoma, cubriendo aproximadamente el 70% de sus capacidades funcionales, sin soporte del proveedor.</x:t>
  </x:si>
  <x:si>
    <x:t xml:space="preserve">Tiempo estimado para que un usuario promedio pueda operar el sistema en sus funciones habituales de gestión de proyectos sin necesidad de soporte funcional.</x:t>
  </x:si>
  <x:si>
    <x:t xml:space="preserve">Curvas de avance</x:t>
  </x:si>
  <x:si>
    <x:r>
      <x:t xml:space="preserve">Las curvas de avance (a menudo llamadas Curvas S) son gráficos que muestran el progreso acumulado de un proyecto a lo largo del tiempo. Las 4 líneas clave son:
</x:t>
    </x:r>
    <x:r>
      <x:rPr>
        <x:sz val="8"/>
        <x:color theme="1"/>
        <x:rFont val="Calibri"/>
        <x:family val="2"/>
      </x:rPr>
      <x:t xml:space="preserve">▪</x:t>
    </x:r>
    <x:r>
      <x:rPr>
        <x:sz val="8"/>
        <x:color theme="1"/>
        <x:rFont val="Calibri"/>
        <x:family val="2"/>
        <x:scheme val="minor"/>
      </x:rPr>
      <x:t xml:space="preserve">Línea Prevista (Línea Base): Es el mapa original. Muestra cómo debería avanzar el proyecto según lo prometido.
▪Línea de Avance Real: Muestra lo que realmente se ha construido, diseñado o completado hasta la fecha de estado.
▪Línea de Costo Real: Muestra cuánto dinero se ha gastado para lograr ese avance.
▪Línea Proyectada: Muestra el Costo Estimado Final (eje Y) en la fecha esperada de finalización (eje X). En este punto se puede observar el posible atraso o desfase en tiempo, y posible sobrecosto.
Conclusiones: </x:t>
    </x:r>
    <x:r>
      <x:rPr>
        <x:sz val="8"/>
        <x:color theme="1"/>
        <x:rFont val="Calibri"/>
        <x:family val="2"/>
      </x:rPr>
      <x:t xml:space="preserve">▪</x:t>
    </x:r>
    <x:r>
      <x:rPr>
        <x:sz val="8"/>
        <x:color theme="1"/>
        <x:rFont val="Calibri"/>
        <x:family val="2"/>
        <x:scheme val="minor"/>
      </x:rPr>
      <x:t xml:space="preserve">Línea real está por DEBAJO de la prevista: Atraso. ▪Línea real está por ENCIMA de la previsata: Adelanto. ▪Línea de costo está por encima de la de avance: Sobrecosto.</x:t>
    </x:r>
  </x:si>
  <x:si>
    <x:t xml:space="preserve">Dashboard</x:t>
  </x:si>
  <x:si>
    <x:t xml:space="preserve">Reporte gráfico o conjunto de gráficos de estadísticas relevantes e indicadores de gestión.</x:t>
  </x:si>
  <x:si>
    <x:t xml:space="preserve">DD</x:t>
  </x:si>
  <x:si>
    <x:t xml:space="preserve">2 dígitos que representan el primer nivel de la WBS de disciplinas: 01 Proyecto, 02 Subsistema, 03 Mecánico, 04 EIC, 05 Civil, 06 Proceso, 10 Administrativo, 20 Varios o General.</x:t>
  </x:si>
  <x:si>
    <x:t xml:space="preserve">Depto.</x:t>
  </x:si>
  <x:si>
    <x:t xml:space="preserve">Departamento o planta a cargo del proyecto</x:t>
  </x:si>
  <x:si>
    <x:t xml:space="preserve">Diagrama de Convergencia</x:t>
  </x:si>
  <x:si>
    <x:r>
      <x:t xml:space="preserve">Herramienta visual que muestra cómo diferentes variables, estimaciones, simulaciones o flujos de trabajo se aproximan hacia un único punto, meta o resultado común a lo largo del tiempo o de sucesivas iteraciones. </x:t>
    </x:r>
    <x:r>
      <x:rPr>
        <x:b/>
        <x:sz val="8"/>
        <x:color theme="1"/>
        <x:rFont val="Calibri"/>
        <x:family val="2"/>
        <x:scheme val="minor"/>
      </x:rPr>
      <x:t xml:space="preserve">1. Estimación y Gestión de Riesgos (Método Delphi)</x:t>
    </x:r>
    <x:r>
      <x:rPr>
        <x:sz val="8"/>
        <x:color theme="1"/>
        <x:rFont val="Calibri"/>
        <x:family val="2"/>
        <x:scheme val="minor"/>
      </x:rPr>
      <x:t xml:space="preserve">. Cuando expertos evalúan el impacto o la probabilidad de un riesgo, suelen tener opiniones muy dispersas al principio. El diagrama de convergencia grafica las rondas de votación:Eje X: Número de rondas o iteraciones.Eje Y: El valor estimado (costo, días, nivel de riesgo).Visual: Se observa cómo las líneas (opiniones de los ingenieros/expertos) comienzan separadas y, ronda tras ronda, se van uniendo en un consenso central. Esto demuestra que la matriz de riesgos es un resultado maduro y no un dato aislado. </x:t>
    </x:r>
    <x:r>
      <x:rPr>
        <x:b/>
        <x:sz val="8"/>
        <x:color theme="1"/>
        <x:rFont val="Calibri"/>
        <x:family val="2"/>
        <x:scheme val="minor"/>
      </x:rPr>
      <x:t xml:space="preserve">2. Madurez de la PMO y Objetivos Estratégicos</x:t>
    </x:r>
    <x:r>
      <x:rPr>
        <x:sz val="8"/>
        <x:color theme="1"/>
        <x:rFont val="Calibri"/>
        <x:family val="2"/>
        <x:scheme val="minor"/>
      </x:rPr>
      <x:t xml:space="preserve">. Se utiliza para medir la alineación de los portafolios de proyectos con la estrategia del negocio.Muestra gráficamente cómo los indicadores de desempeño de diferentes áreas operativas (que antes trabajaban como silos independientes) van convergiendo hacia las metas financieras y estratégicas unificadas que dictamina la nueva PMO.</x:t>
    </x:r>
    <x:r>
      <x:rPr>
        <x:b/>
        <x:sz val="8"/>
        <x:color theme="1"/>
        <x:rFont val="Calibri"/>
        <x:family val="2"/>
        <x:scheme val="minor"/>
      </x:rPr>
      <x:t xml:space="preserve"> 3. Ingeniería y Simulaciones Estadísticas (Monte Carlo).</x:t>
    </x:r>
    <x:r>
      <x:rPr>
        <x:sz val="8"/>
        <x:color theme="1"/>
        <x:rFont val="Calibri"/>
        <x:family val="2"/>
        <x:scheme val="minor"/>
      </x:rPr>
      <x:t xml:space="preserve"> Si la matriz de riesgos incluye análisis cuantitativo (como la simulación de Monte Carlo para presupuestos o cronogramas), el diagrama de convergencia es un gráfico de control.Muestra el número de iteraciones en el eje X y el resultado del cálculo en el eje Y.Asegura que el modelo matemático se ha estabilizado. Si la línea se vuelve horizontal y plana, significa que el cálculo "convergió" y el nivel de riesgo hallado es confiable.</x:t>
    </x:r>
  </x:si>
  <x:si>
    <x:t xml:space="preserve">Dis</x:t>
  </x:si>
  <x:si>
    <x:t xml:space="preserve">Disciplina (MEC= Mechanical, PIP= Piping, EIC= Electrical, Instrumentation &amp; Control, ELE= Electrical, I&amp;C= Automation, CIV= Civil, LOG= Logistical, HSE, ADM= Administrative, GEN= General).</x:t>
  </x:si>
  <x:si>
    <x:t xml:space="preserve">Disciplinas</x:t>
  </x:si>
  <x:si>
    <x:r>
      <x:t xml:space="preserve">Diferentes especialidades de acuerdo con la naturaleza de las obras o desarrollos de ingeniería: Proyecto; Mecánica; </x:t>
    </x:r>
    <x:r>
      <x:rPr>
        <x:i/>
        <x:sz val="8"/>
        <x:rFont val="Calibri"/>
        <x:family val="2"/>
        <x:scheme val="minor"/>
      </x:rPr>
      <x:t xml:space="preserve">Piping</x:t>
    </x:r>
    <x:r>
      <x:rPr>
        <x:sz val="8"/>
        <x:rFont val="Calibri"/>
        <x:family val="2"/>
        <x:scheme val="minor"/>
      </x:rPr>
      <x:t xml:space="preserve">; Eléctrica, Instrumentación &amp; Control, Civil, Proceso, HSE y Logística, General.</x:t>
    </x:r>
  </x:si>
  <x:si>
    <x:t xml:space="preserve">E.P.C.</x:t>
  </x:si>
  <x:si>
    <x:t xml:space="preserve">Fase de Ingeniería, Adquisición y Construcción.</x:t>
  </x:si>
  <x:si>
    <x:t xml:space="preserve">EDR o RBS</x:t>
  </x:si>
  <x:si>
    <x:r>
      <x:t xml:space="preserve">Estructura desglosada de recursos (</x:t>
    </x:r>
    <x:r>
      <x:rPr>
        <x:i/>
        <x:sz val="8"/>
        <x:rFont val="Calibri"/>
        <x:family val="2"/>
        <x:scheme val="minor"/>
      </x:rPr>
      <x:t xml:space="preserve">Resource Breakdown Structure</x:t>
    </x:r>
    <x:r>
      <x:rPr>
        <x:sz val="8"/>
        <x:rFont val="Calibri"/>
        <x:family val="2"/>
        <x:scheme val="minor"/>
      </x:rPr>
      <x:t xml:space="preserve"> o </x:t>
    </x:r>
    <x:r>
      <x:rPr>
        <x:i/>
        <x:sz val="8"/>
        <x:rFont val="Calibri"/>
        <x:family val="2"/>
        <x:scheme val="minor"/>
      </x:rPr>
      <x:t xml:space="preserve">RBS</x:t>
    </x:r>
    <x:r>
      <x:rPr>
        <x:sz val="8"/>
        <x:rFont val="Calibri"/>
        <x:family val="2"/>
        <x:scheme val="minor"/>
      </x:rPr>
      <x:t xml:space="preserve">)</x:t>
    </x:r>
  </x:si>
  <x:si>
    <x:r>
      <x:t xml:space="preserve">Estructura desglosada de trabajo del proyecto (</x:t>
    </x:r>
    <x:r>
      <x:rPr>
        <x:i/>
        <x:sz val="8"/>
        <x:rFont val="Calibri"/>
        <x:family val="2"/>
        <x:scheme val="minor"/>
      </x:rPr>
      <x:t xml:space="preserve">Work Breakdown Structure</x:t>
    </x:r>
    <x:r>
      <x:rPr>
        <x:sz val="8"/>
        <x:rFont val="Calibri"/>
        <x:family val="2"/>
        <x:scheme val="minor"/>
      </x:rPr>
      <x:t xml:space="preserve"> o </x:t>
    </x:r>
    <x:r>
      <x:rPr>
        <x:i/>
        <x:sz val="8"/>
        <x:rFont val="Calibri"/>
        <x:family val="2"/>
        <x:scheme val="minor"/>
      </x:rPr>
      <x:t xml:space="preserve">WBS</x:t>
    </x:r>
    <x:r>
      <x:rPr>
        <x:sz val="8"/>
        <x:rFont val="Calibri"/>
        <x:family val="2"/>
        <x:scheme val="minor"/>
      </x:rPr>
      <x:t xml:space="preserve">).</x:t>
    </x:r>
  </x:si>
  <x:si>
    <x:t xml:space="preserve">EIC</x:t>
  </x:si>
  <x:si>
    <x:t xml:space="preserve">Disciplina Eléctrica, de Instrumentación y Control.</x:t>
  </x:si>
  <x:si>
    <x:t xml:space="preserve">Empleado</x:t>
  </x:si>
  <x:si>
    <x:t xml:space="preserve">Colaborador con contrato de trabajo con SWC (Cartón Colombia), Coloquialmente conocido como "cartonero".</x:t>
  </x:si>
  <x:si>
    <x:t xml:space="preserve">Seguridad Industrial</x:t>
  </x:si>
  <x:si>
    <x:t xml:space="preserve">Enrolamiento</x:t>
  </x:si>
  <x:si>
    <x:t xml:space="preserve">Procedimiento a través del cual cada Co. registra sus trabajadores relacionándolos con el respectivo Pedido, por cual SWC contrató un servicio.</x:t>
  </x:si>
  <x:si>
    <x:t xml:space="preserve">EPP </x:t>
  </x:si>
  <x:si>
    <x:t xml:space="preserve">Elementos de Protección Personal (casco, gafas industriales, botas antiperforantes, etc.).</x:t>
  </x:si>
  <x:si>
    <x:t xml:space="preserve">Euros (Moneda). kEUR= Miles de euros. MEUR= Millones de euros</x:t>
  </x:si>
  <x:si>
    <x:t xml:space="preserve">Eureka</x:t>
  </x:si>
  <x:si>
    <x:t xml:space="preserve">Plataforma virtual de SWC que permite al usuario (trabajador o colaborador) interactuar y realizar un proceso de aprendizaje (capacitaciones y emisión de certificados).</x:t>
  </x:si>
  <x:si>
    <x:t xml:space="preserve">Garantía</x:t>
  </x:si>
  <x:si>
    <x:r>
      <x:t xml:space="preserve">Cubre errores imputables al proveedor, no operación normal: “Todo lo que debería funcionar según el alcance aprobado y no lo hace”.
</x:t>
    </x:r>
    <x:r>
      <x:rPr>
        <x:sz val="8"/>
        <x:color rgb="FF00B050"/>
        <x:rFont val="Calibri"/>
        <x:family val="2"/>
        <x:scheme val="minor"/>
      </x:rPr>
      <x:t xml:space="preserve">✅</x:t>
    </x:r>
    <x:r>
      <x:rPr>
        <x:sz val="8"/>
        <x:color theme="1"/>
        <x:rFont val="Calibri"/>
        <x:family val="2"/>
        <x:scheme val="minor"/>
      </x:rPr>
      <x:t xml:space="preserve"> Normalmente SÍ cubre: </x:t>
    </x:r>
    <x:r>
      <x:rPr>
        <x:sz val="8"/>
        <x:color theme="1"/>
        <x:rFont val="Calibri"/>
        <x:family val="2"/>
      </x:rPr>
      <x:t xml:space="preserve">▪</x:t>
    </x:r>
    <x:r>
      <x:rPr>
        <x:sz val="8"/>
        <x:color theme="1"/>
        <x:rFont val="Calibri"/>
        <x:family val="2"/>
        <x:scheme val="minor"/>
      </x:rPr>
      <x:t xml:space="preserve">Defectos de configuración, ▪Errores de desarrollo / parametrización, ▪Flujos que no funcionan conforme a lo diseñado, ▪Reportes que no entregan los resultados definidos, ▪Automatizaciones mal implementadas, ▪Problemas de performance atribuibles al diseño.
</x:t>
    </x:r>
    <x:r>
      <x:rPr>
        <x:sz val="8"/>
        <x:color rgb="FFFF0000"/>
        <x:rFont val="Calibri"/>
        <x:family val="2"/>
        <x:scheme val="minor"/>
      </x:rPr>
      <x:t xml:space="preserve">❌</x:t>
    </x:r>
    <x:r>
      <x:rPr>
        <x:sz val="8"/>
        <x:color theme="1"/>
        <x:rFont val="Calibri"/>
        <x:family val="2"/>
        <x:scheme val="minor"/>
      </x:rPr>
      <x:t xml:space="preserve"> Normalmente NO cubre: ▪Nuevos requerimientos, ▪Cambios de alcance, ▪Capacitación adicional, ▪Soporte funcional recurrente, ▪Cambios solicitados por usuarios, ▪Evoluciones del modelo PMO</x:t>
    </x:r>
  </x:si>
  <x:si>
    <x:t xml:space="preserve">h, hor</x:t>
  </x:si>
  <x:si>
    <x:t xml:space="preserve">Hora(s)</x:t>
  </x:si>
  <x:si>
    <x:t xml:space="preserve">Hallazgos</x:t>
  </x:si>
  <x:si>
    <x:t xml:space="preserve">Es la traducción más profesional y estándar en auditorías o estudios técnicos. Se refiere a los puntos identificados que requieren atención.</x:t>
  </x:si>
  <x:si>
    <x:t xml:space="preserve">HAZOP y HAZID</x:t>
  </x:si>
  <x:si>
    <x:r>
      <x:t xml:space="preserve">HAZID y HAZOP son herramientas de ingeniería que se usan para encontrar riesgos y prevenir accidentes en plantas industriales, fábricas o proyectos complejos. Es similar a una auditoría de seguridad hecha por un equipo de expertos que se sientan a analizar "qué podría salir mal".
1. </x:t>
    </x:r>
    <x:r>
      <x:rPr>
        <x:b/>
        <x:sz val="8"/>
        <x:color theme="1"/>
        <x:rFont val="Calibri"/>
        <x:family val="2"/>
        <x:scheme val="minor"/>
      </x:rPr>
      <x:t xml:space="preserve">HAZID</x:t>
    </x:r>
    <x:r>
      <x:rPr>
        <x:sz val="8"/>
        <x:color theme="1"/>
        <x:rFont val="Calibri"/>
        <x:family val="2"/>
        <x:scheme val="minor"/>
      </x:rPr>
      <x:t xml:space="preserve"> (Hazard Identification / Identificación de Peligros) Es una lluvia de ideas inicial y general para identificar grandes peligros. Se hace al inicio del proyecto (cuando la planta o proceso apenas se está diseñando. Enfoca el panorama completo. Se pregunta cosas grandes como: ¿Qué pasa si hay un terremoto? ¿El clima extremo afecta la planta? ¿Qué pasa si el suelo no resiste el peso?. Meta: Decidir si el lugar o el diseño general es seguro antes de gastar mucho dinero.
2. </x:t>
    </x:r>
    <x:r>
      <x:rPr>
        <x:b/>
        <x:sz val="8"/>
        <x:color theme="1"/>
        <x:rFont val="Calibri"/>
        <x:family val="2"/>
        <x:scheme val="minor"/>
      </x:rPr>
      <x:t xml:space="preserve">HAZOP</x:t>
    </x:r>
    <x:r>
      <x:rPr>
        <x:sz val="8"/>
        <x:color theme="1"/>
        <x:rFont val="Calibri"/>
        <x:family val="2"/>
        <x:scheme val="minor"/>
      </x:rPr>
      <x:t xml:space="preserve"> (Hazard and Operability Study / Estudio de Peligros y Operatividad) Es un análisis ultra detallado y pieza por pieza de cómo va a funcionar el sistema. Se hace cuando el diseño ya está casi terminado y detallado. Enfoque: El equipo revisa cada tubería, válvula y tanque usando "palabras guía" (como Más, Menos, Ninguno, Inverso). Se preguntan cosas muy específicas: ¿Qué pasa si hay más presión de la normal en este tubo? ¿Qué pasa si hay menos temperatura en este tanque? Meta: Encontrar fallas ocultas en la operación y corregirlas antes de construir o encender las máquinas.
Resumen de la diferencia:</x:t>
    </x:r>
    <x:r>
      <x:rPr>
        <x:b/>
        <x:sz val="8"/>
        <x:color theme="1"/>
        <x:rFont val="Calibri"/>
        <x:family val="2"/>
        <x:scheme val="minor"/>
      </x:rPr>
      <x:t xml:space="preserve">HAZID</x:t>
    </x:r>
    <x:r>
      <x:rPr>
        <x:sz val="8"/>
        <x:color theme="1"/>
        <x:rFont val="Calibri"/>
        <x:family val="2"/>
        <x:scheme val="minor"/>
      </x:rPr>
      <x:t xml:space="preserve"> ve los peligros externos y generales al principio del proyecto. </x:t>
    </x:r>
    <x:r>
      <x:rPr>
        <x:b/>
        <x:sz val="8"/>
        <x:color theme="1"/>
        <x:rFont val="Calibri"/>
        <x:family val="2"/>
        <x:scheme val="minor"/>
      </x:rPr>
      <x:t xml:space="preserve">HAZOP</x:t>
    </x:r>
    <x:r>
      <x:rPr>
        <x:sz val="8"/>
        <x:color theme="1"/>
        <x:rFont val="Calibri"/>
        <x:family val="2"/>
        <x:scheme val="minor"/>
      </x:rPr>
      <x:t xml:space="preserve"> ve las fallas internas y mecánicas en el diseño final detallado.</x:t>
    </x:r>
  </x:si>
  <x:si>
    <x:t xml:space="preserve">HSE</x:t>
  </x:si>
  <x:si>
    <x:t xml:space="preserve">Health, Safety &amp; Enviromental. Disciplina encargada de la Seguridad y Salud en el Trabajo (SST) y Medio Ambiente (MA). Área de gestión del departamento IP.</x:t>
  </x:si>
  <x:si>
    <x:t xml:space="preserve">HSE Líder</x:t>
  </x:si>
  <x:si>
    <x:t xml:space="preserve">Hernán Alonso Cuervo en IP. Oscar Velasco: Gerente de Seguridad Industrial SWC.</x:t>
  </x:si>
  <x:si>
    <x:t xml:space="preserve">HW</x:t>
  </x:si>
  <x:si>
    <x:t xml:space="preserve">Hardware</x:t>
  </x:si>
  <x:si>
    <x:t xml:space="preserve">I&amp;P o IP</x:t>
  </x:si>
  <x:si>
    <x:t xml:space="preserve">Departamento de Ingeniería &amp; Proyectos.</x:t>
  </x:si>
  <x:si>
    <x:t xml:space="preserve">I.T. o TI</x:t>
  </x:si>
  <x:si>
    <x:t xml:space="preserve">Departamento de Información &amp; Tecnología.</x:t>
  </x:si>
  <x:si>
    <x:t xml:space="preserve">IA</x:t>
  </x:si>
  <x:si>
    <x:t xml:space="preserve">Inteligencia Artificial.</x:t>
  </x:si>
  <x:si>
    <x:t xml:space="preserve">Id</x:t>
  </x:si>
  <x:si>
    <x:t xml:space="preserve">Identificador de un campo, como proyecto, elemento PEP, material, etc. Es un código alfanumérico, por ejemplo I/21.105 es el identificador de un proyecto.</x:t>
  </x:si>
  <x:si>
    <x:t xml:space="preserve">Período desde colocación del Pedido hasta que el software está técnicamente listo (instalado, configurado, datos migrados y accesos creados). </x:t>
  </x:si>
  <x:si>
    <x:t xml:space="preserve">Implementación efectiva</x:t>
  </x:si>
  <x:si>
    <x:t xml:space="preserve">Período dedicado a Capacitación y Acompañamiento aplicados a proyectos reales de la compañía.</x:t>
  </x:si>
  <x:si>
    <x:t xml:space="preserve">ING</x:t>
  </x:si>
  <x:si>
    <x:t xml:space="preserve">Es el profesional interventor que solicita el trabajo o servicio y es encargado de supervisar el cumplimiento técnico, administrativo y de seguridad (condiciones HSE del servicio. es responsable porque éste se haga bajo condiciones seguras y de prevención de la contaminación). En caso de que ocurra algún accidente o emergencia, es el encargado de tomar las acciones pertinentes y hacer los reportes respectivos.</x:t>
  </x:si>
  <x:si>
    <x:t xml:space="preserve">IP</x:t>
  </x:si>
  <x:si>
    <x:t xml:space="preserve">Departamento de Ingeniería y proyectos de la División Molinos de SWC.</x:t>
  </x:si>
  <x:si>
    <x:t xml:space="preserve">Issues</x:t>
  </x:si>
  <x:si>
    <x:t xml:space="preserve">En gestión de riesgos= Eventos: Hallazgos, observaciones, no conformidades y pendientes.</x:t>
  </x:si>
  <x:si>
    <x:t xml:space="preserve">IT</x:t>
  </x:si>
  <x:si>
    <x:t xml:space="preserve">También conocido como TI. Departamento de Tecnología e Informática SWC. Gobernado por Global IS, que es un área corporativa que cubre todo SW. El andamiaje TI implica una serie de condiciones y restricciones de seguridad informática que los proveedores, sobre todo de tecnología, deben conocer muy bien.</x:t>
  </x:si>
  <x:si>
    <x:t xml:space="preserve">KPI</x:t>
  </x:si>
  <x:si>
    <x:t xml:space="preserve">Key Perfomance Indicator. Indicadores claves de gestión.</x:t>
  </x:si>
  <x:si>
    <x:t xml:space="preserve">M1, M3, M4, M6</x:t>
  </x:si>
  <x:si>
    <x:t xml:space="preserve">Paper Machines. Molino 1 (PM1), Molino 3 (PM3), Molino 4 (PM4) y Molino 6 (PM6): Plantas de producción de papel de la División Molinos (o Pulpa y Papel) en el Complejo Industrial Puerto Isaacs (Yumbo, Valle del Cauca, Colombia).</x:t>
  </x:si>
  <x:si>
    <x:t xml:space="preserve">MA2025</x:t>
  </x:si>
  <x:si>
    <x:t xml:space="preserve">Mantenimiento Anual del año 2025 ("Parada Anual" de Complejo Puerto Isaacs).</x:t>
  </x:si>
  <x:si>
    <x:t xml:space="preserve">ME2J</x:t>
  </x:si>
  <x:si>
    <x:t xml:space="preserve">Transacción nativa de SAP que arroja los pedidos y posiciones de pedido de los proyectos de IP. No muestra directamente el proyecto. Con respecto a ZPS_SOL_PROY la desventaja es que requiere proceso manual (fórmula) para arrojar el proyecto correspondiente a cada Pedido/posición.</x:t>
  </x:si>
  <x:si>
    <x:t xml:space="preserve">Montecarlo</x:t>
  </x:si>
  <x:si>
    <x:r>
      <x:t xml:space="preserve">La simulación de </x:t>
    </x:r>
    <x:r>
      <x:rPr>
        <x:b/>
        <x:sz val="8"/>
        <x:rFont val="Calibri"/>
        <x:family val="2"/>
        <x:scheme val="minor"/>
      </x:rPr>
      <x:t xml:space="preserve">Montecarlo</x:t>
    </x:r>
    <x:r>
      <x:rPr>
        <x:sz val="8"/>
        <x:rFont val="Calibri"/>
        <x:family val="2"/>
        <x:scheme val="minor"/>
      </x:rPr>
      <x:t xml:space="preserve"> es una técnica matemática computarizada que permite evaluar el impacto del riesgo y la incertidumbre en modelos de decisión. En lugar de predecir un único resultado fijo, esta técnica calcula miles de escenarios posibles combinando al azar las diferentes variables que pueden afectar a un proyecto. Su nombre proviene del famoso Casino de Montecarlo en Mónaco, debido a que se basa en la aleatoriedad y la probabilidad (como los juegos de azar).
¿Cómo funciona en proyectos? En un proyecto, variables como la duración de una tarea o el costo de un material nunca son exactos. En vez de usar un número único, la simulación de Montecarlo utiliza rangos (por ejemplo: la fase de diseño tardará entre 10 y 20 días, con 12 días como lo más probable). El sistema ejecuta el proyecto de forma virtual miles de veces. En cada "intento", toma un valor al azar de cada variable y registra el resultado. Al final, junta todos los resultados y entrega una curva de probabilidad.
Beneficios clave: </x:t>
    </x:r>
    <x:r>
      <x:rPr>
        <x:sz val="8"/>
        <x:rFont val="Calibri"/>
        <x:family val="2"/>
      </x:rPr>
      <x:t xml:space="preserve">▪</x:t>
    </x:r>
    <x:r>
      <x:rPr>
        <x:b/>
        <x:sz val="8"/>
        <x:rFont val="Calibri"/>
        <x:family val="2"/>
        <x:scheme val="minor"/>
      </x:rPr>
      <x:t xml:space="preserve">Pronósticos probabilísticos</x:t>
    </x:r>
    <x:r>
      <x:rPr>
        <x:sz val="8"/>
        <x:rFont val="Calibri"/>
        <x:family val="2"/>
        <x:scheme val="minor"/>
      </x:rPr>
      <x:t xml:space="preserve">: No dice "el proyecto terminará el 5 de mayo", sino "hay un 85% de probabilidad de terminar el 5 de mayo o antes".▪</x:t>
    </x:r>
    <x:r>
      <x:rPr>
        <x:b/>
        <x:sz val="8"/>
        <x:rFont val="Calibri"/>
        <x:family val="2"/>
        <x:scheme val="minor"/>
      </x:rPr>
      <x:t xml:space="preserve">Identificación de riesgos</x:t>
    </x:r>
    <x:r>
      <x:rPr>
        <x:sz val="8"/>
        <x:rFont val="Calibri"/>
        <x:family val="2"/>
        <x:scheme val="minor"/>
      </x:rPr>
      <x:t xml:space="preserve">: Revela qué variables o tareas específicas tienen el mayor impacto negativo en el presupuesto o el cronograma.▪</x:t>
    </x:r>
    <x:r>
      <x:rPr>
        <x:b/>
        <x:sz val="8"/>
        <x:rFont val="Calibri"/>
        <x:family val="2"/>
        <x:scheme val="minor"/>
      </x:rPr>
      <x:t xml:space="preserve">Soporte para contingencias</x:t>
    </x:r>
    <x:r>
      <x:rPr>
        <x:sz val="8"/>
        <x:rFont val="Calibri"/>
        <x:family val="2"/>
        <x:scheme val="minor"/>
      </x:rPr>
      <x:t xml:space="preserve">: Permite calcular con base científica cuánto dinero o tiempo extra se debe reservar para imprevistos.</x:t>
    </x:r>
  </x:si>
  <x:si>
    <x:t xml:space="preserve">Jurídico</x:t>
  </x:si>
  <x:si>
    <x:t xml:space="preserve">NDA</x:t>
  </x:si>
  <x:si>
    <x:t xml:space="preserve">Non-Disclosure Agreement. Acuerdo de confidencialidad o Acuerdo de No Divulgación. Es un contrato legal entre 2 empresas que protege la información sensible de ambas.</x:t>
  </x:si>
  <x:si>
    <x:t xml:space="preserve">No conformidades</x:t>
  </x:si>
  <x:si>
    <x:t xml:space="preserve">(Más común en auditorías) Si el "issue" es un incumplimiento directo de una norma o estándar de seguridad.</x:t>
  </x:si>
  <x:si>
    <x:t xml:space="preserve">Observaciones</x:t>
  </x:si>
  <x:si>
    <x:t xml:space="preserve">Se usa cuando se detecta algo que no necesariamente es un peligro crítico, pero que debe quedar registrado para su revisión.</x:t>
  </x:si>
  <x:si>
    <x:t xml:space="preserve">Oferente / Partner</x:t>
  </x:si>
  <x:si>
    <x:r>
      <x:t xml:space="preserve">Firma interesada, simbolizada con "</x:t>
    </x:r>
    <x:r>
      <x:rPr>
        <x:sz val="8"/>
        <x:color theme="1"/>
        <x:rFont val="Aptos Narrow"/>
        <x:family val="2"/>
      </x:rPr>
      <x:t xml:space="preserve">Ω</x:t>
    </x:r>
    <x:r>
      <x:rPr>
        <x:sz val="8"/>
        <x:color theme="1"/>
        <x:rFont val="Calibri"/>
        <x:family val="2"/>
        <x:scheme val="minor"/>
      </x:rPr>
      <x:t xml:space="preserve">" (letra griega "Omega"). Compañía invitada a participar o competir en una licitación o paquete de adquisición. Uno de los oferentes será escogido como el "proveedor".</x:t>
    </x:r>
  </x:si>
  <x:si>
    <x:t xml:space="preserve">Organización</x:t>
  </x:si>
  <x:si>
    <x:t xml:space="preserve">Hace referencia a la empresa Smurfit Westrock Cartón de Colombia S.A.</x:t>
  </x:si>
  <x:si>
    <x:t xml:space="preserve">Paquete</x:t>
  </x:si>
  <x:si>
    <x:t xml:space="preserve">Se refiere siempre a “Paquete de adquisición”, que es sinónimo de “Licitación”.</x:t>
  </x:si>
  <x:si>
    <x:t xml:space="preserve">PDA</x:t>
  </x:si>
  <x:si>
    <x:t xml:space="preserve">Personal Digital Assistant. Dispositivo o terminal móvil usado actualmente por los guardas de la Compañía de Vigilancia para control de acceso en la portería de SWC.</x:t>
  </x:si>
  <x:si>
    <x:t xml:space="preserve">PE</x:t>
  </x:si>
  <x:si>
    <x:t xml:space="preserve">Planta de Energía = Planta de Fuerza = PWP (Power Water Plant)</x:t>
  </x:si>
  <x:si>
    <x:t xml:space="preserve">Pedido</x:t>
  </x:si>
  <x:si>
    <x:t xml:space="preserve">Número de documento de SAP donde se identifica la orden de compra o servicio con la que la Co. se compromete a entregar un bien o servicio.</x:t>
  </x:si>
  <x:si>
    <x:t xml:space="preserve">PEP</x:t>
  </x:si>
  <x:si>
    <x:t xml:space="preserve">Acumulador de costos en SAP/PS.</x:t>
  </x:si>
  <x:si>
    <x:t xml:space="preserve">Planner</x:t>
  </x:si>
  <x:si>
    <x:t xml:space="preserve">Profesional (Ingeniero administrador de proyectos o auxiliar de planeación y seguimiento) perteneciente a la PMO, encargado del desarrollo y la integración de cronogramas, y del monitoreo de estos.</x:t>
  </x:si>
  <x:si>
    <x:t xml:space="preserve">PMI</x:t>
  </x:si>
  <x:si>
    <x:t xml:space="preserve">Project Management Institute: Asociación profesional líder a nivel mundial en dirección de proyectos. Establece estándares globales (como la Guía del PMBOK) y otorga certificaciones, siendo la PMP (Project Management Professional) la más reconocida para directores de proyectos.</x:t>
  </x:si>
  <x:si>
    <x:t xml:space="preserve">PMO</x:t>
  </x:si>
  <x:si>
    <x:t xml:space="preserve">Project Management Office (Oficina de Gerencia de Proyectos). Es un área de Gestión del departamento IP.</x:t>
  </x:si>
  <x:si>
    <x:t xml:space="preserve">PMO Líder</x:t>
  </x:si>
  <x:si>
    <x:t xml:space="preserve">Walter Fernández Gil.</x:t>
  </x:si>
  <x:si>
    <x:t xml:space="preserve">Columna de la matriz de requerimientos que indica el nivel de madurez correspondiente a cada requerimiento. Es donde SWC indica para qué nivel de la PMO espera que esté operando cada requerimiento. Aunque el objetivo inmediato es la fase 1, que incluye el nivel 1, el alcance del proyecto cubre la fase 2, que incluye los niveles 2, 3 y 4</x:t>
  </x:si>
  <x:si>
    <x:r>
      <x:t xml:space="preserve">Conjunto de proyectos, programas y subportafolios que se agrupan y gestionan de forma centralizada para alcanzar los objetivos estratégicos de una organización.
Características clave: </x:t>
    </x:r>
    <x:r>
      <x:rPr>
        <x:sz val="8"/>
        <x:rFont val="Calibri"/>
        <x:family val="2"/>
      </x:rPr>
      <x:t xml:space="preserve">▪</x:t>
    </x:r>
    <x:r>
      <x:rPr>
        <x:b/>
        <x:sz val="8"/>
        <x:rFont val="Calibri"/>
        <x:family val="2"/>
        <x:scheme val="minor"/>
      </x:rPr>
      <x:t xml:space="preserve">Alineación estratégica</x:t>
    </x:r>
    <x:r>
      <x:rPr>
        <x:sz val="8"/>
        <x:rFont val="Calibri"/>
        <x:family val="2"/>
        <x:scheme val="minor"/>
      </x:rPr>
      <x:t xml:space="preserve">: Cada proyecto dentro del portafolio debe justificar cómo ayuda a cumplir las metas de la empresa. </x:t>
    </x:r>
    <x:r>
      <x:rPr>
        <x:b/>
        <x:sz val="8"/>
        <x:rFont val="Calibri"/>
        <x:family val="2"/>
        <x:scheme val="minor"/>
      </x:rPr>
      <x:t xml:space="preserve">▪Priorización</x:t>
    </x:r>
    <x:r>
      <x:rPr>
        <x:sz val="8"/>
        <x:rFont val="Calibri"/>
        <x:family val="2"/>
        <x:scheme val="minor"/>
      </x:rPr>
      <x:t xml:space="preserve">: Permite decidir qué proyectos reciben financiamiento, cuáles se pausan y cuáles se cancelan según su valor y riesgo. </x:t>
    </x:r>
    <x:r>
      <x:rPr>
        <x:b/>
        <x:sz val="8"/>
        <x:rFont val="Calibri"/>
        <x:family val="2"/>
        <x:scheme val="minor"/>
      </x:rPr>
      <x:t xml:space="preserve">▪Optimización de recursos</x:t>
    </x:r>
    <x:r>
      <x:rPr>
        <x:sz val="8"/>
        <x:rFont val="Calibri"/>
        <x:family val="2"/>
        <x:scheme val="minor"/>
      </x:rPr>
      <x:t xml:space="preserve">: Centraliza la asignación de presupuesto, personal y tiempo para evitar que diferentes proyectos compitan entre sí de forma destructiva. ▪</x:t>
    </x:r>
    <x:r>
      <x:rPr>
        <x:b/>
        <x:sz val="8"/>
        <x:rFont val="Calibri"/>
        <x:family val="2"/>
        <x:scheme val="minor"/>
      </x:rPr>
      <x:t xml:space="preserve">Visión global</x:t>
    </x:r>
    <x:r>
      <x:rPr>
        <x:sz val="8"/>
        <x:rFont val="Calibri"/>
        <x:family val="2"/>
        <x:scheme val="minor"/>
      </x:rPr>
      <x:t xml:space="preserve">: Ofrece a los altos ejecutivos una foto completa del rendimiento de todas las iniciativas activas.</x:t>
    </x:r>
  </x:si>
  <x:si>
    <x:t xml:space="preserve">pos</x:t>
  </x:si>
  <x:si>
    <x:t xml:space="preserve">Posición de pedido. Es un número múltiplo de 10 (10, 20, 30…. 2200, etc. No tiene límite)</x:t>
  </x:si>
  <x:si>
    <x:t xml:space="preserve">PP</x:t>
  </x:si>
  <x:si>
    <x:t xml:space="preserve">Planta de Pulpa.</x:t>
  </x:si>
  <x:si>
    <x:t xml:space="preserve">PPM</x:t>
  </x:si>
  <x:si>
    <x:t xml:space="preserve">Project Portfolio Management o Gestión de Portafolio de Proyectos: Proceso estratégico de evaluar, priorizar y gestionar, con visión integral, un conjunto de proyectos dentro de la organización para asegurar que estén alineados con sus metas de negocio.</x:t>
  </x:si>
  <x:si>
    <x:t xml:space="preserve">PR</x:t>
  </x:si>
  <x:si>
    <x:t xml:space="preserve">Planta de Recuperación</x:t>
  </x:si>
  <x:si>
    <x:t xml:space="preserve">Pre-implementación</x:t>
  </x:si>
  <x:si>
    <x:t xml:space="preserve">O "Alistamiento": Período incluido dentro de la Implementación, entre la oficialización del Pedido y el inicio de la implementación efectiva,</x:t>
  </x:si>
  <x:si>
    <x:t xml:space="preserve">Previsto</x:t>
  </x:si>
  <x:si>
    <x:r>
      <x:rPr>
        <x:b/>
        <x:sz val="8"/>
        <x:color theme="1"/>
        <x:rFont val="Calibri"/>
        <x:family val="2"/>
        <x:scheme val="minor"/>
      </x:rPr>
      <x:t xml:space="preserve">Baseline (BL)</x:t>
    </x:r>
    <x:r>
      <x:rPr>
        <x:sz val="8"/>
        <x:color theme="1"/>
        <x:rFont val="Calibri"/>
        <x:family val="2"/>
        <x:scheme val="minor"/>
      </x:rPr>
      <x:t xml:space="preserve">: Representa el compromiso inicial del proyecto. Es la "foto" aprobada de costos y fechas que sirve como punto de referencia para medir cualquier desviación. Línea de base= BL start, BL finish, Budget, etc.</x:t>
    </x:r>
  </x:si>
  <x:si>
    <x:t xml:space="preserve">Programa</x:t>
  </x:si>
  <x:si>
    <x:t xml:space="preserve">Grupo de proyectos relacionados que se gestionan juntos para obtener beneficios que no se lograrían por separado.</x:t>
  </x:si>
  <x:si>
    <x:t xml:space="preserve">Programado</x:t>
  </x:si>
  <x:si>
    <x:r>
      <x:rPr>
        <x:b/>
        <x:sz val="8"/>
        <x:color theme="1"/>
        <x:rFont val="Calibri"/>
        <x:family val="2"/>
        <x:scheme val="minor"/>
      </x:rPr>
      <x:t xml:space="preserve">Forecast</x:t>
    </x:r>
    <x:r>
      <x:rPr>
        <x:sz val="8"/>
        <x:color theme="1"/>
        <x:rFont val="Calibri"/>
        <x:family val="2"/>
        <x:scheme val="minor"/>
      </x:rPr>
      <x:t xml:space="preserve">: Es la proyección del trabajo restante. Se calcula ajustando las tareas pendientes a la realidad actual para estimar la fecha final de entrega y el costo total a la conclusión. Otras denominaciones: Reprogramado, Proyectado o "Estimado": Con base en fechas actuales (start, finish, Estimated Cost)</x:t>
    </x:r>
  </x:si>
  <x:si>
    <x:t xml:space="preserve">Proveedor</x:t>
  </x:si>
  <x:si>
    <x:t xml:space="preserve">Firma a la que finalmente se le adjudica(rá) el pedido. Representa tanto los compromisos de la casa matriz como de la firma consultora, encargada de la implementación de la tecnología.</x:t>
  </x:si>
  <x:si>
    <x:t xml:space="preserve">Proyecto</x:t>
  </x:si>
  <x:si>
    <x:t xml:space="preserve">Esfuerzo temporal con un entregable principal (¿Cómo hacer el trabajo óptima y correctamente?).</x:t>
  </x:si>
  <x:si>
    <x:t xml:space="preserve">PS</x:t>
  </x:si>
  <x:si>
    <x:t xml:space="preserve">Módulo de proyectos del SAP</x:t>
  </x:si>
  <x:si>
    <x:t xml:space="preserve">Puntos pendientes:</x:t>
  </x:si>
  <x:si>
    <x:t xml:space="preserve">Muy común en las minutas de las sesiones para referirse a temas que el equipo no pudo resolver en el momento y requieren más información.</x:t>
  </x:si>
  <x:si>
    <x:t xml:space="preserve">PWA</x:t>
  </x:si>
  <x:si>
    <x:t xml:space="preserve">Aplicación Web Progresiva. En el caso concreto del Project Online, es el ambiente en la nube donde se configura la herramienta, se administran los permisos de usuario y se pueden visualizar los proyectos.</x:t>
  </x:si>
  <x:si>
    <x:t xml:space="preserve">Real</x:t>
  </x:si>
  <x:si>
    <x:r>
      <x:rPr>
        <x:b/>
        <x:sz val="8"/>
        <x:color theme="1"/>
        <x:rFont val="Calibri"/>
        <x:family val="2"/>
        <x:scheme val="minor"/>
      </x:rPr>
      <x:t xml:space="preserve">Actual</x:t>
    </x:r>
    <x:r>
      <x:rPr>
        <x:sz val="8"/>
        <x:color theme="1"/>
        <x:rFont val="Calibri"/>
        <x:family val="2"/>
        <x:scheme val="minor"/>
      </x:rPr>
      <x:t xml:space="preserve">: Refleja la ejecución técnica y financiera acumulada a la fecha. Son los datos verificados de avance físico, fechas de inicio/fin cumplidas y costos devengados. Real= start, finish, % ejecutado real, etc.</x:t>
    </x:r>
  </x:si>
  <x:si>
    <x:t xml:space="preserve">Release Notes</x:t>
  </x:si>
  <x:si>
    <x:r>
      <x:t xml:space="preserve">Documento comercial y funcional que resume el valor de la nueva versión.
</x:t>
    </x:r>
    <x:r>
      <x:rPr>
        <x:b/>
        <x:sz val="8"/>
        <x:color theme="1"/>
        <x:rFont val="Calibri"/>
        <x:family val="2"/>
        <x:scheme val="minor"/>
      </x:rPr>
      <x:t xml:space="preserve">Audiencia</x:t>
    </x:r>
    <x:r>
      <x:rPr>
        <x:sz val="8"/>
        <x:color theme="1"/>
        <x:rFont val="Calibri"/>
        <x:family val="2"/>
        <x:scheme val="minor"/>
      </x:rPr>
      <x:t xml:space="preserve">: Usuarios finales, gerentes de proyecto, TI y PMO.
</x:t>
    </x:r>
    <x:r>
      <x:rPr>
        <x:b/>
        <x:sz val="8"/>
        <x:color theme="1"/>
        <x:rFont val="Calibri"/>
        <x:family val="2"/>
        <x:scheme val="minor"/>
      </x:rPr>
      <x:t xml:space="preserve">Contenido</x:t>
    </x:r>
    <x:r>
      <x:rPr>
        <x:sz val="8"/>
        <x:color theme="1"/>
        <x:rFont val="Calibri"/>
        <x:family val="2"/>
        <x:scheme val="minor"/>
      </x:rPr>
      <x:t xml:space="preserve">: Explica las nuevas funciones, qué beneficios traen y qué problemas grandes se resolvieron. Suele incluir capturas de pantalla o tutoriales.
</x:t>
    </x:r>
    <x:r>
      <x:rPr>
        <x:b/>
        <x:sz val="8"/>
        <x:color theme="1"/>
        <x:rFont val="Calibri"/>
        <x:family val="2"/>
        <x:scheme val="minor"/>
      </x:rPr>
      <x:t xml:space="preserve">Estilo</x:t>
    </x:r>
    <x:r>
      <x:rPr>
        <x:sz val="8"/>
        <x:color theme="1"/>
        <x:rFont val="Calibri"/>
        <x:family val="2"/>
        <x:scheme val="minor"/>
      </x:rPr>
      <x:t xml:space="preserve">: "Ahora puedes exportar tus reportes a PDF con un solo clic" o "Mejoramos la velocidad de carga en un 20%".
Sirve para medir la "Vigencia Tecnológica" y ver si innovación es real o solo mantenimiento.</x:t>
    </x:r>
  </x:si>
  <x:si>
    <x:t xml:space="preserve">RFQ</x:t>
  </x:si>
  <x:si>
    <x:t xml:space="preserve">Paquete de Adquisición = Requerimiento de Cotización (Request For Proposal) = Licitación. Las 3 primeras letras deben corresponder a las iniciales del proyecto.</x:t>
  </x:si>
  <x:si>
    <x:t xml:space="preserve">Roadmap</x:t>
  </x:si>
  <x:si>
    <x:t xml:space="preserve">En el contexto de los lanzamientos frecuentes, un Roadmap es la hoja de ruta o el plan visual que marca hacia dónde va el producto a largo plazo [2, 3].
Mientras que los "releases" son lo que se entrega hoy o la próxima semana, el Roadmap explica:
La visión: Qué problemas se quieren resolver en los próximos meses o un 1, 2 años.
Prioridades: Qué funciones (features) son más importantes y en qué orden se desarrollarán [1 a 3 años].
Alineación: Sirve para que tanto el equipo técnico como los clientes sepan qué esperar a futuro [1 a 4 años].</x:t>
  </x:si>
  <x:si>
    <x:t xml:space="preserve">RRHH</x:t>
  </x:si>
  <x:si>
    <x:t xml:space="preserve">Recursos Humanos, en general y departamento de Recursos Humanos</x:t>
  </x:si>
  <x:si>
    <x:t xml:space="preserve">SAP</x:t>
  </x:si>
  <x:si>
    <x:t xml:space="preserve">Plataforma contable y financiera (ERP= Enterprise Resource Planning) con la que SW administra pasivos, activos, gastos e inversiones. Está conformada por varios módulos, entre otros: PM (Plant Maintenance), MM (Materials Management), FI (Financial accounting) y PS (Project System)</x:t>
  </x:si>
  <x:si>
    <x:t xml:space="preserve">Semana(s)</x:t>
  </x:si>
  <x:si>
    <x:t xml:space="preserve">Sensor</x:t>
  </x:si>
  <x:si>
    <x:t xml:space="preserve">Instrumento, dispositivo o herramienta que detecta y responde a algún tipo de información del entorno físico.</x:t>
  </x:si>
  <x:si>
    <x:t xml:space="preserve">SF</x:t>
  </x:si>
  <x:si>
    <x:t xml:space="preserve">Departamento de Seguridad Física (Protección y Vigilancia).</x:t>
  </x:si>
  <x:si>
    <x:t xml:space="preserve">SI</x:t>
  </x:si>
  <x:si>
    <x:t xml:space="preserve">Departamento de Seguridad Industrial.</x:t>
  </x:si>
  <x:si>
    <x:t xml:space="preserve">SIP</x:t>
  </x:si>
  <x:si>
    <x:t xml:space="preserve">Sistema de Ingreso a la Planta. Es la plataforma donde cada Co. enrola su personal y lo matricula a curso de seguridad virtual y presencial generando una base de datos, con la cual se verifica a priori el acceso a planta cada persona.</x:t>
  </x:si>
  <x:si>
    <x:t xml:space="preserve">SISO</x:t>
  </x:si>
  <x:si>
    <x:t xml:space="preserve">Auxiliar o tecnólogo encargado del seguimiento en sitio de las condiciones de SST en las áreas de trabajo</x:t>
  </x:si>
  <x:si>
    <x:t xml:space="preserve">SLA</x:t>
  </x:si>
  <x:si>
    <x:t xml:space="preserve">Service Level Agreement (Acuerdo de Nivel de Servicio). Es un contrato o compromiso formal que define el nivel de calidad, disponibilidad y respuesta que un proveedor de software garantiza a sus usuarios.
Si los releases frecuentes son el "qué" y el "cuándo" se entrega el software, el SLA es la promesa de que ese software funcionará correctamente una vez instalado.
Los puntos clave que suele cubrir un SLA incluyen:
Disponibilidad (Uptime): El porcentaje de tiempo que el software debe estar operativo (por ejemplo, el famoso "99.9% de disponibilidad").
Tiempos de respuesta: Cuánto tiempo tardará el equipo de soporte en contestar si algo falla (por ejemplo, responder en menos de 2 horas para errores críticos).
Tiempo de resolución: El plazo máximo acordado para arreglar un problema reportado.
Consecuencias: Qué sucede si el proveedor no cumple (como descuentos en la factura o créditos de servicio).
Es importante en lanzamientos frecuentes porque al sacar actualizaciones tan seguido, existe el riesgo de introducir errores. El SLA asegura al cliente que, aunque el software cambie constantemente, el proveedor se compromete a mantener la estabilidad y a reaccionar rápido si algo sale mal. </x:t>
  </x:si>
  <x:si>
    <x:t xml:space="preserve">SmartAccess</x:t>
  </x:si>
  <x:si>
    <x:t xml:space="preserve">Sistema de Control de Acceso actual en la planta. Es el sistema que registra hoy día la entrada/salida de cada persona.</x:t>
  </x:si>
  <x:si>
    <x:t xml:space="preserve">solP</x:t>
  </x:si>
  <x:si>
    <x:t xml:space="preserve">Solicitud de pedido, que equivale al requerimiento que un ingeniero hace de un bien o servicio.</x:t>
  </x:si>
  <x:si>
    <x:t xml:space="preserve">SST</x:t>
  </x:si>
  <x:si>
    <x:t xml:space="preserve">Seguridad y Salud en el Trabajo. Equivalente a la disciplina HSE</x:t>
  </x:si>
  <x:si>
    <x:t xml:space="preserve">Subcontrator</x:t>
  </x:si>
  <x:si>
    <x:t xml:space="preserve">Trabajador contratado por una Co.</x:t>
  </x:si>
  <x:si>
    <x:t xml:space="preserve">SW</x:t>
  </x:si>
  <x:si>
    <x:t xml:space="preserve">Smurfit Westrock</x:t>
  </x:si>
  <x:si>
    <x:t xml:space="preserve">SWC</x:t>
  </x:si>
  <x:si>
    <x:t xml:space="preserve">Smurfit Westrock Colombia. Es equivalente a "Organización".</x:t>
  </x:si>
  <x:si>
    <x:t xml:space="preserve">SWG</x:t>
  </x:si>
  <x:si>
    <x:t xml:space="preserve">Smurfit Westrock Group (se refiere generalmente a áreas corporativas ubicadas en Europa)</x:t>
  </x:si>
  <x:si>
    <x:t xml:space="preserve">TCO</x:t>
  </x:si>
  <x:si>
    <x:r>
      <x:t xml:space="preserve">Total Cost of Ownership =  Costo Total de Propiedad a evaluar a mediano/largo plazo (36 meses para este proyecto)
Es un cálculo financiero diseñado para determinar el costo real de un producto o sistema a lo largo de todo su ciclo de vida, no solo su precio de compra inicial y se compone de: 
</x:t>
    </x:r>
    <x:r>
      <x:rPr>
        <x:b/>
        <x:sz val="8"/>
        <x:color theme="1"/>
        <x:rFont val="Calibri"/>
        <x:family val="2"/>
        <x:scheme val="minor"/>
      </x:rPr>
      <x:t xml:space="preserve">Costos Directos</x:t>
    </x:r>
    <x:r>
      <x:rPr>
        <x:sz val="8"/>
        <x:color theme="1"/>
        <x:rFont val="Calibri"/>
        <x:family val="2"/>
        <x:scheme val="minor"/>
      </x:rPr>
      <x:t xml:space="preserve">:
Adquisición: Precio de la licencia o suscripción.
Implementación: Configuración, instalación y migración de datos.
Operación: Mantenimiento, actualizaciones frecuentes y soporte técnico.
</x:t>
    </x:r>
    <x:r>
      <x:rPr>
        <x:b/>
        <x:sz val="8"/>
        <x:color theme="1"/>
        <x:rFont val="Calibri"/>
        <x:family val="2"/>
        <x:scheme val="minor"/>
      </x:rPr>
      <x:t xml:space="preserve">Costos Indirectos</x:t>
    </x:r>
    <x:r>
      <x:rPr>
        <x:sz val="8"/>
        <x:color theme="1"/>
        <x:rFont val="Calibri"/>
        <x:family val="2"/>
        <x:scheme val="minor"/>
      </x:rPr>
      <x:t xml:space="preserve"> (Ocultos):
Capacitación: Tiempo y recursos para que los empleados aprendan a usarlo.
Tiempo de inactividad: Costos de oportunidad si el software falla (relacionado con el SLA).
Escalabilidad: Costo de añadir más usuarios o funciones en el futuro. </x:t>
    </x:r>
  </x:si>
  <x:si>
    <x:t xml:space="preserve">TI Líder</x:t>
  </x:si>
  <x:si>
    <x:t xml:space="preserve">Martha Cecilia Díaz</x:t>
  </x:si>
  <x:si>
    <x:t xml:space="preserve">Período posterior a la finalización formal de la implementación durante el cual el proveedor (fabricante y/o firma consultora) corregirá, sin costo adicional, cualquier defecto de configuración, desarrollo o parametrización que impida el correcto funcionamiento de la solución de acuerdo con el alcance aprobado, sin que estas correcciones sean consideradas servicios de soporte o nuevos requerimientos.</x:t>
  </x:si>
  <x:si>
    <x:t xml:space="preserve">Trabajador</x:t>
  </x:si>
  <x:si>
    <x:t xml:space="preserve">Persona (oficial, maestro, supervisor, ingeniero, etc.) contratada por la Co., que debe ser contada (registrada) por el sistema de control de acceso.</x:t>
  </x:si>
  <x:si>
    <x:t xml:space="preserve">Transmittal</x:t>
  </x:si>
  <x:si>
    <x:t xml:space="preserve">Carta de transmisión o remisión: Documento formal que acompaña el envío de planos, documentos o materiales en proyectos, principalmente de construcción e ingeniería. Funciona como una guía de remisión, registrando qué se envía (Proyecto, disciplina, fase, área, sistema) , a quién, cuándo y con qué propósito, permitiendo rastrear la información y garantizar la recepción. Aplica para documentos enviados y recibidos, intercambiados con oferentes, proveedores o cualquier otra parte interesada</x:t>
  </x:si>
  <x:si>
    <x:t xml:space="preserve">Dólares americanos. kUSD= Miles de dólares. MUSD= Millones de dólares</x:t>
  </x:si>
  <x:si>
    <x:t xml:space="preserve">Und. censora</x:t>
  </x:si>
  <x:si>
    <x:t xml:space="preserve">Integración de dispositivos de registro y conteo: Torniquete o similar (si se requiere) + PDA + Ctrl. Biométrico, si lo hay (dependiendo de la fase del proyecto)</x:t>
  </x:si>
  <x:si>
    <x:t xml:space="preserve">Valor agregado</x:t>
  </x:si>
  <x:si>
    <x:t xml:space="preserve">Valoración de aquellos atributos (tecnológicos o de consultoría) ofrecidos por el oferente, no exigidos explícitamente en la matriz de requerimientos que aporten beneficios tangibles al proyecto</x:t>
  </x:si>
  <x:si>
    <x:t xml:space="preserve">Valor Ganado (Earned Value)</x:t>
  </x:si>
  <x:si>
    <x:t xml:space="preserve">Es la métrica que traduce el trabajo físico realmente completado en una cantidad de dinero. Básicamente, responde con precisión a la pregunta: ¿Cuánto vale, en presupuesto original, lo que mi equipo ya construyó hoy?
Para entenderlo sin redundar en la Curva S, imagina que tienes un presupuesto total de $10,000 para pintar 10 habitaciones iguales ($1,000 por habitación). Si hoy has terminado exactamente 3 habitaciones: Tu Valor Ganado es de $3,000 (3 habitaciones x $1,000). No importa si el pintor avanzó lento o si te cobró de más por los materiales; el valor del trabajo real entregado es ese.
¿Para qué sirve? (El eslabón perdido)El Valor Ganado es el "puente" que te permite cruzar los datos de la Curva S para calcular dos indicadores de control definitivos:Variación de Cronograma: Restas el Valor Ganado menos lo que planeabas gastar. Te dice con exactitud matemática qué tan atrasado o adelantado estás en tiempo.Variación de Costo: Restas el Valor Ganado menos lo que realmente pagaste en la factura. Te dice si estás ahorrando o perdiendo dinero.</x:t>
  </x:si>
  <x:si>
    <x:t xml:space="preserve">VPN</x:t>
  </x:si>
  <x:si>
    <x:t xml:space="preserve">Valor Presente Neto. Modelo financiero obligatorio de cara a la evaluación económica final.</x:t>
  </x:si>
  <x:si>
    <x:t xml:space="preserve">WBS</x:t>
  </x:si>
  <x:si>
    <x:t xml:space="preserve">Work Breakdown Structure = EDT = Estructura Desglosada de Trabajo. Generalmente se representa en un diagrama de árbol o jerarquías, similar a un organigrama.</x:t>
  </x:si>
  <x:si>
    <x:t xml:space="preserve">ZPS_SOL_PROY</x:t>
  </x:si>
  <x:si>
    <x:t xml:space="preserve">Transacción de SAP (desarrollada in-house) que arroja todas las solP's y posiciones de solP relacionadas con sus respectivos pedidos, posiciones de pedidos, Id proyecto, descripción de proyecto, elemento PEP y otros 65 campos</x:t>
  </x:si>
  <x:si>
    <x:t xml:space="preserve">Calificación</x:t>
  </x:si>
  <x:si>
    <x:t xml:space="preserve">Interpretación</x:t>
  </x:si>
  <x:si>
    <x:t xml:space="preserve">Import</x:t>
  </x:si>
  <x:si>
    <x:t xml:space="preserve">Significado</x:t>
  </x:si>
  <x:si>
    <x:t xml:space="preserve">Aplicación</x:t>
  </x:si>
  <x:si>
    <x:t xml:space="preserve">Diferenciador</x:t>
  </x:si>
  <x:si>
    <x:t xml:space="preserve">Color</x:t>
  </x:si>
  <x:si>
    <x:t xml:space="preserve">Código</x:t>
  </x:si>
  <x:si>
    <x:t xml:space="preserve">Fórmula Formato condicional</x:t>
  </x:si>
  <x:si>
    <x:t xml:space="preserve">N</x:t>
  </x:si>
  <x:si>
    <x:t xml:space="preserve">Nivel</x:t>
  </x:si>
  <x:si>
    <x:t xml:space="preserve">Cobertura deseada</x:t>
  </x:si>
  <x:si>
    <x:t xml:space="preserve">Fase</x:t>
  </x:si>
  <x:si>
    <x:t xml:space="preserve">Dif</x:t>
  </x:si>
  <x:si>
    <x:r>
      <x:rPr>
        <x:sz val="8"/>
        <x:rFont val="Aptos Narrow"/>
        <x:family val="2"/>
      </x:rPr>
      <x:t xml:space="preserve">∑</x:t>
    </x:r>
    <x:r>
      <x:rPr>
        <x:sz val="8"/>
        <x:rFont val="Calibri"/>
        <x:family val="2"/>
        <x:scheme val="minor"/>
      </x:rPr>
      <x:t xml:space="preserve"> importancia</x:t>
    </x:r>
  </x:si>
  <x:si>
    <x:t xml:space="preserve">IMP CAT</x:t>
  </x:si>
  <x:si>
    <x:t xml:space="preserve">% de la categoría</x:t>
  </x:si>
  <x:si>
    <x:t xml:space="preserve">IMP</x:t>
  </x:si>
  <x:si>
    <x:t xml:space="preserve">% IMP</x:t>
  </x:si>
  <x:si>
    <x:t xml:space="preserve">Recom. IA</x:t>
  </x:si>
  <x:si>
    <x:t xml:space="preserve">Columna2</x:t>
  </x:si>
  <x:si>
    <x:t xml:space="preserve">≥8</x:t>
  </x:si>
  <x:si>
    <x:t xml:space="preserve">7 - 5</x:t>
  </x:si>
  <x:si>
    <x:t xml:space="preserve">≤4</x:t>
  </x:si>
  <x:si>
    <x:t xml:space="preserve">Calificación 1</x:t>
  </x:si>
  <x:si>
    <x:t xml:space="preserve">Calificación 2</x:t>
  </x:si>
  <x:si>
    <x:t xml:space="preserve">Calificación 3</x:t>
  </x:si>
  <x:si>
    <x:t xml:space="preserve">Calificación 4</x:t>
  </x:si>
  <x:si>
    <x:t xml:space="preserve">Calificación 5</x:t>
  </x:si>
  <x:si>
    <x:t xml:space="preserve">Par_abb</x:t>
  </x:si>
  <x:si>
    <x:t xml:space="preserve">S/N</x:t>
  </x:si>
  <x:si>
    <x:t xml:space="preserve">Valor</x:t>
  </x:si>
  <x:si>
    <x:t xml:space="preserve">Estándar matemático</x:t>
  </x:si>
  <x:si>
    <x:t xml:space="preserve">Estándar financiero</x:t>
  </x:si>
  <x:si>
    <x:r>
      <x:t xml:space="preserve">Tasa </x:t>
    </x:r>
    <x:r>
      <x:rPr>
        <x:sz val="8"/>
        <x:color theme="1"/>
        <x:rFont val="Aptos"/>
        <x:family val="2"/>
      </x:rPr>
      <x:t xml:space="preserve">≥</x:t>
    </x:r>
    <x:r>
      <x:rPr>
        <x:sz val="8"/>
        <x:color theme="1"/>
        <x:rFont val="Calibri"/>
        <x:family val="2"/>
      </x:rPr>
      <x:t xml:space="preserve">1</x:t>
    </x:r>
  </x:si>
  <x:si>
    <x:r>
      <x:t xml:space="preserve">TRM</x:t>
    </x:r>
    <x:r>
      <x:rPr>
        <x:sz val="8"/>
        <x:color theme="1"/>
        <x:rFont val="Calibri"/>
        <x:family val="2"/>
        <x:scheme val="minor"/>
      </x:rPr>
      <x:t xml:space="preserve">O</x:t>
    </x:r>
  </x:si>
  <x:si>
    <x:r>
      <x:t xml:space="preserve">TRM</x:t>
    </x:r>
    <x:r>
      <x:rPr>
        <x:sz val="8"/>
        <x:color theme="1"/>
        <x:rFont val="Calibri"/>
        <x:family val="2"/>
        <x:scheme val="minor"/>
      </x:rPr>
      <x:t xml:space="preserve">1</x:t>
    </x:r>
  </x:si>
  <x:si>
    <x:t xml:space="preserve">Forma de pago licencias</x:t>
  </x:si>
  <x:si>
    <x:t xml:space="preserve">Explicación forma de pago licencias</x:t>
  </x:si>
  <x:si>
    <x:t xml:space="preserve">No disponible</x:t>
  </x:si>
  <x:si>
    <x:t xml:space="preserve">01</x:t>
  </x:si>
  <x:si>
    <x:t xml:space="preserve">Crítico</x:t>
  </x:si>
  <x:si>
    <x:t xml:space="preserve">8–10</x:t>
  </x:si>
  <x:si>
    <x:t xml:space="preserve">Requisito</x:t>
  </x:si>
  <x:si>
    <x:t xml:space="preserve">Core Project Control</x:t>
  </x:si>
  <x:si>
    <x:t xml:space="preserve">#3FD185</x:t>
  </x:si>
  <x:si>
    <x:t xml:space="preserve">=$N2&gt;=8</x:t>
  </x:si>
  <x:si>
    <x:t xml:space="preserve">Básico</x:t>
  </x:si>
  <x:si>
    <x:t xml:space="preserve">Básica/Inicial</x:t>
  </x:si>
  <x:si>
    <x:t xml:space="preserve">Soporte limitado, tamaño pequeño, dudas sobre su utilidad.</x:t>
  </x:si>
  <x:si>
    <x:t xml:space="preserve">Colombia División Molinos - CapEx (IP) + opEx (MM)</x:t>
  </x:si>
  <x:si>
    <x:t xml:space="preserve">Tablero proyectos, Ejecución Pptal, Reporte ejecutivo, Curvas de avance. Gestión del Tiempo.</x:t>
  </x:si>
  <x:si>
    <x:t xml:space="preserve">Fase 1</x:t>
  </x:si>
  <x:si>
    <x:t xml:space="preserve">0</x:t>
  </x:si>
  <x:si>
    <x:t xml:space="preserve">Dólar</x:t>
  </x:si>
  <x:si>
    <x:t xml:space="preserve">USD/USD</x:t>
  </x:si>
  <x:si>
    <x:t xml:space="preserve">Anual Anticipado (Annual In Advance)</x:t>
  </x:si>
  <x:si>
    <x:t xml:space="preserve">Estándar en industria corporativa. Se factura el 100% de las licencias al inicio de cada año de servicio</x:t>
  </x:si>
  <x:si>
    <x:t xml:space="preserve">Bajo</x:t>
  </x:si>
  <x:si>
    <x:t xml:space="preserve">02</x:t>
  </x:si>
  <x:si>
    <x:t xml:space="preserve">Estratégico</x:t>
  </x:si>
  <x:si>
    <x:t xml:space="preserve">5–7</x:t>
  </x:si>
  <x:si>
    <x:t xml:space="preserve">Parámetro diferenciador</x:t>
  </x:si>
  <x:si>
    <x:t xml:space="preserve">Advanced</x:t>
  </x:si>
  <x:si>
    <x:t xml:space="preserve">#FCE300</x:t>
  </x:si>
  <x:si>
    <x:t xml:space="preserve">=Y($N2&gt;=5; $N2&lt;=7)</x:t>
  </x:si>
  <x:si>
    <x:t xml:space="preserve">Integrado</x:t>
  </x:si>
  <x:si>
    <x:t xml:space="preserve">Estandarizada</x:t>
  </x:si>
  <x:si>
    <x:t xml:space="preserve">Procesos definidos y utilizados en toda la empresa.</x:t>
  </x:si>
  <x:si>
    <x:t xml:space="preserve">Colombia todas las divisiones</x:t>
  </x:si>
  <x:si>
    <x:t xml:space="preserve">Costo, Portafolio, Docs, Plantillas, Interoperabilidad BIM</x:t>
  </x:si>
  <x:si>
    <x:t xml:space="preserve">Fase 2</x:t>
  </x:si>
  <x:si>
    <x:t xml:space="preserve">Time</x:t>
  </x:si>
  <x:si>
    <x:t xml:space="preserve">No</x:t>
  </x:si>
  <x:si>
    <x:t xml:space="preserve">Euro</x:t>
  </x:si>
  <x:si>
    <x:t xml:space="preserve">USD/EUR</x:t>
  </x:si>
  <x:si>
    <x:t xml:space="preserve">EUR/USD</x:t>
  </x:si>
  <x:si>
    <x:t xml:space="preserve">Plurianual Anticipado (Upfront Multi-year)</x:t>
  </x:si>
  <x:si>
    <x:t xml:space="preserve">Oferente factura totalidad del contrato de 3 o 5 años en un único pago inicial. (A veces las empresas lo piden para aprovechar presupuestos remanentes de CAPEX y obtener descuentos agresivos)</x:t>
  </x:si>
  <x:si>
    <x:t xml:space="preserve">Medio</x:t>
  </x:si>
  <x:si>
    <x:t xml:space="preserve">03</x:t>
  </x:si>
  <x:si>
    <x:t xml:space="preserve">Operativo</x:t>
  </x:si>
  <x:si>
    <x:t xml:space="preserve">2–4</x:t>
  </x:si>
  <x:si>
    <x:t xml:space="preserve">Suma, no define</x:t>
  </x:si>
  <x:si>
    <x:t xml:space="preserve">Nice-to-have</x:t>
  </x:si>
  <x:si>
    <x:t xml:space="preserve">#D912AE</x:t>
  </x:si>
  <x:si>
    <x:t xml:space="preserve">=Y($N2&gt;=2; $N2&lt;=4)</x:t>
  </x:si>
  <x:si>
    <x:t xml:space="preserve">Dinámico</x:t>
  </x:si>
  <x:si>
    <x:t xml:space="preserve">Predecible/Medible</x:t>
  </x:si>
  <x:si>
    <x:t xml:space="preserve">Se evalúa el desempeño (rendimiento) y se gestiona el valor.</x:t>
  </x:si>
  <x:si>
    <x:t xml:space="preserve">Latam</x:t>
  </x:si>
  <x:si>
    <x:t xml:space="preserve">RRHH, Auditorías, Riesgo, Cambio. IA</x:t>
  </x:si>
  <x:si>
    <x:t xml:space="preserve">Cost</x:t>
  </x:si>
  <x:si>
    <x:t xml:space="preserve">Peso colombiano</x:t>
  </x:si>
  <x:si>
    <x:t xml:space="preserve">COP/USD</x:t>
  </x:si>
  <x:si>
    <x:t xml:space="preserve">USD/COP</x:t>
  </x:si>
  <x:si>
    <x:t xml:space="preserve">Muy raro para contratos Enterprise.</x:t>
  </x:si>
  <x:si>
    <x:t xml:space="preserve">Bueno</x:t>
  </x:si>
  <x:si>
    <x:t xml:space="preserve">04</x:t>
  </x:si>
  <x:si>
    <x:t xml:space="preserve">Nulo</x:t>
  </x:si>
  <x:si>
    <x:t xml:space="preserve">0-1</x:t>
  </x:si>
  <x:si>
    <x:t xml:space="preserve">Debería descartarse</x:t>
  </x:si>
  <x:si>
    <x:t xml:space="preserve">Low relevance</x:t>
  </x:si>
  <x:si>
    <x:t xml:space="preserve">#FF0000</x:t>
  </x:si>
  <x:si>
    <x:t xml:space="preserve">=$N2&lt;=1</x:t>
  </x:si>
  <x:si>
    <x:t xml:space="preserve">Innovadora/Optimizada</x:t>
  </x:si>
  <x:si>
    <x:t xml:space="preserve">Mejora continua e integración estratégica</x:t>
  </x:si>
  <x:si>
    <x:t xml:space="preserve">Smurfit Westrock (World)</x:t>
  </x:si>
  <x:si>
    <x:t xml:space="preserve">Información global para alimentación e integración</x:t>
  </x:si>
  <x:si>
    <x:t xml:space="preserve">Risk</x:t>
  </x:si>
  <x:si>
    <x:t xml:space="preserve">Excelente</x:t>
  </x:si>
  <x:si>
    <x:t xml:space="preserve">05</x:t>
  </x:si>
  <x:si>
    <x:t xml:space="preserve">Resource</x:t>
  </x:si>
  <x:si>
    <x:t xml:space="preserve">06</x:t>
  </x:si>
  <x:si>
    <x:t xml:space="preserve">Commun</x:t>
  </x:si>
  <x:si>
    <x:t xml:space="preserve">u</x:t>
  </x:si>
  <x:si>
    <x:t xml:space="preserve">Columna1</x:t>
  </x:si>
  <x:si>
    <x:t xml:space="preserve">Forma de pago consultoría</x:t>
  </x:si>
  <x:si>
    <x:t xml:space="preserve">Explicación forma de pago consultoría</x:t>
  </x:si>
  <x:si>
    <x:t xml:space="preserve">07</x:t>
  </x:si>
  <x:si>
    <x:t xml:space="preserve">Calidad</x:t>
  </x:si>
  <x:si>
    <x:t xml:space="preserve">QAQC</x:t>
  </x:si>
  <x:si>
    <x:t xml:space="preserve">Pago Mensual (T&amp;M) </x:t>
  </x:si>
  <x:si>
    <x:t xml:space="preserve"> Cuota fija facturada a mes vencido basada en horas/jornadas reales.</x:t>
  </x:si>
  <x:si>
    <x:t xml:space="preserve">08</x:t>
  </x:si>
  <x:si>
    <x:t xml:space="preserve">Integrat</x:t>
  </x:si>
  <x:si>
    <x:t xml:space="preserve">k</x:t>
  </x:si>
  <x:si>
    <x:t xml:space="preserve">mil</x:t>
  </x:si>
  <x:si>
    <x:t xml:space="preserve">Fijo por Hitos y Entregables </x:t>
  </x:si>
  <x:si>
    <x:t xml:space="preserve"> Porcentajes fijos liberados tras la aprobación de nodos clave de la PMO.</x:t>
  </x:si>
  <x:si>
    <x:t xml:space="preserve">70</x:t>
  </x:si>
  <x:si>
    <x:t xml:space="preserve">09</x:t>
  </x:si>
  <x:si>
    <x:t xml:space="preserve">Legal</x:t>
  </x:si>
  <x:si>
    <x:t xml:space="preserve">M</x:t>
  </x:si>
  <x:si>
    <x:t xml:space="preserve">Millones</x:t>
  </x:si>
  <x:si>
    <x:t xml:space="preserve"> Porcentaje inicial y pagos parciales por avance mensual medible.</x:t>
  </x:si>
  <x:si>
    <x:t xml:space="preserve">80</x:t>
  </x:si>
  <x:si>
    <x:t xml:space="preserve">Valor Agregado</x:t>
  </x:si>
  <x:si>
    <x:t xml:space="preserve">10</x:t>
  </x:si>
  <x:si>
    <x:t xml:space="preserve">50% Anticipo y 50% Final </x:t>
  </x:si>
  <x:si>
    <x:t xml:space="preserve"> Mitad al inicio, mitad a la entrega total del proyecto.</x:t>
  </x:si>
  <x:si>
    <x:t xml:space="preserve">12</x:t>
  </x:si>
  <x:si>
    <x:t xml:space="preserve">Procure</x:t>
  </x:si>
  <x:si>
    <x:t xml:space="preserve">Contra Cumplimiento de Cronograma (SLA) </x:t>
  </x:si>
  <x:si>
    <x:t xml:space="preserve"> Pagos sujetos a cumplir los plazos acordados en la planeación</x:t>
  </x:si>
  <x:si>
    <x:t xml:space="preserve">19</x:t>
  </x:si>
  <x:si>
    <x:t xml:space="preserve">Change</x:t>
  </x:si>
  <x:si>
    <x:t xml:space="preserve">Total de verificación</x:t>
  </x:si>
  <x:si>
    <x:t xml:space="preserve">20</x:t>
  </x:si>
  <x:si>
    <x:t xml:space="preserve">HESQ</x:t>
  </x:si>
  <x:si>
    <x:t xml:space="preserve">30</x:t>
  </x:si>
  <x:si>
    <x:t xml:space="preserve">Core PMI</x:t>
  </x:si>
  <x:si>
    <x:t xml:space="preserve">31</x:t>
  </x:si>
  <x:si>
    <x:t xml:space="preserve">Portfolio</x:t>
  </x:si>
  <x:si>
    <x:t xml:space="preserve">Forma de pago bolsa de horas</x:t>
  </x:si>
  <x:si>
    <x:t xml:space="preserve">Explicación forma de pago bolsa de horas</x:t>
  </x:si>
  <x:si>
    <x:t xml:space="preserve">32</x:t>
  </x:si>
  <x:si>
    <x:t xml:space="preserve">Govern</x:t>
  </x:si>
  <x:si>
    <x:t xml:space="preserve">Prepago Anual Completo (Upfront)</x:t>
  </x:si>
  <x:si>
    <x:t xml:space="preserve">Se paga el 100% de la bolsa al inicio del contrato a cambio de la tarifa por hora más baja del mercado.</x:t>
  </x:si>
  <x:si>
    <x:t xml:space="preserve">01 Plataforma &amp; Arquitectura</x:t>
  </x:si>
  <x:si>
    <x:t xml:space="preserve">33</x:t>
  </x:si>
  <x:si>
    <x:t xml:space="preserve">Se divide el total de horas en 12 cuotas mensuales idénticas, sin importar si se consumen más o menos horas en un mes específico.</x:t>
  </x:si>
  <x:si>
    <x:t xml:space="preserve">02 Implementación y Soporte</x:t>
  </x:si>
  <x:si>
    <x:t xml:space="preserve">34</x:t>
  </x:si>
  <x:si>
    <x:t xml:space="preserve">Prepago por Bloques (Paquetes)</x:t>
  </x:si>
  <x:si>
    <x:t xml:space="preserve">Se compran bloques medianos de horas (ej. 50 o 100 horas) y se van renovando a medida que el saldo se agota.</x:t>
  </x:si>
  <x:si>
    <x:t xml:space="preserve">03 Gestión Documental</x:t>
  </x:si>
  <x:si>
    <x:t xml:space="preserve">35</x:t>
  </x:si>
  <x:si>
    <x:t xml:space="preserve">Consult</x:t>
  </x:si>
  <x:si>
    <x:t xml:space="preserve">Consumo Mes Vencido (T&amp;M Postpago)</x:t>
  </x:si>
  <x:si>
    <x:t xml:space="preserve">Se pagan mensualmente solo las horas reales consumidas en ese periodo, generalmente con un costo por hora más elevado.</x:t>
  </x:si>
  <x:si>
    <x:t xml:space="preserve">04 Gestión Proyecto</x:t>
  </x:si>
  <x:si>
    <x:t xml:space="preserve">36</x:t>
  </x:si>
  <x:si>
    <x:t xml:space="preserve">Siempre</x:t>
  </x:si>
  <x:si>
    <x:t xml:space="preserve">Esquema Mixto con Base Mínima</x:t>
  </x:si>
  <x:si>
    <x:t xml:space="preserve">Se pagas un monto mensual fijo que cubre un mínimo de horas (ej. 10 horas) y las horas extra se facturan a mes vencido.</x:t>
  </x:si>
  <x:si>
    <x:t xml:space="preserve">05 Recursos, Costos &amp; ERP</x:t>
  </x:si>
  <x:si>
    <x:t xml:space="preserve">37</x:t>
  </x:si>
  <x:si>
    <x:t xml:space="preserve">Después de implementación</x:t>
  </x:si>
  <x:si>
    <x:t xml:space="preserve">06 Gobierno, Roles y Colaboración</x:t>
  </x:si>
  <x:si>
    <x:t xml:space="preserve">40</x:t>
  </x:si>
  <x:si>
    <x:t xml:space="preserve">Arquitectura y Escalabilidad</x:t>
  </x:si>
  <x:si>
    <x:t xml:space="preserve">Architec</x:t>
  </x:si>
  <x:si>
    <x:t xml:space="preserve">07 Portafolio, Programas y Estrategia</x:t>
  </x:si>
  <x:si>
    <x:t xml:space="preserve">41</x:t>
  </x:si>
  <x:si>
    <x:t xml:space="preserve">70 Propuesta Comercial</x:t>
  </x:si>
  <x:si>
    <x:t xml:space="preserve">42</x:t>
  </x:si>
  <x:si>
    <x:t xml:space="preserve">Estabilidad</x:t>
  </x:si>
  <x:si>
    <x:t xml:space="preserve">43</x:t>
  </x:si>
  <x:si>
    <x:t xml:space="preserve">44</x:t>
  </x:si>
  <x:si>
    <x:t xml:space="preserve">45</x:t>
  </x:si>
  <x:si>
    <x:t xml:space="preserve">50</x:t>
  </x:si>
  <x:si>
    <x:t xml:space="preserve">Commerc</x:t>
  </x:si>
  <x:si>
    <x:t xml:space="preserve">Por clasificar</x:t>
  </x:si>
  <x:si>
    <x:t xml:space="preserve">Xclasif</x:t>
  </x:si>
  <x:si>
    <x:t xml:space="preserve">90</x:t>
  </x:si>
  <x:si>
    <x:t xml:space="preserve">Comparativo</x:t>
  </x:si>
  <x:si>
    <x:t xml:space="preserve">Compa</x:t>
  </x:si>
  <x:si>
    <x:t xml:space="preserve">20-25%</x:t>
  </x:si>
  <x:si>
    <x:t xml:space="preserve">15-20%</x:t>
  </x:si>
  <x:si>
    <x:r>
      <x:rPr>
        <x:sz val="8"/>
        <x:color theme="1"/>
        <x:rFont val="Aptos Narrow"/>
        <x:family val="2"/>
      </x:rPr>
      <x:t xml:space="preserve">≥</x:t>
    </x:r>
    <x:r>
      <x:rPr>
        <x:sz val="8"/>
        <x:color theme="1"/>
        <x:rFont val="Calibri"/>
        <x:family val="2"/>
      </x:rPr>
      <x:t xml:space="preserve">9</x:t>
    </x:r>
  </x:si>
  <x:si>
    <x:t xml:space="preserve">máx. 20–25% de filas</x:t>
  </x:si>
  <x:si>
    <x:t xml:space="preserve">≥9</x:t>
  </x:si>
  <x:si>
    <x:t xml:space="preserve">≤6</x:t>
  </x:si>
  <x:si>
    <x:t xml:space="preserve">al menos 15–20%</x:t>
  </x:si>
  <x:si>
    <x:t xml:space="preserve">Otras</x:t>
  </x:si>
  <x:si>
    <x:t xml:space="preserve">Mes anticipado</x:t>
  </x:si>
  <x:si>
    <x:t xml:space="preserve">Grupo</x:t>
  </x:si>
  <x:si>
    <x:t xml:space="preserve">Mes vencido (por uso)</x:t>
  </x:si>
  <x:si>
    <x:t xml:space="preserve">Cant.</x:t>
  </x:si>
  <x:si>
    <x:t xml:space="preserve">Rango</x:t>
  </x:si>
  <x:si>
    <x:t xml:space="preserve">Acum.</x:t>
  </x:si>
  <x:si>
    <x:t xml:space="preserve">% acum.</x:t>
  </x:si>
  <x:si>
    <x:t xml:space="preserve">Estados de Gestión</x:t>
  </x:si>
  <x:si>
    <x:t xml:space="preserve">Año anticipado</x:t>
  </x:si>
  <x:si>
    <x:t xml:space="preserve">Estatus presupuestal</x:t>
  </x:si>
  <x:si>
    <x:t xml:space="preserve">A mitad de año</x:t>
  </x:si>
  <x:si>
    <x:t xml:space="preserve">Interesados</x:t>
  </x:si>
  <x:si>
    <x:t xml:space="preserve">Año vencido</x:t>
  </x:si>
  <x:si>
    <x:t xml:space="preserve">Pago inicial total</x:t>
  </x:si>
  <x:si>
    <x:t xml:space="preserve">Financials</x:t>
  </x:si>
  <x:si>
    <x:t xml:space="preserve">Pago total a cuotas</x:t>
  </x:si>
  <x:si>
    <x:t xml:space="preserve">Documental</x:t>
  </x:si>
  <x:si>
    <x:t xml:space="preserve">Implementación y soporte</x:t>
  </x:si>
  <x:si>
    <x:t xml:space="preserve">Riesgos</x:t>
  </x:si>
  <x:si>
    <x:t xml:space="preserve">Aplica para:</x:t>
  </x:si>
  <x:si>
    <x:t xml:space="preserve">Usar cuando la fila habla/evalúa/pregunta de:</x:t>
  </x:si>
  <x:si>
    <x:t xml:space="preserve">Calif</x:t>
  </x:si>
  <x:si>
    <x:t xml:space="preserve">Título</x:t>
  </x:si>
  <x:si>
    <x:t xml:space="preserve">Descripción o definición adicional</x:t>
  </x:si>
  <x:si>
    <x:t xml:space="preserve">Regla clave</x:t>
  </x:si>
  <x:si>
    <x:t xml:space="preserve">A</x:t>
  </x:si>
  <x:si>
    <x:t xml:space="preserve">C</x:t>
  </x:si>
  <x:si>
    <x:t xml:space="preserve">▪Soporte
▪Implementación
▪Acompañamiento
▪Post-venta</x:t>
  </x:si>
  <x:si>
    <x:t xml:space="preserve">▪Implementación
▪Soporte
▪Acompañamiento
▪Post‑venta</x:t>
  </x:si>
  <x:si>
    <x:t xml:space="preserve">Soporte 100% completo y probado (local + casa matriz), SLA claros</x:t>
  </x:si>
  <x:si>
    <x:t xml:space="preserve">Soporte robusto y probado</x:t>
  </x:si>
  <x:si>
    <x:t xml:space="preserve">Soporte adecuado</x:t>
  </x:si>
  <x:si>
    <x:t xml:space="preserve">Soporte estándar</x:t>
  </x:si>
  <x:si>
    <x:t xml:space="preserve">Soporte limitado</x:t>
  </x:si>
  <x:si>
    <x:t xml:space="preserve">Soporte bajo demanda</x:t>
  </x:si>
  <x:si>
    <x:t xml:space="preserve">Soporte reactivo</x:t>
  </x:si>
  <x:si>
    <x:t xml:space="preserve">Soporte mínimo</x:t>
  </x:si>
  <x:si>
    <x:t xml:space="preserve">Soporte informal</x:t>
  </x:si>
  <x:si>
    <x:t xml:space="preserve">Soporte incierto</x:t>
  </x:si>
  <x:si>
    <x:t xml:space="preserve">Sin soporte</x:t>
  </x:si>
  <x:si>
    <x:t xml:space="preserve">CA</x:t>
  </x:si>
  <x:si>
    <x:t xml:space="preserve">Precio fijo cerrado</x:t>
  </x:si>
  <x:si>
    <x:t xml:space="preserve">Precio por entregables definidos</x:t>
  </x:si>
  <x:si>
    <x:t xml:space="preserve">Modelo mixto (fijo + variable controlado)</x:t>
  </x:si>
  <x:si>
    <x:t xml:space="preserve">Por horas con tope</x:t>
  </x:si>
  <x:si>
    <x:t xml:space="preserve">Por horas con estimado</x:t>
  </x:si>
  <x:si>
    <x:t xml:space="preserve">Por horas sin control</x:t>
  </x:si>
  <x:si>
    <x:t xml:space="preserve">CB</x:t>
  </x:si>
  <x:si>
    <x:t xml:space="preserve">Pago por hitos validados</x:t>
  </x:si>
  <x:si>
    <x:t xml:space="preserve">Anticipo ≤ 30% + hitos</x:t>
  </x:si>
  <x:si>
    <x:t xml:space="preserve">40% / 60%</x:t>
  </x:si>
  <x:si>
    <x:t xml:space="preserve">50% / 50%</x:t>
  </x:si>
  <x:si>
    <x:t xml:space="preserve">&gt;70% anticipado</x:t>
  </x:si>
  <x:si>
    <x:t xml:space="preserve">100% anticipado</x:t>
  </x:si>
  <x:si>
    <x:t xml:space="preserve">CC</x:t>
  </x:si>
  <x:si>
    <x:t xml:space="preserve">Alcance cerrado con SLA y entregables</x:t>
  </x:si>
  <x:si>
    <x:t xml:space="preserve">Alcance cerrado sin SLA</x:t>
  </x:si>
  <x:si>
    <x:t xml:space="preserve">Alcance definido pero con exclusiones</x:t>
  </x:si>
  <x:si>
    <x:t xml:space="preserve">Alcance referencial</x:t>
  </x:si>
  <x:si>
    <x:t xml:space="preserve">Alcance ambiguo</x:t>
  </x:si>
  <x:si>
    <x:t xml:space="preserve">No definido</x:t>
  </x:si>
  <x:si>
    <x:t xml:space="preserve">Garantía de resultados + soporte post-venta</x:t>
  </x:si>
  <x:si>
    <x:t xml:space="preserve">Acompañamiento post go‑live incluido</x:t>
  </x:si>
  <x:si>
    <x:t xml:space="preserve">Bolsa de horas incluida</x:t>
  </x:si>
  <x:si>
    <x:t xml:space="preserve">Soporte facturable</x:t>
  </x:si>
  <x:si>
    <x:t xml:space="preserve">Sin acompañamiento</x:t>
  </x:si>
  <x:si>
    <x:t xml:space="preserve">DB</x:t>
  </x:si>
  <x:si>
    <x:t xml:space="preserve">Equipo nominal definido (roles, seniority, % dedicación)</x:t>
  </x:si>
  <x:si>
    <x:t xml:space="preserve">Pool identificado, asignación previa al inicio</x:t>
  </x:si>
  <x:si>
    <x:t xml:space="preserve">Equipo mixto Senior/Junior</x:t>
  </x:si>
  <x:si>
    <x:t xml:space="preserve">Equipo no definido aún</x:t>
  </x:si>
  <x:si>
    <x:t xml:space="preserve">“Según disponibilidad”</x:t>
  </x:si>
  <x:si>
    <x:t xml:space="preserve">Subcontratación futura</x:t>
  </x:si>
  <x:si>
    <x:t xml:space="preserve">DC</x:t>
  </x:si>
  <x:si>
    <x:t xml:space="preserve">Back‑up team documentado</x:t>
  </x:si>
  <x:si>
    <x:t xml:space="preserve">Capacidad de refuerzo interno</x:t>
  </x:si>
  <x:si>
    <x:t xml:space="preserve">Refuerzo vía partners</x:t>
  </x:si>
  <x:si>
    <x:t xml:space="preserve">Ajuste vía extensión de plazos</x:t>
  </x:si>
  <x:si>
    <x:t xml:space="preserve">No contemplado</x:t>
  </x:si>
  <x:si>
    <x:t xml:space="preserve">Negado</x:t>
  </x:si>
  <x:si>
    <x:t xml:space="preserve">E</x:t>
  </x:si>
  <x:si>
    <x:t xml:space="preserve">Enterprise / Alta resiliencia. Cumple completamente</x:t>
  </x:si>
  <x:si>
    <x:t xml:space="preserve">Arquitectura transaccional robusta. Manejo correcto de concurrencia. Recuperación ante fallos sin pérdida de información. Mecanismos probados y documentados.</x:t>
  </x:si>
  <x:si>
    <x:r>
      <x:t xml:space="preserve">Go </x:t>
    </x:r>
    <x:r>
      <x:rPr>
        <x:b/>
        <x:sz val="8"/>
        <x:color theme="0" tint="-0.04999"/>
        <x:rFont val="Aptos Narrow"/>
        <x:family val="2"/>
      </x:rPr>
      <x:t xml:space="preserve">≥</x:t>
    </x:r>
    <x:r>
      <x:rPr>
        <x:b/>
        <x:sz val="8"/>
        <x:color theme="0" tint="-0.04999"/>
        <x:rFont val="Calibri"/>
        <x:family val="2"/>
      </x:rPr>
      <x:t xml:space="preserve"> 6</x:t>
    </x:r>
  </x:si>
  <x:si>
    <x:t xml:space="preserve">Cumple satisfactoriamente</x:t>
  </x:si>
  <x:si>
    <x:t xml:space="preserve">Cumple satisfactoriamente. Arquitectura sólida y comprobada. Puede carecer de algunas capacidades avanzadas de resiliencia, sin impacto relevante en la operación.</x:t>
  </x:si>
  <x:si>
    <x:t xml:space="preserve">Adecuada / Controlada</x:t>
  </x:si>
  <x:si>
    <x:t xml:space="preserve">Buen manejo de integridad de datos y concurrencia. Fallos pueden requerir reintento manual, pero sin corrupción ni pérdida.</x:t>
  </x:si>
  <x:si>
    <x:t xml:space="preserve">Cumple parcialmente</x:t>
  </x:si>
  <x:si>
    <x:t xml:space="preserve">Cumple con algunas restricciones o condiciones</x:t>
  </x:si>
  <x:si>
    <x:t xml:space="preserve">Limitada / Riesgo operativo</x:t>
  </x:si>
  <x:si>
    <x:t xml:space="preserve">Riesgo de inconsistencias en escenarios de falla, concurrencia limitada o dependencia de buenas prácticas del usuario.</x:t>
  </x:si>
  <x:si>
    <x:t xml:space="preserve">No cumple</x:t>
  </x:si>
  <x:si>
    <x:t xml:space="preserve">Riesgo no aceptable para PMO</x:t>
  </x:si>
  <x:si>
    <x:t xml:space="preserve">Deficiente / No aceptable</x:t>
  </x:si>
  <x:si>
    <x:t xml:space="preserve">Posibilidad real de corrupción, pérdida de datos, fallos no recuperables o inestabilidad recurrente.</x:t>
  </x:si>
  <x:si>
    <x:t xml:space="preserve">Nula</x:t>
  </x:si>
  <x:si>
    <x:t xml:space="preserve">Absolutamente no confiable</x:t>
  </x:si>
  <x:si>
    <x:t xml:space="preserve">F</x:t>
  </x:si>
  <x:si>
    <x:t xml:space="preserve">Por hora o por uso</x:t>
  </x:si>
  <x:si>
    <x:t xml:space="preserve">Mes vencido</x:t>
  </x:si>
  <x:si>
    <x:t xml:space="preserve">I</x:t>
  </x:si>
  <x:si>
    <x:t xml:space="preserve">▪Integración con otro software/App/ herramienta; ▪Interoperabilidad; ▪Integraciones nativas adicionales</x:t>
  </x:si>
  <x:si>
    <x:r>
      <x:t xml:space="preserve">▪Conectividad </x:t>
    </x:r>
    <x:r>
      <x:rPr>
        <x:sz val="8"/>
        <x:color theme="1"/>
        <x:rFont val="Aptos Narrow"/>
        <x:family val="2"/>
      </x:rPr>
      <x:t xml:space="preserve">↔</x:t>
    </x:r>
    <x:r>
      <x:rPr>
        <x:sz val="8"/>
        <x:color theme="1"/>
        <x:rFont val="Calibri"/>
        <x:family val="2"/>
        <x:scheme val="minor"/>
      </x:rPr>
      <x:t xml:space="preserve"> entre sistemas</x:t>
    </x:r>
  </x:si>
  <x:si>
    <x:t xml:space="preserve">Integración nativa, bidireccional, estable</x:t>
  </x:si>
  <x:si>
    <x:t xml:space="preserve">Integración nativa, unidireccional</x:t>
  </x:si>
  <x:si>
    <x:t xml:space="preserve">Conectores oficiales</x:t>
  </x:si>
  <x:si>
    <x:t xml:space="preserve">APIs documentadas. No necesaria/ última versión</x:t>
  </x:si>
  <x:si>
    <x:t xml:space="preserve">Demuestra que interoperabilidad va bien enfocada</x:t>
  </x:si>
  <x:si>
    <x:t xml:space="preserve">APIs limitadas</x:t>
  </x:si>
  <x:si>
    <x:t xml:space="preserve">Integraciones vía ETL</x:t>
  </x:si>
  <x:si>
    <x:t xml:space="preserve">Integración manual parcial</x:t>
  </x:si>
  <x:si>
    <x:t xml:space="preserve">Exportar/importar archivos</x:t>
  </x:si>
  <x:si>
    <x:t xml:space="preserve">Procedimientos manuales</x:t>
  </x:si>
  <x:si>
    <x:t xml:space="preserve">Integración teórica</x:t>
  </x:si>
  <x:si>
    <x:t xml:space="preserve">No integra</x:t>
  </x:si>
  <x:si>
    <x:t xml:space="preserve">K</x:t>
  </x:si>
  <x:si>
    <x:t xml:space="preserve">▪Funcionalidades PPM; ▪Arquitectura; ▪Gobierno del dato; ▪IA; ▪Seguridad; ▪Capacidad técnica; ▪Roadmap (parcialmente); ▪Trazabilidad</x:t>
  </x:si>
  <x:si>
    <x:t xml:space="preserve">“¿Existe?”
“¿El sistema soporta?”
“¿Tiene capacidad de?”</x:t>
  </x:si>
  <x:si>
    <x:t xml:space="preserve">Disponible nativo, completo, probado y en uso</x:t>
  </x:si>
  <x:si>
    <x:t xml:space="preserve">📌 Regla clave: Si además no está incluido en la propuesta, se marca Costo no incluido = Sí y la calificación no debería subir de 3–4, aunque “técnicamente exista”.</x:t>
  </x:si>
  <x:si>
    <x:t xml:space="preserve">Nativo y completo, con configuración menor</x:t>
  </x:si>
  <x:si>
    <x:t xml:space="preserve">Nativo, cumple el objetivo principal</x:t>
  </x:si>
  <x:si>
    <x:t xml:space="preserve">Nativo, pero con limitaciones</x:t>
  </x:si>
  <x:si>
    <x:t xml:space="preserve">Requiere configuración relevante</x:t>
  </x:si>
  <x:si>
    <x:t xml:space="preserve">Requiere desarrollo menor</x:t>
  </x:si>
  <x:si>
    <x:t xml:space="preserve">Requiere desarrollo moderado</x:t>
  </x:si>
  <x:si>
    <x:t xml:space="preserve">Solo mediante App o módulo adicional</x:t>
  </x:si>
  <x:si>
    <x:t xml:space="preserve">Solo mediante integración compleja</x:t>
  </x:si>
  <x:si>
    <x:t xml:space="preserve">Teóricamente posible, no probado</x:t>
  </x:si>
  <x:si>
    <x:t xml:space="preserve">L</x:t>
  </x:si>
  <x:si>
    <x:t xml:space="preserve">L Curva de aprendizaje [meses]</x:t>
  </x:si>
  <x:si>
    <x:t xml:space="preserve">Curva de aprendizaje</x:t>
  </x:si>
  <x:si>
    <x:t xml:space="preserve">PMO básica implementada - Dominio PMO básica</x:t>
  </x:si>
  <x:si>
    <x:t xml:space="preserve">meses</x:t>
  </x:si>
  <x:si>
    <x:t xml:space="preserve">o más meses</x:t>
  </x:si>
  <x:si>
    <x:t xml:space="preserve">▪Evolución PPM; ▪Ritmo de releases; ▪Riesgo de obsolescencia; ▪IA para soporte</x:t>
  </x:si>
  <x:si>
    <x:t xml:space="preserve">▪Roadmap ▪Vigencia tecnológica ▪Futuro ▪Evolución ▪Madurez ▪Visión ▪Proyección</x:t>
  </x:si>
  <x:si>
    <x:t xml:space="preserve">Roadmap público, visión clara ≥36 meses. Integración nativa con IA/nube y comunidad activa de users</x:t>
  </x:si>
  <x:si>
    <x:r>
      <x:rPr>
        <x:b/>
        <x:sz val="8"/>
        <x:color rgb="FF0A0A0A"/>
        <x:rFont val="Arial"/>
        <x:family val="2"/>
      </x:rPr>
      <x:t xml:space="preserve">Líder de Vanguardia</x:t>
    </x:r>
    <x:r>
      <x:rPr>
        <x:sz val="8"/>
        <x:color rgb="FF0A0A0A"/>
        <x:rFont val="Arial"/>
        <x:family val="2"/>
      </x:rPr>
      <x:t xml:space="preserve">.Actualizaciones mensuales, integración nativa con IA/nube y comunidad activa de usuarios.</x:t>
    </x:r>
  </x:si>
  <x:si>
    <x:t xml:space="preserve">Anexar "Release Log" (historial de cambios) de los últimos 24 meses.</x:t>
  </x:si>
  <x:si>
    <x:t xml:space="preserve">Roadmap claro, visión 30-35 meses</x:t>
  </x:si>
  <x:si>
    <x:t xml:space="preserve">trimestre</x:t>
  </x:si>
  <x:si>
    <x:t xml:space="preserve">Roadmap definido, visión 24-29 meses</x:t>
  </x:si>
  <x:si>
    <x:r>
      <x:rPr>
        <x:b/>
        <x:sz val="8"/>
        <x:color rgb="FF0A0A0A"/>
        <x:rFont val="Arial"/>
        <x:family val="2"/>
      </x:rPr>
      <x:t xml:space="preserve">Evolución Consistente</x:t>
    </x:r>
    <x:r>
      <x:rPr>
        <x:sz val="8"/>
        <x:color rgb="FF0A0A0A"/>
        <x:rFont val="Arial"/>
        <x:family val="2"/>
      </x:rPr>
      <x:t xml:space="preserve">.Historial probado de versiones anuales con mejoras funcionales reales y ajustes a estándares de industria.</x:t>
    </x:r>
  </x:si>
  <x:si>
    <x:t xml:space="preserve">anual</x:t>
  </x:si>
  <x:si>
    <x:t xml:space="preserve">Roadmap claro pero poco público, visión 18-23 meses</x:t>
  </x:si>
  <x:si>
    <x:t xml:space="preserve">Bienal</x:t>
  </x:si>
  <x:si>
    <x:t xml:space="preserve">Roadmap genérico, parcial/ verificable, visión 12-17 meses</x:t>
  </x:si>
  <x:si>
    <x:r>
      <x:rPr>
        <x:b/>
        <x:sz val="8"/>
        <x:color rgb="FF0A0A0A"/>
        <x:rFont val="Arial"/>
        <x:family val="2"/>
      </x:rPr>
      <x:t xml:space="preserve">Actualización Estándar</x:t>
    </x:r>
    <x:r>
      <x:rPr>
        <x:sz val="8"/>
        <x:color rgb="FF0A0A0A"/>
        <x:rFont val="Arial"/>
        <x:family val="2"/>
      </x:rPr>
      <x:t xml:space="preserve">.Mantenimiento regular (parches de seguridad y corrección de errores), pero con innovación lenta o reactiva.</x:t>
    </x:r>
  </x:si>
  <x:si>
    <x:t xml:space="preserve">Trienal</x:t>
  </x:si>
  <x:si>
    <x:t xml:space="preserve">Roadmap declarativo sin fechas</x:t>
  </x:si>
  <x:si>
    <x:t xml:space="preserve">Sin fechas</x:t>
  </x:si>
  <x:si>
    <x:t xml:space="preserve">Evolución reactiva</x:t>
  </x:si>
  <x:si>
    <x:r>
      <x:rPr>
        <x:b/>
        <x:sz val="8"/>
        <x:color rgb="FF0A0A0A"/>
        <x:rFont val="Arial"/>
        <x:family val="2"/>
      </x:rPr>
      <x:t xml:space="preserve">Software Maduro (Legado)</x:t>
    </x:r>
    <x:r>
      <x:rPr>
        <x:sz val="8"/>
        <x:color rgb="FF0A0A0A"/>
        <x:rFont val="Arial"/>
        <x:family val="2"/>
      </x:rPr>
      <x:t xml:space="preserve">.Pocos cambios visuales o funcionales; el proveedor se enfoca en que "siga funcionando" más que en innovar.</x:t>
    </x:r>
  </x:si>
  <x:si>
    <x:t xml:space="preserve">Reactivo</x:t>
  </x:si>
  <x:si>
    <x:t xml:space="preserve">Dependiente de desarrollos a medida</x:t>
  </x:si>
  <x:si>
    <x:t xml:space="preserve">Dependiente</x:t>
  </x:si>
  <x:si>
    <x:t xml:space="preserve">Evolución incierta</x:t>
  </x:si>
  <x:si>
    <x:r>
      <x:rPr>
        <x:b/>
        <x:sz val="8"/>
        <x:color rgb="FF0A0A0A"/>
        <x:rFont val="Arial"/>
        <x:family val="2"/>
      </x:rPr>
      <x:t xml:space="preserve">Riesgo de Obsolescencia</x:t>
    </x:r>
    <x:r>
      <x:rPr>
        <x:sz val="8"/>
        <x:color rgb="FF0A0A0A"/>
        <x:rFont val="Arial"/>
        <x:family val="2"/>
      </x:rPr>
      <x:t xml:space="preserve">.Tecnología antigua (ej. requiere plugins viejos), soporte limitado y sin planes claros de modernización.</x:t>
    </x:r>
  </x:si>
  <x:si>
    <x:t xml:space="preserve">Incierto</x:t>
  </x:si>
  <x:si>
    <x:t xml:space="preserve">Producto estable sin evolución clara</x:t>
  </x:si>
  <x:si>
    <x:t xml:space="preserve">Sin claridad</x:t>
  </x:si>
  <x:si>
    <x:t xml:space="preserve">Sin roadmap</x:t>
  </x:si>
  <x:si>
    <x:r>
      <x:rPr>
        <x:b/>
        <x:sz val="8"/>
        <x:color rgb="FF0A0A0A"/>
        <x:rFont val="Arial"/>
        <x:family val="2"/>
      </x:rPr>
      <x:t xml:space="preserve">Producto Estático / Descontinuado</x:t>
    </x:r>
    <x:r>
      <x:rPr>
        <x:sz val="8"/>
        <x:color rgb="FF0A0A0A"/>
        <x:rFont val="Arial"/>
        <x:family val="2"/>
      </x:rPr>
      <x:t xml:space="preserve">.No hay nuevas versiones previstas; el software está en fase de "fin de vida" (End of Life).</x:t>
    </x:r>
  </x:si>
  <x:si>
    <x:t xml:space="preserve">N No/Sí</x:t>
  </x:si>
  <x:si>
    <x:t xml:space="preserve">O</x:t>
  </x:si>
  <x:si>
    <x:t xml:space="preserve">Evolución Estratégica</x:t>
  </x:si>
  <x:si>
    <x:r>
      <x:t xml:space="preserve">Releases programados con balance claro: </x:t>
    </x:r>
    <x:r>
      <x:rPr>
        <x:sz val="8"/>
        <x:color rgb="FF0A0A0A"/>
        <x:rFont val="Arial"/>
        <x:family val="2"/>
      </x:rPr>
      <x:t xml:space="preserve">70% nuevas funcionalidades/mejoras</x:t>
    </x:r>
    <x:r>
      <x:rPr>
        <x:sz val="8"/>
        <x:color rgb="FF0A0A0A"/>
        <x:rFont val="Arial"/>
        <x:family val="2"/>
      </x:rPr>
      <x:t xml:space="preserve"> y 30% mantenimiento. Proceso de actualización invisible o sin fricción.</x:t>
    </x:r>
  </x:si>
  <x:si>
    <x:t xml:space="preserve">Anexar "Changelog" (Bitácora de cambios) de los últimos 24 meses.</x:t>
  </x:si>
  <x:si>
    <x:t xml:space="preserve">Mejora Continua</x:t>
  </x:si>
  <x:si>
    <x:t xml:space="preserve">Frecuencia estable (ej. trimestral). Las notas de versión muestran mejoras pedidas por los usuarios y adaptaciones tecnológicas proactivas.</x:t>
  </x:si>
  <x:si>
    <x:t xml:space="preserve">Mantenimiento Funcional</x:t>
  </x:si>
  <x:si>
    <x:t xml:space="preserve">Mayoría de releases son para compatibilidad (ej. nuevas versiones de Windows/iOS) o ajustes menores. La innovación es lenta pero el software es muy estable.</x:t>
  </x:si>
  <x:si>
    <x:t xml:space="preserve">Reactividad por Errores</x:t>
  </x:si>
  <x:si>
    <x:r>
      <x:t xml:space="preserve">Frecuencia alta de "Hotfixes" o parches de emergencia. Indica que el software tiene </x:t>
    </x:r>
    <x:r>
      <x:rPr>
        <x:sz val="8"/>
        <x:color rgb="FF0A0A0A"/>
        <x:rFont val="Arial"/>
        <x:family val="2"/>
      </x:rPr>
      <x:t xml:space="preserve">deuda técnica</x:t>
    </x:r>
    <x:r>
      <x:rPr>
        <x:sz val="8"/>
        <x:color rgb="FF0A0A0A"/>
        <x:rFont val="Arial"/>
        <x:family val="2"/>
      </x:rPr>
      <x:t xml:space="preserve"> y los lanzamientos son para arreglar fallos previos.</x:t>
    </x:r>
  </x:si>
  <x:si>
    <x:t xml:space="preserve">Soporte de Supervivencia</x:t>
  </x:si>
  <x:si>
    <x:t xml:space="preserve">Solo se emiten actualizaciones críticas de seguridad. No hay nuevas funciones desde hace más de un año.</x:t>
  </x:si>
  <x:si>
    <x:t xml:space="preserve">Inexistente / Riesgoso</x:t>
  </x:si>
  <x:si>
    <x:t xml:space="preserve">Sin releases documentados en el último ciclo anual. El software se percibe estancado o abandonado por el desarrollador.</x:t>
  </x:si>
  <x:si>
    <x:t xml:space="preserve">P</x:t>
  </x:si>
  <x:si>
    <x:t xml:space="preserve">P Pendiente determinar</x:t>
  </x:si>
  <x:si>
    <x:t xml:space="preserve">Q</x:t>
  </x:si>
  <x:si>
    <x:t xml:space="preserve">Normatividad, Lineamientos</x:t>
  </x:si>
  <x:si>
    <x:t xml:space="preserve">Calidad, auditorías, certificaciones</x:t>
  </x:si>
  <x:si>
    <x:t xml:space="preserve">Certificación 100% vigente (emitida o renovada en el último año)</x:t>
  </x:si>
  <x:si>
    <x:t xml:space="preserve">Certificación parcial vigente (último año)</x:t>
  </x:si>
  <x:si>
    <x:t xml:space="preserve">Certificación 100% vigente (año anterior)</x:t>
  </x:si>
  <x:si>
    <x:t xml:space="preserve">Certificación parcial vigente (año anterior)</x:t>
  </x:si>
  <x:si>
    <x:t xml:space="preserve">Certificación 100% con antigüedad ≥ 2 años</x:t>
  </x:si>
  <x:si>
    <x:t xml:space="preserve">Certificación parcial con antigüedad ≥ 2 años</x:t>
  </x:si>
  <x:si>
    <x:r>
      <x:t xml:space="preserve">Sin certificación, </x:t>
    </x:r>
    <x:r>
      <x:rPr>
        <x:b/>
        <x:sz val="8"/>
        <x:color theme="1"/>
        <x:rFont val="Segoe UI"/>
        <x:family val="2"/>
      </x:rPr>
      <x:t xml:space="preserve">alineación demostrable con evidencia funcional clara</x:t>
    </x:r>
  </x:si>
  <x:si>
    <x:t xml:space="preserve">Declara cumplir la norma, evidencia limitada o indirecta</x:t>
  </x:si>
  <x:si>
    <x:t xml:space="preserve">Cumple solo principios generales</x:t>
  </x:si>
  <x:si>
    <x:t xml:space="preserve">Cumplimiento marginal o no verificable</x:t>
  </x:si>
  <x:si>
    <x:t xml:space="preserve">No aplica / no considerado</x:t>
  </x:si>
  <x:si>
    <x:t xml:space="preserve">R</x:t>
  </x:si>
  <x:si>
    <x:t xml:space="preserve">Horas de consultoría, capacidad</x:t>
  </x:si>
  <x:si>
    <x:t xml:space="preserve">Uso altamente autónomo. Soporte casi innecesario.</x:t>
  </x:si>
  <x:si>
    <x:t xml:space="preserve">9–10</x:t>
  </x:si>
  <x:si>
    <x:t xml:space="preserve">Uso totalmente autónomo. Interfaz clara, procesos guiados, soporte casi inexistente en operación diaria.</x:t>
  </x:si>
  <x:si>
    <x:t xml:space="preserve">Interfaz clara, procesos guiados. Uso casi autónomo</x:t>
  </x:si>
  <x:si>
    <x:t xml:space="preserve">Uso mayoritariamente autónomo. El soporte es puntual y excepcional.</x:t>
  </x:si>
  <x:si>
    <x:t xml:space="preserve">7–8</x:t>
  </x:si>
  <x:si>
    <x:t xml:space="preserve">Uso moderadamente autónomo</x:t>
  </x:si>
  <x:si>
    <x:t xml:space="preserve">Soporte ocasional. Los usuarios operan lo básico, pero procesos clave requieren ayuda.</x:t>
  </x:si>
  <x:si>
    <x:t xml:space="preserve">5–6</x:t>
  </x:si>
  <x:si>
    <x:t xml:space="preserve">Requiere soporte regular para procesos comunes. La herramienta es potente pero compleja.</x:t>
  </x:si>
  <x:si>
    <x:t xml:space="preserve">3–4</x:t>
  </x:si>
  <x:si>
    <x:t xml:space="preserve">Uso altamente dependiente del soporte. Los usuarios requieren ayuda frecuente incluso para tareas básicas.</x:t>
  </x:si>
  <x:si>
    <x:t xml:space="preserve">0–2</x:t>
  </x:si>
  <x:si>
    <x:t xml:space="preserve">S</x:t>
  </x:si>
  <x:si>
    <x:t xml:space="preserve">V</x:t>
  </x:si>
  <x:si>
    <x:t xml:space="preserve">▪Propuesta comercial
▪Sostenibilidad / TCO
▪Modelo de licenciamiento
▪Costos ocultos</x:t>
  </x:si>
  <x:si>
    <x:t xml:space="preserve">▪Precio
▪Modelo comercial
▪TCO
▪Costos ocultos
▪Licencias</x:t>
  </x:si>
  <x:si>
    <x:t xml:space="preserve">Modelo claro, predecible, escalable</x:t>
  </x:si>
  <x:si>
    <x:t xml:space="preserve">Costos claros y transparentes</x:t>
  </x:si>
  <x:si>
    <x:t xml:space="preserve">Modelo razonable</x:t>
  </x:si>
  <x:si>
    <x:t xml:space="preserve">Algunos costos adicionales</x:t>
  </x:si>
  <x:si>
    <x:t xml:space="preserve">Modelo complejo</x:t>
  </x:si>
  <x:si>
    <x:t xml:space="preserve">Costos poco claros</x:t>
  </x:si>
  <x:si>
    <x:t xml:space="preserve">Riesgo de sobrecostos</x:t>
  </x:si>
  <x:si>
    <x:t xml:space="preserve">Costos ocultos relevantes</x:t>
  </x:si>
  <x:si>
    <x:t xml:space="preserve">Modelo inestable</x:t>
  </x:si>
  <x:si>
    <x:t xml:space="preserve">Modelo riesgoso</x:t>
  </x:si>
  <x:si>
    <x:t xml:space="preserve">No comparable</x:t>
  </x:si>
  <x:si>
    <x:t xml:space="preserve">VA</x:t>
  </x:si>
  <x:si>
    <x:t xml:space="preserve">Suscripción mensual flexible</x:t>
  </x:si>
  <x:si>
    <x:t xml:space="preserve">Suscripción trimestral</x:t>
  </x:si>
  <x:si>
    <x:t xml:space="preserve">Suscripción anual</x:t>
  </x:si>
  <x:si>
    <x:t xml:space="preserve">Anual anticipado obligatorio</x:t>
  </x:si>
  <x:si>
    <x:t xml:space="preserve">Pago único (perpetuo)</x:t>
  </x:si>
  <x:si>
    <x:t xml:space="preserve">Pago único + renovaciones obligatorias</x:t>
  </x:si>
  <x:si>
    <x:t xml:space="preserve">Esquema poco claro / condicionado</x:t>
  </x:si>
  <x:si>
    <x:t xml:space="preserve">VB</x:t>
  </x:si>
  <x:si>
    <x:t xml:space="preserve">Alta/baja de usuarios inmediata sin penalidad</x:t>
  </x:si>
  <x:si>
    <x:t xml:space="preserve">Ajustes mensuales o trimestrales</x:t>
  </x:si>
  <x:si>
    <x:t xml:space="preserve">Ajustes anuales</x:t>
  </x:si>
  <x:si>
    <x:t xml:space="preserve">Escalabilidad limitada por contrato</x:t>
  </x:si>
  <x:si>
    <x:t xml:space="preserve">Escalable solo vía renegociación</x:t>
  </x:si>
  <x:si>
    <x:t xml:space="preserve">Licenciamiento rígido</x:t>
  </x:si>
  <x:si>
    <x:t xml:space="preserve">VC</x:t>
  </x:si>
  <x:si>
    <x:t xml:space="preserve">Precio fijo contractual ≥ 3 años</x:t>
  </x:si>
  <x:si>
    <x:t xml:space="preserve">Incrementos máximos definidos</x:t>
  </x:si>
  <x:si>
    <x:t xml:space="preserve">Ajustes por IPC u otro indicador local, internacional. Estándar, público y oficial</x:t>
  </x:si>
  <x:si>
    <x:t xml:space="preserve">Ajuste anual discrecional</x:t>
  </x:si>
  <x:si>
    <x:t xml:space="preserve">Costos variables no controlables</x:t>
  </x:si>
  <x:si>
    <x:t xml:space="preserve">Ajuste de precios no definidos</x:t>
  </x:si>
  <x:si>
    <x:t xml:space="preserve">VD</x:t>
  </x:si>
  <x:si>
    <x:t xml:space="preserve">Descuentos por volumen/renovación + moneda local</x:t>
  </x:si>
  <x:si>
    <x:t xml:space="preserve">Condiciones financieras asociadas</x:t>
  </x:si>
  <x:si>
    <x:t xml:space="preserve">Descuentos por volumen</x:t>
  </x:si>
  <x:si>
    <x:t xml:space="preserve">Facilidades de pago</x:t>
  </x:si>
  <x:si>
    <x:t xml:space="preserve">Pago en USD sin cobertura</x:t>
  </x:si>
  <x:si>
    <x:t xml:space="preserve">Penalidades contractuales restrictivas</x:t>
  </x:si>
  <x:si>
    <x:t xml:space="preserve">Condiciones desfavorables o poco claras</x:t>
  </x:si>
  <x:si>
    <x:t xml:space="preserve">Visión</x:t>
  </x:si>
  <x:si>
    <x:t xml:space="preserve">T</x:t>
  </x:si>
  <x:si>
    <x:t xml:space="preserve">T Tiempo de implementación</x:t>
  </x:si>
  <x:si>
    <x:t xml:space="preserve">Fecha Pedido - PMO básica implementada [meses]</x:t>
  </x:si>
  <x:si>
    <x:t xml:space="preserve">U</x:t>
  </x:si>
  <x:si>
    <x:t xml:space="preserve">▪Usabilidad real; ▪Facilidad de uso; ▪Operación en reuniones; ▪Autonomía del usuario</x:t>
  </x:si>
  <x:si>
    <x:t xml:space="preserve">▪Uso diario; ▪Experiencia del usuario; ▪Fricción operativa</x:t>
  </x:si>
  <x:si>
    <x:t xml:space="preserve">Uso intuitivo, baja fricción diaria</x:t>
  </x:si>
  <x:si>
    <x:t xml:space="preserve">📌 Aquí no se mide tiempo de aprendizaje, sino experiencia sostenida.</x:t>
  </x:si>
  <x:si>
    <x:t xml:space="preserve">Muy intuitivo, mínima capacitación</x:t>
  </x:si>
  <x:si>
    <x:t xml:space="preserve">Uso fluido tras capacitación inicial</x:t>
  </x:si>
  <x:si>
    <x:t xml:space="preserve">Uso correcto, requiere disciplina</x:t>
  </x:si>
  <x:si>
    <x:t xml:space="preserve">Operable, pero poco ágil</x:t>
  </x:si>
  <x:si>
    <x:t xml:space="preserve">Pesado para uso diario</x:t>
  </x:si>
  <x:si>
    <x:t xml:space="preserve">Requiere apoyo frecuente</x:t>
  </x:si>
  <x:si>
    <x:t xml:space="preserve">Dependiente de usuarios expertos</x:t>
  </x:si>
  <x:si>
    <x:t xml:space="preserve">Uso complejo, errores frecuentes</x:t>
  </x:si>
  <x:si>
    <x:t xml:space="preserve">Solo usable por especialistas</x:t>
  </x:si>
  <x:si>
    <x:t xml:space="preserve">No usable</x:t>
  </x:si>
  <x:si>
    <x:t xml:space="preserve">Y</x:t>
  </x:si>
  <x:si>
    <x:t xml:space="preserve">Z</x:t>
  </x:si>
  <x:si>
    <x:t xml:space="preserve">Valor máximo</x:t>
  </x:si>
  <x:si>
    <x:t xml:space="preserve">Límite mínimo</x:t>
  </x:si>
  <x:si>
    <x:t xml:space="preserve">ANTES</x:t>
  </x:si>
  <x:si>
    <x:t xml:space="preserve">AHORA</x:t>
  </x:si>
  <x:si>
    <x:t xml:space="preserve">B</x:t>
  </x:si>
  <x:si>
    <x:t xml:space="preserve">M Madurez / Roadmap / Evolución</x:t>
  </x:si>
  <x:si>
    <x:t xml:space="preserve">D</x:t>
  </x:si>
  <x:si>
    <x:t xml:space="preserve">C Implementación y Soporte</x:t>
  </x:si>
  <x:si>
    <x:t xml:space="preserve">$ Modelo Comercial / TCO</x:t>
  </x:si>
  <x:si>
    <x:t xml:space="preserve">$</x:t>
  </x:si>
  <x:si>
    <x:t xml:space="preserve">G</x:t>
  </x:si>
  <x:si>
    <x:t xml:space="preserve">H</x:t>
  </x:si>
  <x:si>
    <x:t xml:space="preserve">Eliminar</x:t>
  </x:si>
  <x:si>
    <x:t xml:space="preserve">J</x:t>
  </x:si>
  <x:si>
    <x:t xml:space="preserve">  P Pendiente determinar</x:t>
  </x:si>
  <x:si>
    <x:t xml:space="preserve">  Estabilidad y robustez del sistema</x:t>
  </x:si>
  <x:si>
    <x:t xml:space="preserve">Fórmula regresión lineal: Mientras menor, mejor</x:t>
  </x:si>
  <x:si>
    <x:t xml:space="preserve">Fórmula regresión lineal: Mientras mayor, mejor</x:t>
  </x:si>
  <x:si>
    <x:t xml:space="preserve">B… U</x:t>
  </x:si>
  <x:si>
    <x:t xml:space="preserve">Escalas 10 - 0</x:t>
  </x:si>
  <x:si>
    <x:t xml:space="preserve">No Asignada</x:t>
  </x:si>
  <x:si>
    <x:t xml:space="preserve">Respuesta abierta. SW decide calificación.</x:t>
  </x:si>
  <x:si>
    <x:t xml:space="preserve">X</x:t>
  </x:si>
  <x:si>
    <x:t xml:space="preserve">KF</x:t>
  </x:si>
  <x:si>
    <x:t xml:space="preserve">Oferente A</x:t>
  </x:si>
  <x:si>
    <x:t xml:space="preserve">Oferente B</x:t>
  </x:si>
  <x:si>
    <x:t xml:space="preserve">Oferente C</x:t>
  </x:si>
  <x:si>
    <x:t xml:space="preserve">Oferente D</x:t>
  </x:si>
  <x:si>
    <x:t xml:space="preserve">Objetivo</x:t>
  </x:si>
  <x:si>
    <x:t xml:space="preserve">mín/MÁX</x:t>
  </x:si>
  <x:si>
    <x:t xml:space="preserve">Desde</x:t>
  </x:si>
  <x:si>
    <x:t xml:space="preserve">X1</x:t>
  </x:si>
  <x:si>
    <x:t xml:space="preserve">X2</x:t>
  </x:si>
  <x:si>
    <x:t xml:space="preserve">Y1</x:t>
  </x:si>
  <x:si>
    <x:t xml:space="preserve">Y2</x:t>
  </x:si>
  <x:si>
    <x:t xml:space="preserve">Ya</x:t>
  </x:si>
  <x:si>
    <x:t xml:space="preserve">Yb</x:t>
  </x:si>
  <x:si>
    <x:t xml:space="preserve">Yc</x:t>
  </x:si>
  <x:si>
    <x:t xml:space="preserve">Yd</x:t>
  </x:si>
  <x:si>
    <x:t xml:space="preserve">Oferente 1</x:t>
  </x:si>
  <x:si>
    <x:t xml:space="preserve">Lím. MÁX</x:t>
  </x:si>
  <x:si>
    <x:t xml:space="preserve">menor</x:t>
  </x:si>
  <x:si>
    <x:t xml:space="preserve">($AC3-$AB3)/($AA3-$Z3)*(S3-$AA3)+$AC3</x:t>
  </x:si>
  <x:si>
    <x:t xml:space="preserve">Oferente 2</x:t>
  </x:si>
  <x:si>
    <x:t xml:space="preserve">Horas de soporte</x:t>
  </x:si>
  <x:si>
    <x:t xml:space="preserve">Lím. Mín</x:t>
  </x:si>
  <x:si>
    <x:t xml:space="preserve">Mayor</x:t>
  </x:si>
  <x:si>
    <x:t xml:space="preserve">(Y2-Y1)/(X2-X1)*(X-X2)+Y2</x:t>
  </x:si>
  <x:si>
    <x:t xml:space="preserve">Oferente 3</x:t>
  </x:si>
  <x:si>
    <x:t xml:space="preserve">≤;≥</x:t>
  </x:si>
  <x:si>
    <x:t xml:space="preserve">=SI(X3="≤";MIN(Y3;MAX($S3:$V3));MAX($S3:$V3))</x:t>
  </x:si>
  <x:si>
    <x:t xml:space="preserve">=SI(X3="≥";MAX(Y3;MIN($S3:$V3));MIN($S3:$V3))</x:t>
  </x:si>
  <x:si>
    <x:t xml:space="preserve">=SI($X3="≤";AB$1;AC$1)</x:t>
  </x:si>
  <x:si>
    <x:t xml:space="preserve">=SI($X3="≤";AC$1;AB$1)</x:t>
  </x:si>
  <x:si>
    <x:t xml:space="preserve">Oferente 4</x:t>
  </x:si>
  <x:si>
    <x:t xml:space="preserve">=SI(Sign="≤";MIN(Desde;MAX(Z));MAX(X))</x:t>
  </x:si>
  <x:si>
    <x:t xml:space="preserve">=SI(Sign="≥";MAX(Desde;MIN(X));MIN(X))</x:t>
  </x:si>
  <x:si>
    <x:t xml:space="preserve">=SI(Sign="≤";Ymín;Ymáx)</x:t>
  </x:si>
  <x:si>
    <x:t xml:space="preserve">=SI(Sign="≤";Ymáx;Ymín)</x:t>
  </x:si>
  <x:si>
    <x:t xml:space="preserve">donde:</x:t>
  </x:si>
  <x:si>
    <x:t xml:space="preserve">X= Tiempo de implementación</x:t>
  </x:si>
  <x:si>
    <x:t xml:space="preserve">Y= Calificación</x:t>
  </x:si>
  <x:si>
    <x:t xml:space="preserve">X1= Menor X</x:t>
  </x:si>
  <x:si>
    <x:t xml:space="preserve">X2= Mayor X</x:t>
  </x:si>
  <x:si>
    <x:t xml:space="preserve">Ymín</x:t>
  </x:si>
  <x:si>
    <x:t xml:space="preserve">Y1= Calificación de X1</x:t>
  </x:si>
  <x:si>
    <x:t xml:space="preserve">Y2= Calificación de X2</x:t>
  </x:si>
  <x:si>
    <x:t xml:space="preserve">YMÁX</x:t>
  </x:si>
  <x:si>
    <x:r>
      <x:t xml:space="preserve">Límite (t &gt; L </x:t>
    </x:r>
    <x:r>
      <x:rPr>
        <x:sz val="8"/>
        <x:color theme="0" tint="-0.04999"/>
        <x:rFont val="Tahoma"/>
        <x:family val="2"/>
      </x:rPr>
      <x:t xml:space="preserve">→</x:t>
    </x:r>
    <x:r>
      <x:rPr>
        <x:sz val="8"/>
        <x:color theme="0" tint="-0.04999"/>
        <x:rFont val="Calibri"/>
        <x:family val="2"/>
      </x:rPr>
      <x:t xml:space="preserve"> </x:t>
    </x:r>
    <x:r>
      <x:rPr>
        <x:sz val="8"/>
        <x:color theme="0" tint="-0.04999"/>
        <x:rFont val="Calibri"/>
        <x:family val="2"/>
        <x:scheme val="minor"/>
      </x:rPr>
      <x:t xml:space="preserve">"No Go")</x:t>
    </x:r>
  </x:si>
  <x:si>
    <x:t xml:space="preserve">TK</x:t>
  </x:si>
  <x:si>
    <x:t xml:space="preserve">X1, Y1</x:t>
  </x:si>
  <x:si>
    <x:t xml:space="preserve">X2, Y2</x:t>
  </x:si>
  <x:si>
    <x:t xml:space="preserve">y= mx + b</x:t>
  </x:si>
  <x:si>
    <x:t xml:space="preserve">m = (Y2-Y1) / (X2-X1)</x:t>
  </x:si>
  <x:si>
    <x:t xml:space="preserve">Y2-Y1</x:t>
  </x:si>
  <x:si>
    <x:t xml:space="preserve">X2-X1</x:t>
  </x:si>
  <x:si>
    <x:t xml:space="preserve">m</x:t>
  </x:si>
  <x:si>
    <x:t xml:space="preserve">b= y - mx</x:t>
  </x:si>
  <x:si>
    <x:t xml:space="preserve">b1</x:t>
  </x:si>
  <x:si>
    <x:t xml:space="preserve">b2</x:t>
  </x:si>
  <x:si>
    <x:r>
      <x:t xml:space="preserve">Límite (t &gt; L </x:t>
    </x:r>
    <x:r>
      <x:rPr>
        <x:sz val="8"/>
        <x:color theme="0" tint="-0.04999"/>
        <x:rFont val="Wingdings"/>
      </x:rPr>
      <x:t xml:space="preserve">è</x:t>
    </x:r>
    <x:r>
      <x:rPr>
        <x:sz val="8"/>
        <x:color theme="0" tint="-0.04999"/>
        <x:rFont val="Calibri"/>
        <x:family val="2"/>
      </x:rPr>
      <x:t xml:space="preserve"> </x:t>
    </x:r>
    <x:r>
      <x:rPr>
        <x:sz val="8"/>
        <x:color theme="0" tint="-0.04999"/>
        <x:rFont val="Calibri"/>
        <x:family val="2"/>
        <x:scheme val="minor"/>
      </x:rPr>
      <x:t xml:space="preserve">"No Go")</x:t>
    </x:r>
  </x:si>
  <x:si>
    <x:t xml:space="preserve">y = x *(YMÁX-Ymín) / (XMÁX-Xmín) - b</x:t>
  </x:si>
  <x:si>
    <x:t xml:space="preserve">y = x *(YMÁX-Ymín) / (XMÁX-Xmín) - (y - </x:t>
  </x:si>
  <x:si>
    <x:t xml:space="preserve">Nota_min + (Nota_max − Nota_min) *
       (Valor_peor − Valor_oferente) /
       (Valor_peor − Valor_mejor)</x:t>
  </x:si>
  <x:si>
    <x:t xml:space="preserve">Ymín + (YMÁX - Ymín) * (XMÁX - x ) / (XMÁX - X mín)</x:t>
  </x:si>
  <x:si>
    <x:t xml:space="preserve">(Y2-Y1)/(X2-X1)*(X-X1) + Y1</x:t>
  </x:si>
  <x:si>
    <x:t xml:space="preserve">Mes estimado:</x:t>
  </x:si>
  <x:si>
    <x:t xml:space="preserve">Inicio Rango</x:t>
  </x:si>
  <x:si>
    <x:t xml:space="preserve">Final Rango</x:t>
  </x:si>
  <x:si>
    <x:t xml:space="preserve">Valor básico</x:t>
  </x:si>
  <x:si>
    <x:t xml:space="preserve">mes
01</x:t>
  </x:si>
  <x:si>
    <x:t xml:space="preserve">mes
02</x:t>
  </x:si>
  <x:si>
    <x:t xml:space="preserve">mes
03</x:t>
  </x:si>
  <x:si>
    <x:t xml:space="preserve">mes
04</x:t>
  </x:si>
  <x:si>
    <x:t xml:space="preserve">mes
05</x:t>
  </x:si>
  <x:si>
    <x:t xml:space="preserve">mes
06</x:t>
  </x:si>
  <x:si>
    <x:t xml:space="preserve">mes
07</x:t>
  </x:si>
  <x:si>
    <x:t xml:space="preserve">mes
08</x:t>
  </x:si>
  <x:si>
    <x:t xml:space="preserve">mes
09</x:t>
  </x:si>
  <x:si>
    <x:t xml:space="preserve">mes
10</x:t>
  </x:si>
  <x:si>
    <x:t xml:space="preserve">mes
11</x:t>
  </x:si>
  <x:si>
    <x:t xml:space="preserve">mes
12</x:t>
  </x:si>
  <x:si>
    <x:t xml:space="preserve">mes
13</x:t>
  </x:si>
  <x:si>
    <x:t xml:space="preserve">mes
14</x:t>
  </x:si>
  <x:si>
    <x:t xml:space="preserve">mes
15</x:t>
  </x:si>
  <x:si>
    <x:t xml:space="preserve">mes
16</x:t>
  </x:si>
  <x:si>
    <x:t xml:space="preserve">mes
17</x:t>
  </x:si>
  <x:si>
    <x:t xml:space="preserve">mes
18</x:t>
  </x:si>
  <x:si>
    <x:t xml:space="preserve">mes
19</x:t>
  </x:si>
  <x:si>
    <x:t xml:space="preserve">mes
20</x:t>
  </x:si>
  <x:si>
    <x:t xml:space="preserve">mes
21</x:t>
  </x:si>
  <x:si>
    <x:t xml:space="preserve">mes
22</x:t>
  </x:si>
  <x:si>
    <x:t xml:space="preserve">mes
23</x:t>
  </x:si>
  <x:si>
    <x:t xml:space="preserve">mes
24</x:t>
  </x:si>
  <x:si>
    <x:t xml:space="preserve">mes
25</x:t>
  </x:si>
  <x:si>
    <x:t xml:space="preserve">mes
26</x:t>
  </x:si>
  <x:si>
    <x:t xml:space="preserve">mes
27</x:t>
  </x:si>
  <x:si>
    <x:t xml:space="preserve">mes
28</x:t>
  </x:si>
  <x:si>
    <x:t xml:space="preserve">mes
29</x:t>
  </x:si>
  <x:si>
    <x:t xml:space="preserve">mes
30</x:t>
  </x:si>
  <x:si>
    <x:t xml:space="preserve">mes
31</x:t>
  </x:si>
  <x:si>
    <x:t xml:space="preserve">mes
32</x:t>
  </x:si>
  <x:si>
    <x:t xml:space="preserve">mes
33</x:t>
  </x:si>
  <x:si>
    <x:t xml:space="preserve">mes
34</x:t>
  </x:si>
  <x:si>
    <x:t xml:space="preserve">mes
35</x:t>
  </x:si>
  <x:si>
    <x:t xml:space="preserve">mes
36</x:t>
  </x:si>
  <x:si>
    <x:t xml:space="preserve">Datos Iniciales</x:t>
  </x:si>
  <x:si>
    <x:t xml:space="preserve">Firma oferente: </x:t>
  </x:si>
  <x:si>
    <x:t xml:space="preserve">0. Presupuesto</x:t>
  </x:si>
  <x:si>
    <x:t xml:space="preserve">Licenciamiento</x:t>
  </x:si>
  <x:si>
    <x:t xml:space="preserve">Licenciamiento anual SaaS, prorrateado mensual</x:t>
  </x:si>
  <x:si>
    <x:t xml:space="preserve">Precio unitario licencias para administradores</x:t>
  </x:si>
  <x:si>
    <x:r>
      <x:t xml:space="preserve">Cantidad de licencias </x:t>
    </x:r>
    <x:r>
      <x:rPr>
        <x:sz val="8"/>
        <x:color theme="1"/>
        <x:rFont val="Wingdings"/>
      </x:rPr>
      <x:t xml:space="preserve">à</x:t>
    </x:r>
  </x:si>
  <x:si>
    <x:t xml:space="preserve">Precio unitario licencias para gerentes de proyecto y líderes de disciplina</x:t>
  </x:si>
  <x:si>
    <x:t xml:space="preserve">Precio unitario licencia para auxiliares de ingeniería</x:t>
  </x:si>
  <x:si>
    <x:t xml:space="preserve">Precio unitario licencia para directivos</x:t>
  </x:si>
  <x:si>
    <x:r>
      <x:t xml:space="preserve">Fracción de mes </x:t>
    </x:r>
    <x:r>
      <x:rPr>
        <x:sz val="8"/>
        <x:color theme="1"/>
        <x:rFont val="Wingdings"/>
      </x:rPr>
      <x:t xml:space="preserve">à</x:t>
    </x:r>
  </x:si>
  <x:si>
    <x:t xml:space="preserve">Mes de implementación</x:t>
  </x:si>
  <x:si>
    <x:r>
      <x:t xml:space="preserve">Desarrollo + </x:t>
    </x:r>
    <x:r>
      <x:rPr>
        <x:b/>
        <x:sz val="10"/>
        <x:color rgb="FF00A944"/>
        <x:rFont val="Calibri"/>
        <x:family val="2"/>
        <x:scheme val="minor"/>
      </x:rPr>
      <x:t xml:space="preserve">inicio de operación</x:t>
    </x:r>
    <x:r>
      <x:rPr>
        <x:sz val="10"/>
        <x:color theme="1"/>
        <x:rFont val="Calibri"/>
        <x:family val="2"/>
        <x:scheme val="minor"/>
      </x:rPr>
      <x:t xml:space="preserve"> PMO Nivel:</x:t>
    </x:r>
  </x:si>
  <x:si>
    <x:t xml:space="preserve">MSP</x:t>
  </x:si>
  <x:si>
    <x:t xml:space="preserve">Desarrollo y entrega PMO Básica</x:t>
  </x:si>
  <x:si>
    <x:t xml:space="preserve">Desarrollo y entrega PMO Estandarizada</x:t>
  </x:si>
  <x:si>
    <x:t xml:space="preserve">Desarrollo y entrega PMO Dinámica</x:t>
  </x:si>
  <x:si>
    <x:t xml:space="preserve">Desarrollo y entrega PMO Estratégica</x:t>
  </x:si>
  <x:si>
    <x:t xml:space="preserve">Inicio de operación</x:t>
  </x:si>
  <x:si>
    <x:t xml:space="preserve">Avance mensual</x:t>
  </x:si>
  <x:si>
    <x:t xml:space="preserve">Avance mensual acumulado</x:t>
  </x:si>
  <x:si>
    <x:t xml:space="preserve">Flujo de pago implementación</x:t>
  </x:si>
  <x:si>
    <x:t xml:space="preserve">Costo Consultoría Implementación (incluye Capacitación)</x:t>
  </x:si>
  <x:si>
    <x:t xml:space="preserve">Horas estimadas de Gestión Proyecto y Documentación</x:t>
  </x:si>
  <x:si>
    <x:t xml:space="preserve">h</x:t>
  </x:si>
  <x:si>
    <x:t xml:space="preserve">Horas estimadas de Visión - Diagnóstico</x:t>
  </x:si>
  <x:si>
    <x:t xml:space="preserve">Horas estimadas de Configuración</x:t>
  </x:si>
  <x:si>
    <x:t xml:space="preserve">Horas estimadas de Acompañamiento</x:t>
  </x:si>
  <x:si>
    <x:t xml:space="preserve">Horas estimadas de Capacitación</x:t>
  </x:si>
  <x:si>
    <x:t xml:space="preserve">Total horas estimadas de implementación</x:t>
  </x:si>
  <x:si>
    <x:t xml:space="preserve">Horas mensuales requeridas usuarios PMO + TI</x:t>
  </x:si>
  <x:si>
    <x:t xml:space="preserve">% anticipo implementación</x:t>
  </x:si>
  <x:si>
    <x:t xml:space="preserve">Sobre el valor de licencias ACTIVAS durante el período de soporte</x:t>
  </x:si>
  <x:si>
    <x:t xml:space="preserve">Costo bolsa 💰anual de horas</x:t>
  </x:si>
  <x:si>
    <x:t xml:space="preserve">Cantidad de horas incluidas en bolsa anual</x:t>
  </x:si>
  <x:si>
    <x:t xml:space="preserve">Licencias operando administradores</x:t>
  </x:si>
  <x:si>
    <x:t xml:space="preserve">Licencias operando gerentes de proyecto y líderes de disciplina</x:t>
  </x:si>
  <x:si>
    <x:t xml:space="preserve">Licencias operando auxiliares de ingeniería</x:t>
  </x:si>
  <x:si>
    <x:t xml:space="preserve">Licencias operando para directivos</x:t>
  </x:si>
  <x:si>
    <x:t xml:space="preserve">Licencia Project Plan 3</x:t>
  </x:si>
  <x:si>
    <x:t xml:space="preserve">Licencia Project Plan 5</x:t>
  </x:si>
  <x:si>
    <x:t xml:space="preserve">Licencia Project Desktop Standar</x:t>
  </x:si>
  <x:si>
    <x:t xml:space="preserve">Licencia Project Desktop Professional</x:t>
  </x:si>
  <x:si>
    <x:t xml:space="preserve">Flujo mensual de Inversión y Costos</x:t>
  </x:si>
  <x:si>
    <x:t xml:space="preserve">MON Report</x:t>
  </x:si>
  <x:si>
    <x:t xml:space="preserve">mes 01</x:t>
  </x:si>
  <x:si>
    <x:t xml:space="preserve">mes 02</x:t>
  </x:si>
  <x:si>
    <x:t xml:space="preserve">mes 03</x:t>
  </x:si>
  <x:si>
    <x:t xml:space="preserve">mes 04</x:t>
  </x:si>
  <x:si>
    <x:t xml:space="preserve">mes 05</x:t>
  </x:si>
  <x:si>
    <x:t xml:space="preserve">mes 06</x:t>
  </x:si>
  <x:si>
    <x:t xml:space="preserve">mes 07</x:t>
  </x:si>
  <x:si>
    <x:t xml:space="preserve">mes 08</x:t>
  </x:si>
  <x:si>
    <x:t xml:space="preserve">mes 09</x:t>
  </x:si>
  <x:si>
    <x:t xml:space="preserve">mes 10</x:t>
  </x:si>
  <x:si>
    <x:t xml:space="preserve">mes 11</x:t>
  </x:si>
  <x:si>
    <x:t xml:space="preserve">mes 12</x:t>
  </x:si>
  <x:si>
    <x:t xml:space="preserve">mes 13</x:t>
  </x:si>
  <x:si>
    <x:t xml:space="preserve">mes 14</x:t>
  </x:si>
  <x:si>
    <x:t xml:space="preserve">mes 15</x:t>
  </x:si>
  <x:si>
    <x:t xml:space="preserve">mes 16</x:t>
  </x:si>
  <x:si>
    <x:t xml:space="preserve">mes 17</x:t>
  </x:si>
  <x:si>
    <x:t xml:space="preserve">mes 18</x:t>
  </x:si>
  <x:si>
    <x:t xml:space="preserve">mes 19</x:t>
  </x:si>
  <x:si>
    <x:t xml:space="preserve">mes 20</x:t>
  </x:si>
  <x:si>
    <x:t xml:space="preserve">mes 21</x:t>
  </x:si>
  <x:si>
    <x:t xml:space="preserve">mes 22</x:t>
  </x:si>
  <x:si>
    <x:t xml:space="preserve">mes 23</x:t>
  </x:si>
  <x:si>
    <x:t xml:space="preserve">mes 24</x:t>
  </x:si>
  <x:si>
    <x:t xml:space="preserve">mes 25</x:t>
  </x:si>
  <x:si>
    <x:t xml:space="preserve">mes 26</x:t>
  </x:si>
  <x:si>
    <x:t xml:space="preserve">mes 27</x:t>
  </x:si>
  <x:si>
    <x:t xml:space="preserve">mes 28</x:t>
  </x:si>
  <x:si>
    <x:t xml:space="preserve">mes 29</x:t>
  </x:si>
  <x:si>
    <x:t xml:space="preserve">mes 30</x:t>
  </x:si>
  <x:si>
    <x:t xml:space="preserve">mes 31</x:t>
  </x:si>
  <x:si>
    <x:t xml:space="preserve">mes 32</x:t>
  </x:si>
  <x:si>
    <x:t xml:space="preserve">mes 33</x:t>
  </x:si>
  <x:si>
    <x:t xml:space="preserve">mes 34</x:t>
  </x:si>
  <x:si>
    <x:t xml:space="preserve">mes 35</x:t>
  </x:si>
  <x:si>
    <x:t xml:space="preserve">mes 36</x:t>
  </x:si>
  <x:si>
    <x:t xml:space="preserve">Clas</x:t>
  </x:si>
  <x:si>
    <x:t xml:space="preserve">mes 37</x:t>
  </x:si>
  <x:si>
    <x:t xml:space="preserve">mes 38</x:t>
  </x:si>
  <x:si>
    <x:t xml:space="preserve">mes 39</x:t>
  </x:si>
  <x:si>
    <x:t xml:space="preserve">mes 40</x:t>
  </x:si>
  <x:si>
    <x:t xml:space="preserve">mes 41</x:t>
  </x:si>
  <x:si>
    <x:t xml:space="preserve">mes 42</x:t>
  </x:si>
  <x:si>
    <x:t xml:space="preserve">mes 43</x:t>
  </x:si>
  <x:si>
    <x:t xml:space="preserve">mes 44</x:t>
  </x:si>
  <x:si>
    <x:t xml:space="preserve">mes 45</x:t>
  </x:si>
  <x:si>
    <x:t xml:space="preserve">mes 46</x:t>
  </x:si>
  <x:si>
    <x:t xml:space="preserve">mes 47</x:t>
  </x:si>
  <x:si>
    <x:t xml:space="preserve">mes 48</x:t>
  </x:si>
  <x:si>
    <x:t xml:space="preserve">mes 49</x:t>
  </x:si>
  <x:si>
    <x:t xml:space="preserve">mes 50</x:t>
  </x:si>
  <x:si>
    <x:t xml:space="preserve">mes 51</x:t>
  </x:si>
  <x:si>
    <x:t xml:space="preserve">mes 52</x:t>
  </x:si>
  <x:si>
    <x:t xml:space="preserve">mes 53</x:t>
  </x:si>
  <x:si>
    <x:t xml:space="preserve">mes 54</x:t>
  </x:si>
  <x:si>
    <x:t xml:space="preserve">mes 55</x:t>
  </x:si>
  <x:si>
    <x:t xml:space="preserve">mes 56</x:t>
  </x:si>
  <x:si>
    <x:t xml:space="preserve">mes 57</x:t>
  </x:si>
  <x:si>
    <x:t xml:space="preserve">mes 58</x:t>
  </x:si>
  <x:si>
    <x:t xml:space="preserve">mes 59</x:t>
  </x:si>
  <x:si>
    <x:t xml:space="preserve">mes 60</x:t>
  </x:si>
  <x:si>
    <x:t xml:space="preserve">Moneda del reporte</x:t>
  </x:si>
  <x:si>
    <x:t xml:space="preserve">Licenciamiento durante implementación</x:t>
  </x:si>
  <x:si>
    <x:t xml:space="preserve">Lice</x:t>
  </x:si>
  <x:si>
    <x:t xml:space="preserve">Consultoría Implementación y Capacitación fase 1</x:t>
  </x:si>
  <x:si>
    <x:t xml:space="preserve">Cons</x:t>
  </x:si>
  <x:si>
    <x:t xml:space="preserve">Consultoría Implementación y Capacitación fases 2, 3 y 4</x:t>
  </x:si>
  <x:si>
    <x:t xml:space="preserve">Upgr</x:t>
  </x:si>
  <x:si>
    <x:t xml:space="preserve">Costo bolsa de horas/año 💰</x:t>
  </x:si>
  <x:si>
    <x:t xml:space="preserve">Supp</x:t>
  </x:si>
  <x:si>
    <x:t xml:space="preserve">Licenciamento anual estimado</x:t>
  </x:si>
  <x:si>
    <x:t xml:space="preserve">1. Costo de administración interna</x:t>
  </x:si>
  <x:si>
    <x:t xml:space="preserve">Horas PMO + TI por año (no solo implementación).</x:t>
  </x:si>
  <x:si>
    <x:t xml:space="preserve">$/h</x:t>
  </x:si>
  <x:si>
    <x:t xml:space="preserve">Hidd</x:t>
  </x:si>
  <x:si>
    <x:t xml:space="preserve">Cambios de estructura, plantillas, cierres mensuales.</x:t>
  </x:si>
  <x:si>
    <x:t xml:space="preserve">2. Curva de aprendizaje extendida</x:t>
  </x:si>
  <x:si>
    <x:t xml:space="preserve">Costo curva de aprendizaje</x:t>
  </x:si>
  <x:si>
    <x:t xml:space="preserve">Sobre costo admin. Interna</x:t>
  </x:si>
  <x:si>
    <x:t xml:space="preserve">3. Rotación de personal</x:t>
  </x:si>
  <x:si>
    <x:t xml:space="preserve">Nuevo usuario ≠ curva inicial cero.</x:t>
  </x:si>
  <x:si>
    <x:t xml:space="preserve">4. Escalamiento no lineal</x:t>
  </x:si>
  <x:si>
    <x:t xml:space="preserve">Más proyectos ≠ costo proporcional (reporting, performance, licencias ocultas).</x:t>
  </x:si>
  <x:si>
    <x:t xml:space="preserve">5. Costo de gobierno del dato</x:t>
  </x:si>
  <x:si>
    <x:t xml:space="preserve">Auditorías, limpieza, control de duplicados, trazabilidad.</x:t>
  </x:si>
  <x:si>
    <x:t xml:space="preserve">6. Costo de cambio (switching cost)</x:t>
  </x:si>
  <x:si>
    <x:t xml:space="preserve">Si en 3–5 años SW decide salir... ¿cuánto cuesta migrar?</x:t>
  </x:si>
  <x:si>
    <x:t xml:space="preserve">Costo de convivencia Microsoft Project Desktop</x:t>
  </x:si>
  <x:si>
    <x:t xml:space="preserve">Proj</x:t>
  </x:si>
  <x:si>
    <x:t xml:space="preserve">Contingencias operativas</x:t>
  </x:si>
  <x:si>
    <x:t xml:space="preserve">Sobre subtotal</x:t>
  </x:si>
  <x:si>
    <x:t xml:space="preserve">Acumulado</x:t>
  </x:si>
  <x:si>
    <x:t xml:space="preserve">Alcance de esta licitación (Licencias + Implementación inicial)</x:t>
  </x:si>
  <x:si>
    <x:t xml:space="preserve">TCO fase 1</x:t>
  </x:si>
  <x:si>
    <x:t xml:space="preserve">VPN fase 1</x:t>
  </x:si>
  <x:si>
    <x:t xml:space="preserve">Costos Año Transcurrido</x:t>
  </x:si>
  <x:si>
    <x:t xml:space="preserve">TCO cada 12 meses</x:t>
  </x:si>
  <x:si>
    <x:t xml:space="preserve">VPN cada 12 meses</x:t>
  </x:si>
  <x:si>
    <x:t xml:space="preserve">Año fiscal</x:t>
  </x:si>
  <x:si>
    <x:t xml:space="preserve">TCO año fiscal</x:t>
  </x:si>
  <x:si>
    <x:t xml:space="preserve">VPN año fiscal</x:t>
  </x:si>
  <x:si>
    <x:t xml:space="preserve">Tasa mensual</x:t>
  </x:si>
  <x:si>
    <x:t xml:space="preserve">Precios constantes</x:t>
  </x:si>
  <x:si>
    <x:t xml:space="preserve">0% para precios constantes; 1.25% cuando tenga precios corrientes</x:t>
  </x:si>
  <x:si>
    <x:t xml:space="preserve">Tasa anual</x:t>
  </x:si>
  <x:si>
    <x:t xml:space="preserve">TCO= Total Cost of Ownership</x:t>
  </x:si>
  <x:si>
    <x:t xml:space="preserve">VPN= Valor Presente Neto del proyecto</x:t>
  </x:si>
  <x:si>
    <x:t xml:space="preserve">Clase de costo</x:t>
  </x:si>
  <x:si>
    <x:t xml:space="preserve">Total por clase</x:t>
  </x:si>
  <x:si>
    <x:t xml:space="preserve">Upgrade (actualizaciones)</x:t>
  </x:si>
  <x:si>
    <x:t xml:space="preserve">Support</x:t>
  </x:si>
  <x:si>
    <x:t xml:space="preserve">Hidden (costos ocultos)</x:t>
  </x:si>
  <x:si>
    <x:t xml:space="preserve">Project (Convivencia con Microsoft Project)</x:t>
  </x:si>
  <x:si>
    <x:t xml:space="preserve">Contingencias</x:t>
  </x:si>
</x:sst>
</file>

<file path=xl/styles.xml><?xml version="1.0" encoding="utf-8"?>
<x:styleSheet xmlns:x="http://schemas.openxmlformats.org/spreadsheetml/2006/main">
  <x:numFmts count="24">
    <x:numFmt numFmtId="164" formatCode="&quot;$&quot;#,##0;[Red]\-&quot;$&quot;#,##0"/>
    <x:numFmt numFmtId="165" formatCode="0.0"/>
    <x:numFmt numFmtId="166" formatCode="0.00;[Red]\-0.00;&quot;&quot;"/>
    <x:numFmt numFmtId="167" formatCode="ddd\ dd/mmm/yyyy"/>
    <x:numFmt numFmtId="168" formatCode="dd/mmm/yyyy"/>
    <x:numFmt numFmtId="169" formatCode="mmm/yyyy"/>
    <x:numFmt numFmtId="170" formatCode="dd/mmm\ hh:mm"/>
    <x:numFmt numFmtId="171" formatCode="#,##0.00;[Red]\-#,##0.00;&quot;-&quot;"/>
    <x:numFmt numFmtId="172" formatCode="#,##0;[Red]\-#,##0;&quot;-&quot;"/>
    <x:numFmt numFmtId="173" formatCode="&quot;$&quot;#,##0.00;[Red]\-&quot;$&quot;#,##0.00;&quot;-&quot;"/>
    <x:numFmt numFmtId="174" formatCode="&quot;$&quot;#,##0;[Red]\-&quot;$&quot;#,##0;&quot;-&quot;"/>
    <x:numFmt numFmtId="175" formatCode="0.0%;[Red]\-0.0%;&quot;-%&quot;"/>
    <x:numFmt numFmtId="176" formatCode="0.00%;[Red]\-0.00%;&quot;-%&quot;"/>
    <x:numFmt numFmtId="177" formatCode="#,##0.0000;[Red]\-#,##0.0000;&quot;-&quot;"/>
    <x:numFmt numFmtId="178" formatCode="0%;[Red]\-0%;&quot;-%&quot;"/>
    <x:numFmt numFmtId="179" formatCode="0.0%"/>
    <x:numFmt numFmtId="180" formatCode="dd/mmm/yyyy;&quot;&quot;"/>
    <x:numFmt numFmtId="181" formatCode="0.0%;[Red]\-0.0%;&quot;%-&quot;"/>
    <x:numFmt numFmtId="182" formatCode="&quot;&quot;"/>
    <x:numFmt numFmtId="183" formatCode="#,##0;\-#,##0;&quot;-&quot;"/>
    <x:numFmt numFmtId="184" formatCode="mmm"/>
    <x:numFmt numFmtId="185" formatCode="#,##0.000000;[Red]\-#,##0.000000;&quot;-&quot;"/>
    <x:numFmt numFmtId="186" formatCode="&quot;$&quot;#,##0.00;[Red]\-&quot;$&quot;#,##0.00;&quot;$&quot;"/>
    <x:numFmt numFmtId="187" formatCode="0.00;[Red]\-0.00;&quot;$-&quot;"/>
  </x:numFmts>
  <x:fonts count="75">
    <x:font>
      <x:sz val="8"/>
      <x:color theme="1"/>
      <x:name val="Calibri"/>
    </x:font>
    <x:font>
      <x:sz val="11"/>
      <x:color theme="1"/>
      <x:name val="Calibri"/>
    </x:font>
    <x:font>
      <x:sz val="11"/>
      <x:color theme="1"/>
      <x:name val="Calibri"/>
    </x:font>
    <x:font>
      <x:sz val="11"/>
      <x:color theme="1"/>
      <x:name val="Calibri"/>
    </x:font>
    <x:font>
      <x:sz val="11"/>
      <x:color theme="1"/>
      <x:name val="Calibri"/>
    </x:font>
    <x:font>
      <x:sz val="11"/>
      <x:color theme="1"/>
      <x:name val="Calibri"/>
    </x:font>
    <x:font>
      <x:sz val="8"/>
      <x:color theme="1"/>
      <x:name val="Calibri"/>
    </x:font>
    <x:font>
      <x:sz val="8"/>
      <x:color theme="0"/>
      <x:name val="Calibri"/>
    </x:font>
    <x:font>
      <x:sz val="8"/>
      <x:color rgb="FFFF0000"/>
      <x:name val="Calibri"/>
    </x:font>
    <x:font>
      <x:b/>
      <x:sz val="8"/>
      <x:color theme="0"/>
      <x:name val="Calibri"/>
    </x:font>
    <x:font>
      <x:b/>
      <x:sz val="10"/>
      <x:name val="Calibri"/>
    </x:font>
    <x:font>
      <x:b/>
      <x:sz val="8"/>
      <x:color rgb="FFFF0000"/>
      <x:name val="Calibri"/>
    </x:font>
    <x:font>
      <x:sz val="8"/>
      <x:color rgb="FF9C0006"/>
      <x:name val="Calibri"/>
    </x:font>
    <x:font>
      <x:b/>
      <x:sz val="8"/>
      <x:color theme="1"/>
      <x:name val="Calibri"/>
    </x:font>
    <x:font>
      <x:sz val="8"/>
      <x:color theme="1"/>
      <x:name val="Segoe UI"/>
    </x:font>
    <x:font>
      <x:sz val="8"/>
      <x:name val="Calibri"/>
    </x:font>
    <x:font>
      <x:sz val="7"/>
      <x:color indexed="81"/>
      <x:name val="Tahoma"/>
    </x:font>
    <x:font>
      <x:sz val="8"/>
      <x:color rgb="FF7030A0"/>
      <x:name val="Calibri"/>
    </x:font>
    <x:font>
      <x:sz val="10"/>
      <x:color theme="1"/>
      <x:name val="Calibri"/>
    </x:font>
    <x:font>
      <x:b/>
      <x:sz val="8"/>
      <x:color theme="1"/>
      <x:name val="Segoe UI"/>
    </x:font>
    <x:font>
      <x:b/>
      <x:sz val="9"/>
      <x:color indexed="81"/>
      <x:name val="Tahoma"/>
    </x:font>
    <x:font>
      <x:sz val="8"/>
      <x:color theme="1"/>
      <x:name val="Aptos Narrow"/>
    </x:font>
    <x:font>
      <x:sz val="8"/>
      <x:name val="Aptos Narrow"/>
    </x:font>
    <x:font>
      <x:b/>
      <x:sz val="8"/>
      <x:color theme="0" tint="-0.04999"/>
      <x:name val="Segoe UI"/>
    </x:font>
    <x:font>
      <x:sz val="8"/>
      <x:color theme="0" tint="-0.04999"/>
      <x:name val="Segoe UI"/>
    </x:font>
    <x:font>
      <x:sz val="8"/>
      <x:color theme="0" tint="-0.04999"/>
      <x:name val="Calibri"/>
    </x:font>
    <x:font>
      <x:sz val="8"/>
      <x:color theme="0" tint="-0.04999"/>
      <x:name val="Calibri"/>
    </x:font>
    <x:font>
      <x:b/>
      <x:sz val="8"/>
      <x:color theme="0" tint="-0.04999"/>
      <x:name val="Calibri"/>
    </x:font>
    <x:font>
      <x:b/>
      <x:sz val="8"/>
      <x:color theme="0" tint="-0.04999"/>
      <x:name val="Aptos Narrow"/>
    </x:font>
    <x:font>
      <x:b/>
      <x:sz val="8"/>
      <x:color theme="0" tint="-0.04999"/>
      <x:name val="Calibri"/>
    </x:font>
    <x:font>
      <x:sz val="8"/>
      <x:color theme="0" tint="-0.04999"/>
      <x:name val="Wingdings"/>
    </x:font>
    <x:font>
      <x:sz val="8"/>
      <x:color theme="0" tint="-0.04999"/>
      <x:name val="Tahoma"/>
    </x:font>
    <x:font>
      <x:b/>
      <x:sz val="8"/>
      <x:color rgb="FF0000FF"/>
      <x:name val="Calibri"/>
    </x:font>
    <x:font>
      <x:b/>
      <x:sz val="8"/>
      <x:color rgb="FF7030A0"/>
      <x:name val="Calibri"/>
    </x:font>
    <x:font>
      <x:b/>
      <x:sz val="8"/>
      <x:name val="Calibri"/>
    </x:font>
    <x:font>
      <x:sz val="8"/>
      <x:color theme="1"/>
      <x:name val="Tahoma"/>
    </x:font>
    <x:font>
      <x:sz val="8"/>
      <x:color rgb="FF00B050"/>
      <x:name val="Calibri"/>
    </x:font>
    <x:font>
      <x:sz val="9"/>
      <x:color theme="1"/>
      <x:name val="Calibri"/>
    </x:font>
    <x:font>
      <x:sz val="8"/>
      <x:color theme="1"/>
      <x:name val="Calibri"/>
    </x:font>
    <x:font>
      <x:sz val="8"/>
      <x:name val="Calibri"/>
    </x:font>
    <x:font>
      <x:sz val="8"/>
      <x:color rgb="FF0A0A0A"/>
      <x:name val="Arial"/>
    </x:font>
    <x:font>
      <x:b/>
      <x:sz val="8"/>
      <x:color rgb="FF0A0A0A"/>
      <x:name val="Arial"/>
    </x:font>
    <x:font>
      <x:b/>
      <x:sz val="8"/>
      <x:name val="Calibri"/>
    </x:font>
    <x:font>
      <x:i/>
      <x:sz val="8"/>
      <x:color theme="1"/>
      <x:name val="Calibri"/>
    </x:font>
    <x:font>
      <x:i/>
      <x:sz val="8"/>
      <x:name val="Calibri"/>
    </x:font>
    <x:font>
      <x:sz val="8"/>
      <x:color theme="1"/>
      <x:name val="Wingdings"/>
    </x:font>
    <x:font>
      <x:b/>
      <x:sz val="10"/>
      <x:color theme="1"/>
      <x:name val="Calibri"/>
    </x:font>
    <x:font>
      <x:b/>
      <x:sz val="10"/>
      <x:color rgb="FF7030A0"/>
      <x:name val="Calibri"/>
    </x:font>
    <x:font>
      <x:sz val="8"/>
      <x:color rgb="FF0000FF"/>
      <x:name val="Calibri"/>
    </x:font>
    <x:font>
      <x:b/>
      <x:sz val="10"/>
      <x:color theme="0"/>
      <x:name val="Calibri"/>
    </x:font>
    <x:font>
      <x:b/>
      <x:sz val="10"/>
      <x:color rgb="FF00A944"/>
      <x:name val="Calibri"/>
    </x:font>
    <x:font>
      <x:sz val="8"/>
      <x:color theme="1"/>
      <x:name val="Calibri"/>
    </x:font>
    <x:font>
      <x:sz val="9"/>
      <x:color indexed="81"/>
      <x:name val="Tahoma"/>
    </x:font>
    <x:font>
      <x:b/>
      <x:sz val="12"/>
      <x:color theme="1"/>
      <x:name val="Calibri"/>
    </x:font>
    <x:font>
      <x:sz val="8"/>
      <x:color rgb="FF0070D4"/>
      <x:name val="Calibri"/>
    </x:font>
    <x:font>
      <x:b/>
      <x:sz val="8"/>
      <x:color theme="1"/>
      <x:name val="Arial"/>
    </x:font>
    <x:font>
      <x:sz val="8"/>
      <x:name val="Arial"/>
    </x:font>
    <x:font>
      <x:sz val="8"/>
      <x:color theme="1"/>
      <x:name val="Aptos"/>
    </x:font>
    <x:font>
      <x:sz val="12"/>
      <x:color theme="1"/>
      <x:name val="Calibri"/>
    </x:font>
    <x:font>
      <x:sz val="8"/>
      <x:color theme="1"/>
      <x:name val="Calibri"/>
    </x:font>
    <x:font>
      <x:sz val="7"/>
      <x:color theme="1"/>
      <x:name val="Calibri"/>
    </x:font>
    <x:font>
      <x:b/>
      <x:sz val="12"/>
      <x:color theme="0"/>
      <x:name val="Calibri"/>
    </x:font>
    <x:font>
      <x:b/>
      <x:sz val="9"/>
      <x:color theme="1"/>
      <x:name val="Calibri"/>
    </x:font>
    <x:font>
      <x:b/>
      <x:sz val="9"/>
      <x:color theme="1"/>
      <x:name val="Aptos"/>
    </x:font>
    <x:font>
      <x:b/>
      <x:sz val="8"/>
      <x:color rgb="FF004000"/>
      <x:name val="Calibri"/>
    </x:font>
    <x:font>
      <x:sz val="8"/>
      <x:color rgb="FF753BBD"/>
      <x:name val="Calibri"/>
    </x:font>
    <x:font>
      <x:sz val="8"/>
      <x:color indexed="81"/>
      <x:name val="Tahoma"/>
    </x:font>
    <x:font>
      <x:b/>
      <x:sz val="8"/>
      <x:color theme="1"/>
      <x:name val="Aptos Narrow"/>
    </x:font>
    <x:font>
      <x:i/>
      <x:sz val="8"/>
      <x:color theme="1"/>
      <x:name val="Aptos"/>
    </x:font>
    <x:font>
      <x:b/>
      <x:sz val="8"/>
      <x:color rgb="FF003DA5"/>
      <x:name val="Aptos"/>
    </x:font>
    <x:font>
      <x:b/>
      <x:sz val="8"/>
      <x:color rgb="FF00A944"/>
      <x:name val="Aptos"/>
    </x:font>
    <x:font>
      <x:b/>
      <x:sz val="8"/>
      <x:color theme="0"/>
      <x:name val="Aptos"/>
    </x:font>
    <x:font>
      <x:sz val="8"/>
      <x:color rgb="FF00A944"/>
      <x:name val="Aptos"/>
    </x:font>
    <x:font>
      <x:sz val="8"/>
      <x:name val="Webdings"/>
    </x:font>
    <x:font>
      <x:b/>
      <x:sz val="10"/>
      <x:color theme="0"/>
      <x:name val="Aptos"/>
    </x:font>
  </x:fonts>
  <x:fills count="27">
    <x:fill>
      <x:patternFill patternType="none"/>
    </x:fill>
    <x:fill>
      <x:patternFill patternType="gray125"/>
    </x:fill>
    <x:fill>
      <x:patternFill patternType="solid">
        <x:fgColor theme="4" tint="0.79998"/>
      </x:patternFill>
    </x:fill>
    <x:fill>
      <x:patternFill patternType="solid">
        <x:fgColor rgb="FFFFFF00"/>
      </x:patternFill>
    </x:fill>
    <x:fill>
      <x:patternFill patternType="solid">
        <x:fgColor rgb="FF7030A0"/>
      </x:patternFill>
    </x:fill>
    <x:fill>
      <x:patternFill patternType="solid">
        <x:fgColor theme="4"/>
      </x:patternFill>
    </x:fill>
    <x:fill>
      <x:patternFill patternType="solid">
        <x:fgColor theme="4" tint="0.79998"/>
      </x:patternFill>
    </x:fill>
    <x:fill>
      <x:patternFill patternType="solid">
        <x:fgColor rgb="FFFFC7CE"/>
      </x:patternFill>
    </x:fill>
    <x:fill>
      <x:patternFill patternType="solid">
        <x:fgColor rgb="FFF5F5F5"/>
      </x:patternFill>
    </x:fill>
    <x:fill>
      <x:patternFill patternType="solid">
        <x:fgColor rgb="FFFF0000"/>
      </x:patternFill>
    </x:fill>
    <x:fill>
      <x:patternFill patternType="solid">
        <x:fgColor rgb="FF92D050"/>
      </x:patternFill>
    </x:fill>
    <x:fill>
      <x:patternFill patternType="solid">
        <x:fgColor theme="0" tint="-0.15"/>
      </x:patternFill>
    </x:fill>
    <x:fill>
      <x:patternFill patternType="solid">
        <x:fgColor theme="4" tint="0.59999"/>
      </x:patternFill>
    </x:fill>
    <x:fill>
      <x:patternFill patternType="solid">
        <x:fgColor rgb="FFD912AE"/>
      </x:patternFill>
    </x:fill>
    <x:fill>
      <x:patternFill patternType="solid">
        <x:fgColor rgb="FF3FD185"/>
      </x:patternFill>
    </x:fill>
    <x:fill>
      <x:patternFill patternType="solid">
        <x:fgColor rgb="FFFCE300"/>
      </x:patternFill>
    </x:fill>
    <x:fill>
      <x:patternFill patternType="solid">
        <x:fgColor rgb="FFFFFF99"/>
      </x:patternFill>
    </x:fill>
    <x:fill>
      <x:patternFill patternType="solid">
        <x:fgColor theme="3" tint="0.79998"/>
      </x:patternFill>
    </x:fill>
    <x:fill>
      <x:patternFill patternType="solid">
        <x:fgColor rgb="FF00A944"/>
      </x:patternFill>
    </x:fill>
    <x:fill>
      <x:patternFill patternType="solid">
        <x:fgColor rgb="FFBDE9C9"/>
      </x:patternFill>
    </x:fill>
    <x:fill>
      <x:patternFill patternType="solid">
        <x:fgColor rgb="FFA67BCA"/>
      </x:patternFill>
    </x:fill>
    <x:fill>
      <x:patternFill patternType="solid">
        <x:fgColor theme="0"/>
      </x:patternFill>
    </x:fill>
    <x:fill>
      <x:patternFill patternType="solid">
        <x:fgColor rgb="FFFFFF00"/>
      </x:patternFill>
    </x:fill>
    <x:fill>
      <x:patternFill patternType="solid">
        <x:fgColor rgb="FF5FCDF5"/>
      </x:patternFill>
    </x:fill>
    <x:fill>
      <x:patternFill patternType="solid">
        <x:fgColor rgb="FF00A944"/>
      </x:patternFill>
    </x:fill>
    <x:fill>
      <x:patternFill patternType="solid">
        <x:fgColor rgb="FFD0D3D4"/>
      </x:patternFill>
    </x:fill>
    <x:fill>
      <x:patternFill patternType="solid">
        <x:fgColor rgb="FFA2AAAD"/>
      </x:patternFill>
    </x:fill>
  </x:fills>
  <x:borders count="43">
    <x:border/>
    <x:border>
      <x:top style="thin">
        <x:color theme="4" tint="0.39998"/>
      </x:top>
      <x:bottom style="thin">
        <x:color theme="4" tint="0.39998"/>
      </x:bottom>
    </x:border>
    <x:border>
      <x:bottom style="thin">
        <x:color theme="4" tint="0.39998"/>
      </x:bottom>
    </x:border>
    <x:border>
      <x:top style="thin">
        <x:color theme="4" tint="0.39998"/>
      </x:top>
    </x:border>
    <x:border>
      <x:left style="medium">
        <x:color rgb="FFE6E6E6"/>
      </x:left>
      <x:right style="medium">
        <x:color rgb="FFE6E6E6"/>
      </x:right>
      <x:top style="medium">
        <x:color rgb="FFE6E6E6"/>
      </x:top>
      <x:bottom style="medium">
        <x:color rgb="FFE6E6E6"/>
      </x:bottom>
    </x:border>
    <x:border>
      <x:right style="medium">
        <x:color rgb="FFE6E6E6"/>
      </x:right>
      <x:top style="medium">
        <x:color rgb="FFE6E6E6"/>
      </x:top>
      <x:bottom style="medium">
        <x:color rgb="FFE6E6E6"/>
      </x:bottom>
    </x:border>
    <x:border>
      <x:left style="medium">
        <x:color rgb="FFE6E6E6"/>
      </x:left>
      <x:top style="medium">
        <x:color rgb="FFE6E6E6"/>
      </x:top>
      <x:bottom style="medium">
        <x:color rgb="FFE6E6E6"/>
      </x:bottom>
    </x:border>
    <x:border>
      <x:right style="medium">
        <x:color rgb="FFE6E6E6"/>
      </x:right>
      <x:top style="medium">
        <x:color rgb="FFE6E6E6"/>
      </x:top>
    </x:border>
    <x:border>
      <x:left style="medium">
        <x:color rgb="FFE6E6E6"/>
      </x:left>
      <x:right style="medium">
        <x:color rgb="FFE6E6E6"/>
      </x:right>
      <x:top style="medium">
        <x:color rgb="FFE6E6E6"/>
      </x:top>
    </x:border>
    <x:border>
      <x:left style="medium">
        <x:color rgb="FFE6E6E6"/>
      </x:left>
      <x:top style="medium">
        <x:color rgb="FFE6E6E6"/>
      </x:top>
    </x:border>
    <x:border>
      <x:left style="medium">
        <x:color rgb="FFE6E6E6"/>
      </x:left>
    </x:border>
    <x:border>
      <x:bottom style="medium">
        <x:color rgb="FFDCDFE5"/>
      </x:bottom>
    </x:border>
    <x:border>
      <x:left style="thin">
        <x:color theme="0"/>
      </x:left>
      <x:right style="thin">
        <x:color theme="0"/>
      </x:right>
      <x:top style="thin">
        <x:color theme="0"/>
      </x:top>
      <x:bottom style="thin">
        <x:color theme="0"/>
      </x:bottom>
    </x:border>
    <x:border>
      <x:left style="thin">
        <x:color theme="0"/>
      </x:left>
      <x:right style="thin">
        <x:color theme="0"/>
      </x:right>
      <x:top style="thin">
        <x:color theme="0"/>
      </x:top>
    </x:border>
    <x:border>
      <x:left style="thin">
        <x:color theme="0"/>
      </x:left>
      <x:right style="thin">
        <x:color theme="0"/>
      </x:right>
      <x:top style="medium">
        <x:color rgb="FFE6E6E6"/>
      </x:top>
      <x:bottom style="thick">
        <x:color theme="0"/>
      </x:bottom>
    </x:border>
    <x:border>
      <x:left style="thin">
        <x:color theme="0"/>
      </x:left>
      <x:right style="medium">
        <x:color rgb="FFE6E6E6"/>
      </x:right>
      <x:top style="medium">
        <x:color rgb="FFE6E6E6"/>
      </x:top>
      <x:bottom style="thick">
        <x:color theme="0"/>
      </x:bottom>
    </x:border>
    <x:border>
      <x:left style="thin">
        <x:color theme="0"/>
      </x:left>
      <x:right style="medium">
        <x:color rgb="FFE6E6E6"/>
      </x:right>
      <x:top style="thin">
        <x:color theme="0"/>
      </x:top>
      <x:bottom style="thin">
        <x:color theme="0"/>
      </x:bottom>
    </x:border>
    <x:border>
      <x:left style="thin">
        <x:color theme="0"/>
      </x:left>
      <x:right style="medium">
        <x:color rgb="FFE6E6E6"/>
      </x:right>
      <x:top style="thin">
        <x:color theme="0"/>
      </x:top>
      <x:bottom style="medium">
        <x:color rgb="FFE6E6E6"/>
      </x:bottom>
    </x:border>
    <x:border>
      <x:left style="thin">
        <x:color theme="0"/>
      </x:left>
      <x:right style="thin">
        <x:color theme="0"/>
      </x:right>
      <x:top style="thin">
        <x:color theme="0"/>
      </x:top>
      <x:bottom style="medium">
        <x:color rgb="FFE6E6E6"/>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top style="thin">
        <x:color auto="1"/>
      </x:top>
    </x:border>
    <x:border>
      <x:left style="thin">
        <x:color theme="9"/>
      </x:left>
      <x:top style="thin">
        <x:color theme="9"/>
      </x:top>
    </x:border>
    <x:border>
      <x:top style="thin">
        <x:color theme="9"/>
      </x:top>
    </x:border>
    <x:border>
      <x:left style="thin">
        <x:color indexed="64"/>
      </x:left>
      <x:top style="thin">
        <x:color indexed="64"/>
      </x:top>
    </x:border>
    <x:border>
      <x:right style="thin">
        <x:color indexed="64"/>
      </x:right>
      <x:top style="thin">
        <x:color indexed="64"/>
      </x:top>
    </x:border>
    <x:border>
      <x:left style="thin">
        <x:color indexed="64"/>
      </x:left>
    </x:border>
    <x:border>
      <x:right style="thin">
        <x:color indexed="64"/>
      </x:right>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theme="4" tint="0.39998"/>
      </x:right>
      <x:top style="thin">
        <x:color theme="4" tint="0.39998"/>
      </x:top>
      <x:bottom style="thin">
        <x:color theme="4" tint="0.39998"/>
      </x:bottom>
    </x:border>
    <x:border>
      <x:left style="thin">
        <x:color indexed="64"/>
      </x:left>
      <x:right style="thin">
        <x:color indexed="64"/>
      </x:right>
      <x:top style="thin">
        <x:color indexed="64"/>
      </x:top>
      <x:bottom style="thin">
        <x:color indexed="64"/>
      </x:bottom>
    </x:border>
    <x:border>
      <x:left style="double">
        <x:color theme="2" tint="-0.49998"/>
      </x:left>
      <x:top style="double">
        <x:color theme="2" tint="-0.49998"/>
      </x:top>
      <x:bottom style="double">
        <x:color theme="2" tint="-0.49998"/>
      </x:bottom>
    </x:border>
    <x:border>
      <x:top style="double">
        <x:color theme="2" tint="-0.49998"/>
      </x:top>
      <x:bottom style="double">
        <x:color theme="2" tint="-0.49998"/>
      </x:bottom>
    </x:border>
    <x:border>
      <x:right style="double">
        <x:color theme="2" tint="-0.49998"/>
      </x:right>
      <x:top style="double">
        <x:color theme="2" tint="-0.49998"/>
      </x:top>
      <x:bottom style="double">
        <x:color theme="2" tint="-0.49998"/>
      </x:bottom>
    </x:border>
    <x:border>
      <x:left style="thin">
        <x:color theme="0"/>
      </x:left>
      <x:bottom style="thick">
        <x:color theme="0"/>
      </x:bottom>
    </x:border>
    <x:border>
      <x:right style="thin">
        <x:color theme="0"/>
      </x:right>
      <x:bottom style="thick">
        <x:color theme="0"/>
      </x:bottom>
    </x:border>
    <x:border>
      <x:left style="thin">
        <x:color rgb="FF5FCDF5"/>
      </x:left>
      <x:right style="thin">
        <x:color rgb="FF5FCDF5"/>
      </x:right>
      <x:top style="thin">
        <x:color rgb="FF5FCDF5"/>
      </x:top>
      <x:bottom style="thin">
        <x:color rgb="FF5FCDF5"/>
      </x:bottom>
    </x:border>
    <x:border>
      <x:left style="thin">
        <x:color rgb="FF00B050"/>
      </x:left>
      <x:right style="thin">
        <x:color rgb="FF00B050"/>
      </x:right>
      <x:top style="thin">
        <x:color rgb="FF00B050"/>
      </x:top>
      <x:bottom style="thin">
        <x:color rgb="FF00B050"/>
      </x:bottom>
    </x:border>
    <x:border>
      <x:left style="thin">
        <x:color rgb="FF00B050"/>
      </x:left>
      <x:top style="thin">
        <x:color rgb="FF00B050"/>
      </x:top>
      <x:bottom style="thin">
        <x:color rgb="FF00B050"/>
      </x:bottom>
    </x:border>
    <x:border>
      <x:right style="thin">
        <x:color rgb="FF00B050"/>
      </x:right>
      <x:top style="thin">
        <x:color rgb="FF00B050"/>
      </x:top>
      <x:bottom style="thin">
        <x:color rgb="FF00B050"/>
      </x:bottom>
    </x:border>
  </x:borders>
  <x:cellStyleXfs count="37">
    <x:xf numFmtId="0" fontId="0" fillId="0" borderId="0">
      <x:alignment vertical="center"/>
    </x:xf>
    <x:xf numFmtId="0" fontId="6" fillId="0" borderId="0" applyNumberFormat="0" applyFont="0" applyFill="0" applyBorder="0" applyProtection="0">
      <x:alignment horizontal="center" vertical="center" wrapText="1"/>
    </x:xf>
    <x:xf numFmtId="0" fontId="6" fillId="0" borderId="0" applyNumberFormat="0" applyFont="0" applyFill="0" applyBorder="0" applyProtection="0">
      <x:alignment horizontal="centerContinuous" vertical="center" wrapText="1"/>
    </x:xf>
    <x:xf numFmtId="167" fontId="6" fillId="0" borderId="0" applyFont="0" applyFill="0" applyBorder="0" applyAlignment="0" applyProtection="0">
      <x:alignment vertical="center"/>
    </x:xf>
    <x:xf numFmtId="16" fontId="6" fillId="0" borderId="0" applyFont="0" applyFill="0" applyBorder="0" applyAlignment="0" applyProtection="0">
      <x:alignment vertical="center"/>
    </x:xf>
    <x:xf numFmtId="168" fontId="6" fillId="0" borderId="0" applyFont="0" applyFill="0" applyBorder="0" applyAlignment="0" applyProtection="0">
      <x:alignment vertical="center"/>
    </x:xf>
    <x:xf numFmtId="169" fontId="6" fillId="0" borderId="0" applyFont="0" applyFill="0" applyBorder="0" applyAlignment="0" applyProtection="0">
      <x:alignment vertical="center"/>
    </x:xf>
    <x:xf numFmtId="170" fontId="6" fillId="0" borderId="0" applyFont="0" applyFill="0" applyBorder="0" applyAlignment="0" applyProtection="0">
      <x:alignment vertical="center"/>
    </x:xf>
    <x:xf numFmtId="0" fontId="7" fillId="4" borderId="0">
      <x:alignment vertical="center"/>
    </x:xf>
    <x:xf numFmtId="0" fontId="12" fillId="7" borderId="0"/>
    <x:xf numFmtId="171" fontId="5" fillId="0" borderId="0" applyFont="0" applyFill="0" applyBorder="0" applyAlignment="0" applyProtection="0"/>
    <x:xf numFmtId="172" fontId="5" fillId="0" borderId="0" applyFont="0" applyFill="0" applyBorder="0" applyAlignment="0" applyProtection="0"/>
    <x:xf numFmtId="186" fontId="1" fillId="0" borderId="0" applyFont="0" applyFill="0" applyBorder="0" applyAlignment="0" applyProtection="0"/>
    <x:xf numFmtId="174" fontId="5" fillId="0" borderId="0" applyFont="0" applyFill="0" applyBorder="0" applyAlignment="0" applyProtection="0"/>
    <x:xf numFmtId="175" fontId="5" fillId="0" borderId="0" applyFont="0" applyFill="0" applyBorder="0" applyAlignment="0" applyProtection="0"/>
    <x:xf numFmtId="174" fontId="5" fillId="0" borderId="0" applyFont="0" applyFill="0" applyBorder="0" applyAlignment="0" applyProtection="0"/>
    <x:xf numFmtId="0" fontId="6" fillId="0" borderId="0">
      <x:alignment vertical="center"/>
    </x:xf>
    <x:xf numFmtId="0" fontId="54" fillId="0" borderId="0" applyNumberFormat="0" applyFill="0" applyBorder="0" applyAlignment="0" applyProtection="0">
      <x:alignment vertical="center"/>
    </x:xf>
    <x:xf numFmtId="171" fontId="7" fillId="20" borderId="0" applyBorder="0" applyAlignment="0" applyProtection="0">
      <x:alignment vertical="center"/>
    </x:xf>
    <x:xf numFmtId="0" fontId="4" fillId="0" borderId="0"/>
    <x:xf numFmtId="0" fontId="6" fillId="0" borderId="0">
      <x:alignment vertical="center"/>
    </x:xf>
    <x:xf numFmtId="180" fontId="3" fillId="0" borderId="0" applyFont="0" applyFill="0" applyBorder="0" applyAlignment="0" applyProtection="0"/>
    <x:xf numFmtId="172" fontId="3" fillId="0" borderId="0" applyFont="0" applyFill="0" applyBorder="0" applyAlignment="0" applyProtection="0"/>
    <x:xf numFmtId="181" fontId="3" fillId="0" borderId="0" applyFont="0" applyFill="0" applyBorder="0" applyAlignment="0" applyProtection="0"/>
    <x:xf numFmtId="169" fontId="6" fillId="0" borderId="0" applyFont="0" applyFill="0" applyBorder="0" applyAlignment="0" applyProtection="0">
      <x:alignment vertical="center"/>
    </x:xf>
    <x:xf numFmtId="0" fontId="3" fillId="0" borderId="0" applyNumberFormat="0" applyFont="0" applyFill="0" applyBorder="0" applyProtection="0">
      <x:alignment horizontal="centerContinuous" vertical="center" wrapText="1"/>
    </x:xf>
    <x:xf numFmtId="0" fontId="6" fillId="0" borderId="0" applyNumberFormat="0" applyFont="0" applyFill="0" applyBorder="0" applyProtection="0">
      <x:alignment horizontal="center" vertical="center" wrapText="1"/>
    </x:xf>
    <x:xf numFmtId="0" fontId="3" fillId="0" borderId="0" applyNumberFormat="0" applyFont="0" applyFill="0" applyBorder="0" applyProtection="0">
      <x:alignment horizontal="center" vertical="center" wrapText="1"/>
    </x:xf>
    <x:xf numFmtId="171" fontId="3" fillId="0" borderId="0" applyFont="0" applyFill="0" applyBorder="0" applyAlignment="0" applyProtection="0"/>
    <x:xf numFmtId="182" fontId="64" fillId="0" borderId="0" applyFont="0" applyFill="0" applyBorder="0" applyAlignment="0" applyProtection="0">
      <x:alignment vertical="center"/>
    </x:xf>
    <x:xf numFmtId="0" fontId="2" fillId="0" borderId="0">
      <x:alignment vertical="center"/>
    </x:xf>
    <x:xf numFmtId="168" fontId="2" fillId="0" borderId="0" applyFont="0" applyFill="0" applyBorder="0" applyAlignment="0" applyProtection="0"/>
    <x:xf numFmtId="183" fontId="56" fillId="0" borderId="0" applyFont="0" applyFill="0" applyBorder="0" applyAlignment="0" applyProtection="0"/>
    <x:xf numFmtId="181" fontId="2" fillId="0" borderId="0" applyFont="0" applyFill="0" applyBorder="0" applyAlignment="0" applyProtection="0"/>
    <x:xf numFmtId="184" fontId="6" fillId="0" borderId="0" applyFont="0" applyFill="0" applyBorder="0" applyAlignment="0" applyProtection="0">
      <x:alignment vertical="center"/>
    </x:xf>
    <x:xf numFmtId="0" fontId="69" fillId="21" borderId="39" applyNumberFormat="0" applyAlignment="0" applyProtection="0">
      <x:alignment vertical="top" wrapText="1"/>
    </x:xf>
    <x:xf numFmtId="187" fontId="70" fillId="21" borderId="40" applyAlignment="0" applyProtection="0">
      <x:alignment vertical="top" wrapText="1"/>
    </x:xf>
  </x:cellStyleXfs>
  <x:cellXfs count="326">
    <x:xf numFmtId="0" fontId="0" fillId="0" borderId="0" xfId="0">
      <x:alignment vertical="center"/>
    </x:xf>
    <x:xf numFmtId="0" fontId="0" fillId="0" borderId="0" xfId="0" applyAlignment="1">
      <x:alignment horizontal="left" vertical="center"/>
    </x:xf>
    <x:xf numFmtId="0" fontId="0" fillId="0" borderId="0" xfId="0" applyAlignment="1">
      <x:alignment horizontal="left" vertical="center"/>
    </x:xf>
    <x:xf numFmtId="165" fontId="0" fillId="0" borderId="0" xfId="0" applyNumberFormat="1">
      <x:alignment vertical="center"/>
    </x:xf>
    <x:xf numFmtId="0" fontId="0" fillId="0" borderId="0" xfId="0" applyAlignment="1"/>
    <x:xf numFmtId="0" fontId="6" fillId="0" borderId="0" xfId="1">
      <x:alignment horizontal="center" vertical="center" wrapText="1"/>
    </x:xf>
    <x:xf numFmtId="0" fontId="0" fillId="0" borderId="4" xfId="0" applyBorder="1" applyAlignment="1">
      <x:alignment vertical="center" wrapText="1"/>
    </x:xf>
    <x:xf numFmtId="0" fontId="0" fillId="0" borderId="5" xfId="0" applyBorder="1" applyAlignment="1">
      <x:alignment vertical="center" wrapText="1"/>
    </x:xf>
    <x:xf numFmtId="0" fontId="0" fillId="0" borderId="6" xfId="0" applyBorder="1" applyAlignment="1">
      <x:alignment vertical="center" wrapText="1"/>
    </x:xf>
    <x:xf numFmtId="0" fontId="0" fillId="0" borderId="7" xfId="0" applyBorder="1" applyAlignment="1">
      <x:alignment vertical="center" wrapText="1"/>
    </x:xf>
    <x:xf numFmtId="0" fontId="0" fillId="0" borderId="8" xfId="0" applyBorder="1" applyAlignment="1">
      <x:alignment vertical="center" wrapText="1"/>
    </x:xf>
    <x:xf numFmtId="0" fontId="0" fillId="0" borderId="9" xfId="0" applyBorder="1" applyAlignment="1">
      <x:alignment vertical="center" wrapText="1"/>
    </x:xf>
    <x:xf numFmtId="0" fontId="13" fillId="0" borderId="0" xfId="1" applyFont="1">
      <x:alignment horizontal="center" vertical="center" wrapText="1"/>
    </x:xf>
    <x:xf numFmtId="0" fontId="0" fillId="0" borderId="0" xfId="0" applyAlignment="1">
      <x:alignment vertical="center" wrapText="1"/>
    </x:xf>
    <x:xf numFmtId="0" fontId="14" fillId="0" borderId="4" xfId="0" applyFont="1" applyBorder="1" applyAlignment="1">
      <x:alignment vertical="center" wrapText="1"/>
    </x:xf>
    <x:xf numFmtId="0" fontId="14" fillId="0" borderId="0" xfId="0" applyFont="1">
      <x:alignment vertical="center"/>
    </x:xf>
    <x:xf numFmtId="0" fontId="14" fillId="0" borderId="4" xfId="0" applyFont="1" applyBorder="1">
      <x:alignment vertical="center"/>
    </x:xf>
    <x:xf numFmtId="0" fontId="14" fillId="0" borderId="0" xfId="0" applyFont="1" applyAlignment="1">
      <x:alignment vertical="center" wrapText="1"/>
    </x:xf>
    <x:xf numFmtId="0" fontId="0" fillId="0" borderId="0" xfId="1" applyFont="1">
      <x:alignment horizontal="center" vertical="center" wrapText="1"/>
    </x:xf>
    <x:xf numFmtId="0" fontId="9" fillId="5" borderId="2" xfId="1" applyFont="1" applyFill="1" applyBorder="1">
      <x:alignment horizontal="center" vertical="center" wrapText="1"/>
    </x:xf>
    <x:xf numFmtId="165" fontId="0" fillId="0" borderId="0" xfId="1" applyNumberFormat="1" applyFont="1">
      <x:alignment horizontal="center" vertical="center" wrapText="1"/>
    </x:xf>
    <x:xf numFmtId="2" fontId="0" fillId="0" borderId="0" xfId="1" applyNumberFormat="1" applyFont="1">
      <x:alignment horizontal="center" vertical="center" wrapText="1"/>
    </x:xf>
    <x:xf numFmtId="2" fontId="0" fillId="0" borderId="0" xfId="0" applyNumberFormat="1">
      <x:alignment vertical="center"/>
    </x:xf>
    <x:xf numFmtId="0" fontId="17" fillId="0" borderId="0" xfId="0" applyFont="1" applyAlignment="1"/>
    <x:xf numFmtId="0" fontId="13" fillId="0" borderId="0" xfId="0" applyFont="1">
      <x:alignment vertical="center"/>
    </x:xf>
    <x:xf numFmtId="172" fontId="0" fillId="0" borderId="0" xfId="11" applyFont="1" applyAlignment="1">
      <x:alignment vertical="center"/>
    </x:xf>
    <x:xf numFmtId="49" fontId="0" fillId="0" borderId="0" xfId="0" applyNumberFormat="1">
      <x:alignment vertical="center"/>
    </x:xf>
    <x:xf numFmtId="0" fontId="19" fillId="8" borderId="4" xfId="0" applyFont="1" applyFill="1" applyBorder="1" applyAlignment="1">
      <x:alignment horizontal="center" vertical="center" wrapText="1"/>
    </x:xf>
    <x:xf numFmtId="0" fontId="14" fillId="3" borderId="4" xfId="0" applyFont="1" applyFill="1" applyBorder="1">
      <x:alignment vertical="center"/>
    </x:xf>
    <x:xf numFmtId="0" fontId="23" fillId="9" borderId="4" xfId="0" applyFont="1" applyFill="1" applyBorder="1" applyAlignment="1">
      <x:alignment vertical="center" wrapText="1"/>
    </x:xf>
    <x:xf numFmtId="0" fontId="24" fillId="9" borderId="4" xfId="0" applyFont="1" applyFill="1" applyBorder="1" applyAlignment="1">
      <x:alignment vertical="center" wrapText="1"/>
    </x:xf>
    <x:xf numFmtId="0" fontId="25" fillId="9" borderId="0" xfId="0" applyFont="1" applyFill="1" applyAlignment="1"/>
    <x:xf numFmtId="0" fontId="0" fillId="3" borderId="0" xfId="0" applyFill="1" applyAlignment="1"/>
    <x:xf numFmtId="0" fontId="19" fillId="3" borderId="4" xfId="0" applyFont="1" applyFill="1" applyBorder="1" applyAlignment="1">
      <x:alignment vertical="center" wrapText="1"/>
    </x:xf>
    <x:xf numFmtId="0" fontId="14" fillId="3" borderId="4" xfId="0" applyFont="1" applyFill="1" applyBorder="1" applyAlignment="1">
      <x:alignment vertical="center" wrapText="1"/>
    </x:xf>
    <x:xf numFmtId="0" fontId="14" fillId="10" borderId="0" xfId="0" applyFont="1" applyFill="1" applyAlignment="1">
      <x:alignment vertical="center" wrapText="1"/>
    </x:xf>
    <x:xf numFmtId="0" fontId="19" fillId="10" borderId="4" xfId="0" applyFont="1" applyFill="1" applyBorder="1" applyAlignment="1">
      <x:alignment vertical="center" wrapText="1"/>
    </x:xf>
    <x:xf numFmtId="0" fontId="14" fillId="10" borderId="4" xfId="0" applyFont="1" applyFill="1" applyBorder="1" applyAlignment="1">
      <x:alignment vertical="center" wrapText="1"/>
    </x:xf>
    <x:xf numFmtId="0" fontId="0" fillId="10" borderId="0" xfId="0" applyFill="1" applyAlignment="1"/>
    <x:xf numFmtId="0" fontId="29" fillId="9" borderId="0" xfId="0" applyFont="1" applyFill="1">
      <x:alignment vertical="center"/>
    </x:xf>
    <x:xf numFmtId="0" fontId="0" fillId="10" borderId="0" xfId="0" applyFill="1" applyAlignment="1">
      <x:alignment vertical="center" wrapText="1"/>
    </x:xf>
    <x:xf numFmtId="0" fontId="13" fillId="11" borderId="0" xfId="0" applyFont="1" applyFill="1" applyAlignment="1"/>
    <x:xf numFmtId="0" fontId="17" fillId="0" borderId="0" xfId="1" applyFont="1">
      <x:alignment horizontal="center" vertical="center" wrapText="1"/>
    </x:xf>
    <x:xf numFmtId="0" fontId="32" fillId="0" borderId="0" xfId="0" applyFont="1">
      <x:alignment vertical="center"/>
    </x:xf>
    <x:xf numFmtId="0" fontId="21" fillId="0" borderId="0" xfId="0" applyFont="1">
      <x:alignment vertical="center"/>
    </x:xf>
    <x:xf numFmtId="0" fontId="17" fillId="0" borderId="0" xfId="0" applyFont="1">
      <x:alignment vertical="center"/>
    </x:xf>
    <x:xf numFmtId="0" fontId="15" fillId="0" borderId="0" xfId="0" applyFont="1" applyAlignment="1"/>
    <x:xf numFmtId="0" fontId="0" fillId="0" borderId="0" xfId="0" applyAlignment="1">
      <x:alignment horizontal="right" vertical="center"/>
    </x:xf>
    <x:xf numFmtId="0" fontId="33" fillId="0" borderId="0" xfId="0" applyFont="1">
      <x:alignment vertical="center"/>
    </x:xf>
    <x:xf numFmtId="0" fontId="17" fillId="3" borderId="0" xfId="0" applyFont="1" applyFill="1">
      <x:alignment vertical="center"/>
    </x:xf>
    <x:xf numFmtId="0" fontId="33" fillId="3" borderId="0" xfId="0" applyFont="1" applyFill="1">
      <x:alignment vertical="center"/>
    </x:xf>
    <x:xf numFmtId="0" fontId="0" fillId="9" borderId="0" xfId="0" applyFill="1" applyAlignment="1"/>
    <x:xf numFmtId="0" fontId="14" fillId="9" borderId="0" xfId="0" applyFont="1" applyFill="1" applyAlignment="1">
      <x:alignment vertical="center" wrapText="1"/>
    </x:xf>
    <x:xf numFmtId="0" fontId="14" fillId="9" borderId="4" xfId="0" applyFont="1" applyFill="1" applyBorder="1" applyAlignment="1">
      <x:alignment vertical="center" wrapText="1"/>
    </x:xf>
    <x:xf numFmtId="0" fontId="0" fillId="9" borderId="0" xfId="0" applyFill="1">
      <x:alignment vertical="center"/>
    </x:xf>
    <x:xf numFmtId="0" fontId="0" fillId="2" borderId="0" xfId="0" applyFill="1">
      <x:alignment vertical="center"/>
    </x:xf>
    <x:xf numFmtId="0" fontId="0" fillId="2" borderId="0" xfId="0" applyFill="1" applyAlignment="1">
      <x:alignment vertical="center" wrapText="1"/>
    </x:xf>
    <x:xf numFmtId="0" fontId="19" fillId="0" borderId="4" xfId="0" applyFont="1" applyBorder="1" applyAlignment="1">
      <x:alignment vertical="center" wrapText="1"/>
    </x:xf>
    <x:xf numFmtId="0" fontId="40" fillId="0" borderId="11" xfId="0" applyFont="1" applyBorder="1" applyAlignment="1">
      <x:alignment vertical="top" wrapText="1"/>
    </x:xf>
    <x:xf numFmtId="0" fontId="40" fillId="0" borderId="0" xfId="0" applyFont="1" applyAlignment="1">
      <x:alignment vertical="top" wrapText="1"/>
    </x:xf>
    <x:xf numFmtId="0" fontId="19" fillId="0" borderId="0" xfId="0" applyFont="1" applyAlignment="1">
      <x:alignment vertical="center" wrapText="1"/>
    </x:xf>
    <x:xf numFmtId="0" fontId="41" fillId="0" borderId="11" xfId="0" applyFont="1" applyBorder="1" applyAlignment="1">
      <x:alignment horizontal="right" vertical="top" wrapText="1"/>
    </x:xf>
    <x:xf numFmtId="0" fontId="41" fillId="0" borderId="0" xfId="0" applyFont="1" applyAlignment="1">
      <x:alignment horizontal="right" vertical="top" wrapText="1"/>
    </x:xf>
    <x:xf numFmtId="0" fontId="0" fillId="3" borderId="0" xfId="0" applyFill="1">
      <x:alignment vertical="center"/>
    </x:xf>
    <x:xf numFmtId="0" fontId="15" fillId="0" borderId="0" xfId="0" applyFont="1" applyAlignment="1">
      <x:alignment horizontal="left" vertical="center" wrapText="1"/>
    </x:xf>
    <x:xf numFmtId="175" fontId="13" fillId="0" borderId="0" xfId="14" applyFont="1" applyAlignment="1">
      <x:alignment vertical="center"/>
    </x:xf>
    <x:xf numFmtId="175" fontId="0" fillId="0" borderId="0" xfId="14" applyFont="1" applyAlignment="1">
      <x:alignment vertical="center"/>
    </x:xf>
    <x:xf numFmtId="0" fontId="6" fillId="0" borderId="0" xfId="1" applyFont="1">
      <x:alignment horizontal="center" vertical="center" wrapText="1"/>
    </x:xf>
    <x:xf numFmtId="175" fontId="0" fillId="0" borderId="0" xfId="0" applyNumberFormat="1">
      <x:alignment vertical="center"/>
    </x:xf>
    <x:xf numFmtId="172" fontId="13" fillId="0" borderId="0" xfId="11" applyFont="1" applyAlignment="1">
      <x:alignment vertical="center"/>
    </x:xf>
    <x:xf numFmtId="0" fontId="0" fillId="14" borderId="12" xfId="0" applyFill="1" applyBorder="1" applyAlignment="1">
      <x:alignment vertical="center" wrapText="1"/>
    </x:xf>
    <x:xf numFmtId="0" fontId="0" fillId="15" borderId="12" xfId="0" applyFill="1" applyBorder="1" applyAlignment="1">
      <x:alignment vertical="center" wrapText="1"/>
    </x:xf>
    <x:xf numFmtId="0" fontId="0" fillId="13" borderId="12" xfId="0" applyFill="1" applyBorder="1" applyAlignment="1">
      <x:alignment vertical="center" wrapText="1"/>
    </x:xf>
    <x:xf numFmtId="0" fontId="9" fillId="5" borderId="14" xfId="1" applyFont="1" applyFill="1" applyBorder="1">
      <x:alignment horizontal="center" vertical="center" wrapText="1"/>
    </x:xf>
    <x:xf numFmtId="0" fontId="9" fillId="5" borderId="15" xfId="1" applyFont="1" applyFill="1" applyBorder="1">
      <x:alignment horizontal="center" vertical="center" wrapText="1"/>
    </x:xf>
    <x:xf numFmtId="0" fontId="0" fillId="12" borderId="12" xfId="0" applyFill="1" applyBorder="1">
      <x:alignment vertical="center"/>
    </x:xf>
    <x:xf numFmtId="0" fontId="0" fillId="12" borderId="16" xfId="0" applyFill="1" applyBorder="1">
      <x:alignment vertical="center"/>
    </x:xf>
    <x:xf numFmtId="0" fontId="0" fillId="6" borderId="12" xfId="0" applyFill="1" applyBorder="1">
      <x:alignment vertical="center"/>
    </x:xf>
    <x:xf numFmtId="0" fontId="0" fillId="6" borderId="16" xfId="0" applyFill="1" applyBorder="1">
      <x:alignment vertical="center"/>
    </x:xf>
    <x:xf numFmtId="0" fontId="0" fillId="6" borderId="18" xfId="0" applyFill="1" applyBorder="1">
      <x:alignment vertical="center"/>
    </x:xf>
    <x:xf numFmtId="0" fontId="0" fillId="6" borderId="17" xfId="0" applyFill="1" applyBorder="1">
      <x:alignment vertical="center"/>
    </x:xf>
    <x:xf numFmtId="0" fontId="0" fillId="9" borderId="13" xfId="0" applyFill="1" applyBorder="1">
      <x:alignment vertical="center"/>
    </x:xf>
    <x:xf numFmtId="0" fontId="15" fillId="9" borderId="0" xfId="0" applyFont="1" applyFill="1" applyAlignment="1">
      <x:alignment vertical="center" wrapText="1"/>
    </x:xf>
    <x:xf numFmtId="175" fontId="33" fillId="0" borderId="0" xfId="14" applyFont="1" applyAlignment="1">
      <x:alignment vertical="center"/>
    </x:xf>
    <x:xf numFmtId="0" fontId="38" fillId="0" borderId="0" xfId="0" applyFont="1">
      <x:alignment vertical="center"/>
    </x:xf>
    <x:xf numFmtId="0" fontId="15" fillId="3" borderId="0" xfId="1" applyFont="1" applyFill="1">
      <x:alignment horizontal="center" vertical="center" wrapText="1"/>
    </x:xf>
    <x:xf numFmtId="175" fontId="13" fillId="2" borderId="0" xfId="0" applyNumberFormat="1" applyFont="1" applyFill="1">
      <x:alignment vertical="center"/>
    </x:xf>
    <x:xf numFmtId="49" fontId="13" fillId="0" borderId="0" xfId="0" applyNumberFormat="1" applyFont="1">
      <x:alignment vertical="center"/>
    </x:xf>
    <x:xf numFmtId="175" fontId="13" fillId="0" borderId="0" xfId="0" applyNumberFormat="1" applyFont="1">
      <x:alignment vertical="center"/>
    </x:xf>
    <x:xf numFmtId="175" fontId="13" fillId="0" borderId="0" xfId="14" applyFont="1" applyFill="1" applyBorder="1" applyAlignment="1">
      <x:alignment vertical="center"/>
    </x:xf>
    <x:xf numFmtId="175" fontId="13" fillId="0" borderId="0" xfId="14" applyFont="1" applyFill="1" applyAlignment="1">
      <x:alignment vertical="center"/>
    </x:xf>
    <x:xf numFmtId="0" fontId="48" fillId="15" borderId="0" xfId="1" applyFont="1" applyFill="1">
      <x:alignment horizontal="center" vertical="center" wrapText="1"/>
    </x:xf>
    <x:xf numFmtId="0" fontId="48" fillId="15" borderId="0" xfId="1" applyFont="1" applyFill="1">
      <x:alignment horizontal="center" vertical="center" wrapText="1"/>
    </x:xf>
    <x:xf numFmtId="0" fontId="0" fillId="0" borderId="0" xfId="0">
      <x:alignment vertical="center"/>
    </x:xf>
    <x:xf numFmtId="0" fontId="0" fillId="0" borderId="5" xfId="0" applyBorder="1" applyAlignment="1">
      <x:alignment vertical="center" wrapText="1"/>
    </x:xf>
    <x:xf numFmtId="0" fontId="15" fillId="16" borderId="0" xfId="1" applyFont="1" applyFill="1">
      <x:alignment horizontal="center" vertical="center" wrapText="1"/>
    </x:xf>
    <x:xf numFmtId="172" fontId="0" fillId="0" borderId="0" xfId="0" applyNumberFormat="1">
      <x:alignment vertical="center"/>
    </x:xf>
    <x:xf numFmtId="176" fontId="0" fillId="0" borderId="0" xfId="14" applyNumberFormat="1" applyFont="1" applyAlignment="1">
      <x:alignment vertical="center"/>
    </x:xf>
    <x:xf numFmtId="10" fontId="48" fillId="0" borderId="0" xfId="0" applyNumberFormat="1" applyFont="1">
      <x:alignment vertical="center"/>
    </x:xf>
    <x:xf numFmtId="164" fontId="0" fillId="0" borderId="0" xfId="0" applyNumberFormat="1">
      <x:alignment vertical="center"/>
    </x:xf>
    <x:xf numFmtId="0" fontId="0" fillId="0" borderId="24" xfId="0" applyBorder="1">
      <x:alignment vertical="center"/>
    </x:xf>
    <x:xf numFmtId="0" fontId="13" fillId="0" borderId="0" xfId="0" applyFont="1" applyAlignment="1">
      <x:alignment horizontal="left" vertical="center"/>
    </x:xf>
    <x:xf numFmtId="17" fontId="0" fillId="0" borderId="0" xfId="0" applyNumberFormat="1">
      <x:alignment vertical="center"/>
    </x:xf>
    <x:xf numFmtId="171" fontId="0" fillId="0" borderId="0" xfId="10" applyFont="1" applyAlignment="1">
      <x:alignment vertical="center"/>
    </x:xf>
    <x:xf numFmtId="177" fontId="0" fillId="0" borderId="0" xfId="10" applyNumberFormat="1" applyFont="1" applyAlignment="1">
      <x:alignment vertical="center"/>
    </x:xf>
    <x:xf numFmtId="172" fontId="32" fillId="0" borderId="0" xfId="11" applyFont="1" applyAlignment="1">
      <x:alignment vertical="center"/>
    </x:xf>
    <x:xf numFmtId="0" fontId="0" fillId="17" borderId="0" xfId="0" applyFill="1">
      <x:alignment vertical="center"/>
    </x:xf>
    <x:xf numFmtId="175" fontId="48" fillId="0" borderId="0" xfId="14" applyFont="1" applyAlignment="1">
      <x:alignment vertical="center"/>
    </x:xf>
    <x:xf numFmtId="172" fontId="48" fillId="0" borderId="0" xfId="11" applyFont="1" applyAlignment="1">
      <x:alignment vertical="center"/>
    </x:xf>
    <x:xf numFmtId="172" fontId="13" fillId="0" borderId="22" xfId="11" applyFont="1" applyBorder="1" applyAlignment="1">
      <x:alignment vertical="center"/>
    </x:xf>
    <x:xf numFmtId="0" fontId="0" fillId="0" borderId="0" xfId="10" applyNumberFormat="1" applyFont="1" applyAlignment="1">
      <x:alignment vertical="center"/>
    </x:xf>
    <x:xf numFmtId="171" fontId="0" fillId="0" borderId="0" xfId="11" applyNumberFormat="1" applyFont="1" applyAlignment="1">
      <x:alignment vertical="center"/>
    </x:xf>
    <x:xf numFmtId="171" fontId="0" fillId="0" borderId="0" xfId="0" applyNumberFormat="1">
      <x:alignment vertical="center"/>
    </x:xf>
    <x:xf numFmtId="178" fontId="0" fillId="0" borderId="0" xfId="14" applyNumberFormat="1" applyFont="1" applyAlignment="1">
      <x:alignment vertical="center"/>
    </x:xf>
    <x:xf numFmtId="172" fontId="0" fillId="16" borderId="0" xfId="11" applyFont="1" applyFill="1" applyAlignment="1">
      <x:alignment vertical="center"/>
    </x:xf>
    <x:xf numFmtId="172" fontId="0" fillId="0" borderId="0" xfId="11" applyFont="1" applyAlignment="1">
      <x:alignment horizontal="left" vertical="center"/>
    </x:xf>
    <x:xf numFmtId="172" fontId="0" fillId="0" borderId="0" xfId="11" applyFont="1" applyAlignment="1">
      <x:alignment horizontal="right" vertical="center"/>
    </x:xf>
    <x:xf numFmtId="0" fontId="9" fillId="18" borderId="23" xfId="1" applyFont="1" applyFill="1" applyBorder="1">
      <x:alignment horizontal="center" vertical="center" wrapText="1"/>
    </x:xf>
    <x:xf numFmtId="0" fontId="9" fillId="18" borderId="24" xfId="1" applyFont="1" applyFill="1" applyBorder="1">
      <x:alignment horizontal="center" vertical="center" wrapText="1"/>
    </x:xf>
    <x:xf numFmtId="0" fontId="6" fillId="18" borderId="0" xfId="1" applyFill="1">
      <x:alignment horizontal="center" vertical="center" wrapText="1"/>
    </x:xf>
    <x:xf numFmtId="172" fontId="18" fillId="0" borderId="0" xfId="11" applyFont="1" applyAlignment="1">
      <x:alignment vertical="center"/>
    </x:xf>
    <x:xf numFmtId="172" fontId="46" fillId="19" borderId="0" xfId="11" applyFont="1" applyFill="1" applyAlignment="1">
      <x:alignment vertical="center"/>
    </x:xf>
    <x:xf numFmtId="172" fontId="49" fillId="14" borderId="0" xfId="11" applyFont="1" applyFill="1" applyAlignment="1">
      <x:alignment horizontal="right" vertical="center"/>
    </x:xf>
    <x:xf numFmtId="172" fontId="18" fillId="0" borderId="0" xfId="11" applyFont="1" applyAlignment="1">
      <x:alignment horizontal="right" vertical="center"/>
    </x:xf>
    <x:xf numFmtId="172" fontId="18" fillId="19" borderId="0" xfId="11" applyFont="1" applyFill="1" applyAlignment="1">
      <x:alignment vertical="center"/>
    </x:xf>
    <x:xf numFmtId="172" fontId="18" fillId="14" borderId="0" xfId="11" applyFont="1" applyFill="1" applyAlignment="1">
      <x:alignment vertical="center"/>
    </x:xf>
    <x:xf numFmtId="172" fontId="49" fillId="14" borderId="0" xfId="11" applyFont="1" applyFill="1" applyAlignment="1">
      <x:alignment vertical="center"/>
    </x:xf>
    <x:xf numFmtId="172" fontId="18" fillId="19" borderId="0" xfId="11" applyFont="1" applyFill="1" applyAlignment="1">
      <x:alignment horizontal="right" vertical="center"/>
    </x:xf>
    <x:xf numFmtId="172" fontId="18" fillId="19" borderId="0" xfId="11" applyFont="1" applyFill="1" applyAlignment="1">
      <x:alignment horizontal="left" vertical="center"/>
    </x:xf>
    <x:xf numFmtId="0" fontId="46" fillId="0" borderId="0" xfId="0" applyFont="1">
      <x:alignment vertical="center"/>
    </x:xf>
    <x:xf numFmtId="179" fontId="32" fillId="0" borderId="0" xfId="0" applyNumberFormat="1" applyFont="1">
      <x:alignment vertical="center"/>
    </x:xf>
    <x:xf numFmtId="172" fontId="46" fillId="0" borderId="0" xfId="11" applyFont="1" applyFill="1" applyAlignment="1">
      <x:alignment vertical="center"/>
    </x:xf>
    <x:xf numFmtId="172" fontId="49" fillId="0" borderId="0" xfId="11" applyFont="1" applyFill="1" applyAlignment="1">
      <x:alignment horizontal="right" vertical="center"/>
    </x:xf>
    <x:xf numFmtId="172" fontId="18" fillId="19" borderId="0" xfId="11" applyFont="1" applyFill="1" applyAlignment="1">
      <x:alignment horizontal="centerContinuous" vertical="center"/>
    </x:xf>
    <x:xf numFmtId="172" fontId="46" fillId="19" borderId="0" xfId="11" applyFont="1" applyFill="1" applyAlignment="1">
      <x:alignment horizontal="centerContinuous" vertical="center"/>
    </x:xf>
    <x:xf numFmtId="172" fontId="18" fillId="14" borderId="0" xfId="11" applyFont="1" applyFill="1" applyAlignment="1">
      <x:alignment horizontal="centerContinuous" vertical="center"/>
    </x:xf>
    <x:xf numFmtId="172" fontId="49" fillId="14" borderId="0" xfId="11" applyFont="1" applyFill="1" applyAlignment="1">
      <x:alignment horizontal="centerContinuous" vertical="center"/>
    </x:xf>
    <x:xf numFmtId="9" fontId="15" fillId="0" borderId="0" xfId="0" applyNumberFormat="1" applyFont="1">
      <x:alignment vertical="center"/>
    </x:xf>
    <x:xf numFmtId="172" fontId="15" fillId="0" borderId="0" xfId="11" applyFont="1" applyAlignment="1">
      <x:alignment vertical="center"/>
    </x:xf>
    <x:xf numFmtId="172" fontId="0" fillId="0" borderId="24" xfId="11" applyFont="1" applyBorder="1" applyAlignment="1">
      <x:alignment vertical="center"/>
    </x:xf>
    <x:xf numFmtId="0" fontId="13" fillId="0" borderId="19" xfId="0" applyFont="1" applyBorder="1" applyAlignment="1">
      <x:alignment horizontal="right" vertical="center"/>
    </x:xf>
    <x:xf numFmtId="0" fontId="13" fillId="0" borderId="20" xfId="0" applyFont="1" applyBorder="1" applyAlignment="1">
      <x:alignment horizontal="right" vertical="center"/>
    </x:xf>
    <x:xf numFmtId="0" fontId="13" fillId="0" borderId="21" xfId="0" applyFont="1" applyBorder="1" applyAlignment="1">
      <x:alignment horizontal="right" vertical="center"/>
    </x:xf>
    <x:xf numFmtId="172" fontId="0" fillId="0" borderId="0" xfId="11" applyFont="1" applyAlignment="1">
      <x:alignment horizontal="left" vertical="center"/>
    </x:xf>
    <x:xf numFmtId="172" fontId="13" fillId="0" borderId="19" xfId="11" applyFont="1" applyBorder="1" applyAlignment="1">
      <x:alignment horizontal="centerContinuous" vertical="center" wrapText="1"/>
    </x:xf>
    <x:xf numFmtId="172" fontId="0" fillId="0" borderId="20" xfId="11" applyFont="1" applyBorder="1" applyAlignment="1">
      <x:alignment horizontal="centerContinuous" vertical="center" wrapText="1"/>
    </x:xf>
    <x:xf numFmtId="172" fontId="0" fillId="0" borderId="21" xfId="11" applyFont="1" applyBorder="1" applyAlignment="1">
      <x:alignment horizontal="centerContinuous" vertical="center" wrapText="1"/>
    </x:xf>
    <x:xf numFmtId="10" fontId="15" fillId="0" borderId="0" xfId="0" applyNumberFormat="1" applyFont="1">
      <x:alignment vertical="center"/>
    </x:xf>
    <x:xf numFmtId="0" fontId="14" fillId="2" borderId="0" xfId="0" applyFont="1" applyFill="1" applyAlignment="1">
      <x:alignment vertical="center" wrapText="1"/>
    </x:xf>
    <x:xf numFmtId="0" fontId="14" fillId="2" borderId="0" xfId="0" applyFont="1" applyFill="1">
      <x:alignment vertical="center"/>
    </x:xf>
    <x:xf numFmtId="0" fontId="53" fillId="0" borderId="25" xfId="2" applyFont="1" applyBorder="1">
      <x:alignment horizontal="centerContinuous" vertical="center" wrapText="1"/>
    </x:xf>
    <x:xf numFmtId="0" fontId="53" fillId="0" borderId="22" xfId="2" applyFont="1" applyBorder="1">
      <x:alignment horizontal="centerContinuous" vertical="center" wrapText="1"/>
    </x:xf>
    <x:xf numFmtId="0" fontId="53" fillId="0" borderId="26" xfId="2" applyFont="1" applyBorder="1">
      <x:alignment horizontal="centerContinuous" vertical="center" wrapText="1"/>
    </x:xf>
    <x:xf numFmtId="0" fontId="0" fillId="0" borderId="27" xfId="1" applyFont="1" applyBorder="1">
      <x:alignment horizontal="center" vertical="center" wrapText="1"/>
    </x:xf>
    <x:xf numFmtId="0" fontId="0" fillId="0" borderId="0" xfId="1" applyFont="1" applyBorder="1">
      <x:alignment horizontal="center" vertical="center" wrapText="1"/>
    </x:xf>
    <x:xf numFmtId="0" fontId="0" fillId="0" borderId="28" xfId="1" applyFont="1" applyBorder="1">
      <x:alignment horizontal="center" vertical="center" wrapText="1"/>
    </x:xf>
    <x:xf numFmtId="0" fontId="0" fillId="0" borderId="27" xfId="0" applyBorder="1">
      <x:alignment vertical="center"/>
    </x:xf>
    <x:xf numFmtId="0" fontId="0" fillId="0" borderId="28" xfId="0" applyBorder="1">
      <x:alignment vertical="center"/>
    </x:xf>
    <x:xf numFmtId="0" fontId="0" fillId="0" borderId="29" xfId="0" applyBorder="1">
      <x:alignment vertical="center"/>
    </x:xf>
    <x:xf numFmtId="0" fontId="0" fillId="0" borderId="30" xfId="0" applyBorder="1">
      <x:alignment vertical="center"/>
    </x:xf>
    <x:xf numFmtId="0" fontId="0" fillId="0" borderId="31" xfId="0" applyBorder="1">
      <x:alignment vertical="center"/>
    </x:xf>
    <x:xf numFmtId="0" fontId="53" fillId="0" borderId="0" xfId="0" applyFont="1">
      <x:alignment vertical="center"/>
    </x:xf>
    <x:xf numFmtId="0" fontId="13" fillId="0" borderId="22" xfId="0" applyFont="1" applyBorder="1">
      <x:alignment vertical="center"/>
    </x:xf>
    <x:xf numFmtId="0" fontId="21" fillId="0" borderId="0" xfId="1" applyFont="1">
      <x:alignment horizontal="center" vertical="center" wrapText="1"/>
    </x:xf>
    <x:xf numFmtId="175" fontId="6" fillId="0" borderId="0" xfId="14" applyFont="1" applyAlignment="1">
      <x:alignment vertical="center"/>
    </x:xf>
    <x:xf numFmtId="0" fontId="15" fillId="0" borderId="0" xfId="0" applyFont="1" applyAlignment="1">
      <x:alignment vertical="center" wrapText="1"/>
    </x:xf>
    <x:xf numFmtId="0" fontId="7" fillId="9" borderId="0" xfId="0" applyFont="1" applyFill="1" applyAlignment="1">
      <x:alignment vertical="center" wrapText="1"/>
    </x:xf>
    <x:xf numFmtId="0" fontId="42" fillId="0" borderId="0" xfId="0" applyFont="1" applyAlignment="1">
      <x:alignment vertical="center" wrapText="1"/>
    </x:xf>
    <x:xf numFmtId="0" fontId="0" fillId="0" borderId="0" xfId="0" applyAlignment="1">
      <x:alignment horizontal="left" vertical="center" wrapText="1"/>
    </x:xf>
    <x:xf numFmtId="0" fontId="15" fillId="9" borderId="0" xfId="0" applyFont="1" applyFill="1" applyAlignment="1">
      <x:alignment horizontal="left" vertical="center" wrapText="1"/>
    </x:xf>
    <x:xf numFmtId="0" fontId="13" fillId="0" borderId="0" xfId="0" applyFont="1" applyAlignment="1">
      <x:alignment vertical="center" wrapText="1"/>
    </x:xf>
    <x:xf numFmtId="0" fontId="9" fillId="18" borderId="0" xfId="1" applyFont="1" applyFill="1" applyBorder="1">
      <x:alignment horizontal="center" vertical="center" wrapText="1"/>
    </x:xf>
    <x:xf numFmtId="172" fontId="0" fillId="0" borderId="0" xfId="11" applyFont="1" applyBorder="1" applyAlignment="1">
      <x:alignment vertical="center"/>
    </x:xf>
    <x:xf numFmtId="172" fontId="0" fillId="0" borderId="0" xfId="11" applyFont="1" applyBorder="1" applyAlignment="1">
      <x:alignment horizontal="centerContinuous" vertical="center" wrapText="1"/>
    </x:xf>
    <x:xf numFmtId="0" fontId="13" fillId="0" borderId="0" xfId="0" applyFont="1" applyAlignment="1">
      <x:alignment horizontal="right" vertical="center"/>
    </x:xf>
    <x:xf numFmtId="174" fontId="0" fillId="0" borderId="0" xfId="13" applyFont="1" applyAlignment="1">
      <x:alignment vertical="center"/>
    </x:xf>
    <x:xf numFmtId="174" fontId="0" fillId="0" borderId="0" xfId="13" applyFont="1" applyAlignment="1">
      <x:alignment horizontal="right" vertical="center"/>
    </x:xf>
    <x:xf numFmtId="9" fontId="0" fillId="0" borderId="0" xfId="0" applyNumberFormat="1">
      <x:alignment vertical="center"/>
    </x:xf>
    <x:xf numFmtId="0" fontId="9" fillId="5" borderId="0" xfId="1" applyNumberFormat="1" applyFont="1" applyFill="1" applyBorder="1">
      <x:alignment horizontal="center" vertical="center" wrapText="1"/>
    </x:xf>
    <x:xf numFmtId="15" fontId="0" fillId="0" borderId="0" xfId="0" applyNumberFormat="1">
      <x:alignment vertical="center"/>
    </x:xf>
    <x:xf numFmtId="0" fontId="15" fillId="0" borderId="0" xfId="0" applyFont="1" applyAlignment="1">
      <x:alignment horizontal="justify" vertical="center" wrapText="1"/>
    </x:xf>
    <x:xf numFmtId="0" fontId="0" fillId="0" borderId="1" xfId="0" applyBorder="1">
      <x:alignment vertical="center"/>
    </x:xf>
    <x:xf numFmtId="0" fontId="0" fillId="0" borderId="1" xfId="0" applyBorder="1" applyAlignment="1">
      <x:alignment vertical="center" wrapText="1"/>
    </x:xf>
    <x:xf numFmtId="0" fontId="0" fillId="0" borderId="2" xfId="0" applyBorder="1">
      <x:alignment vertical="center"/>
    </x:xf>
    <x:xf numFmtId="0" fontId="0" fillId="0" borderId="3" xfId="0" applyBorder="1" applyAlignment="1">
      <x:alignment vertical="center" wrapText="1"/>
    </x:xf>
    <x:xf numFmtId="0" fontId="0" fillId="0" borderId="2" xfId="0" applyBorder="1" applyAlignment="1">
      <x:alignment vertical="center" wrapText="1"/>
    </x:xf>
    <x:xf numFmtId="0" fontId="0" fillId="0" borderId="3" xfId="0" applyBorder="1">
      <x:alignment vertical="center"/>
    </x:xf>
    <x:xf numFmtId="0" fontId="15" fillId="0" borderId="1" xfId="0" applyFont="1" applyBorder="1" applyAlignment="1">
      <x:alignment horizontal="justify" vertical="center" wrapText="1"/>
    </x:xf>
    <x:xf numFmtId="0" fontId="15" fillId="0" borderId="1" xfId="0" applyFont="1" applyBorder="1">
      <x:alignment vertical="center"/>
    </x:xf>
    <x:xf numFmtId="0" fontId="15" fillId="0" borderId="1" xfId="0" applyFont="1" applyBorder="1" applyAlignment="1">
      <x:alignment vertical="center" wrapText="1"/>
    </x:xf>
    <x:xf numFmtId="0" fontId="15" fillId="0" borderId="3" xfId="0" applyFont="1" applyBorder="1" applyAlignment="1">
      <x:alignment horizontal="justify" vertical="center" wrapText="1"/>
    </x:xf>
    <x:xf numFmtId="0" fontId="40" fillId="0" borderId="11" xfId="0" applyFont="1" applyBorder="1" applyAlignment="1">
      <x:alignment horizontal="left" vertical="top" wrapText="1"/>
    </x:xf>
    <x:xf numFmtId="0" fontId="40" fillId="0" borderId="0" xfId="0" applyFont="1" applyAlignment="1">
      <x:alignment horizontal="left" vertical="top" wrapText="1"/>
    </x:xf>
    <x:xf numFmtId="0" fontId="61" fillId="5" borderId="2" xfId="1" applyFont="1" applyFill="1" applyBorder="1">
      <x:alignment horizontal="center" vertical="center" wrapText="1"/>
    </x:xf>
    <x:xf numFmtId="0" fontId="13" fillId="0" borderId="1" xfId="0" applyFont="1" applyBorder="1">
      <x:alignment vertical="center"/>
    </x:xf>
    <x:xf numFmtId="0" fontId="42" fillId="0" borderId="0" xfId="0" applyFont="1" applyAlignment="1">
      <x:alignment horizontal="justify" vertical="center" wrapText="1"/>
    </x:xf>
    <x:xf numFmtId="0" fontId="42" fillId="22" borderId="2" xfId="1" applyFont="1" applyFill="1" applyBorder="1">
      <x:alignment horizontal="center" vertical="center" wrapText="1"/>
    </x:xf>
    <x:xf numFmtId="0" fontId="0" fillId="0" borderId="6" xfId="0" applyBorder="1">
      <x:alignment vertical="center"/>
    </x:xf>
    <x:xf numFmtId="0" fontId="57" fillId="0" borderId="0" xfId="0" applyFont="1" applyAlignment="1">
      <x:alignment vertical="center" wrapText="1"/>
    </x:xf>
    <x:xf numFmtId="0" fontId="62" fillId="0" borderId="0" xfId="0" applyFont="1" applyAlignment="1">
      <x:alignment horizontal="center" vertical="center" wrapText="1"/>
    </x:xf>
    <x:xf numFmtId="0" fontId="63" fillId="0" borderId="0" xfId="0" applyFont="1" applyAlignment="1">
      <x:alignment horizontal="center" vertical="center" wrapText="1"/>
    </x:xf>
    <x:xf numFmtId="0" fontId="57" fillId="0" borderId="0" xfId="0" applyFont="1" applyAlignment="1">
      <x:alignment vertical="top" wrapText="1"/>
    </x:xf>
    <x:xf numFmtId="0" fontId="63" fillId="23" borderId="0" xfId="0" applyFont="1" applyFill="1" applyAlignment="1">
      <x:alignment horizontal="center" vertical="center" wrapText="1"/>
    </x:xf>
    <x:xf numFmtId="0" fontId="0" fillId="0" borderId="0" xfId="0" applyAlignment="1">
      <x:alignment horizontal="center" vertical="center" wrapText="1"/>
    </x:xf>
    <x:xf numFmtId="0" fontId="9" fillId="5" borderId="32" xfId="1" applyFont="1" applyFill="1" applyBorder="1">
      <x:alignment horizontal="center" vertical="center" wrapText="1"/>
    </x:xf>
    <x:xf numFmtId="184" fontId="0" fillId="0" borderId="0" xfId="34" applyFont="1" applyAlignment="1">
      <x:alignment horizontal="center" vertical="center"/>
    </x:xf>
    <x:xf numFmtId="0" fontId="58" fillId="0" borderId="0" xfId="0" applyFont="1" applyAlignment="1">
      <x:alignment horizontal="centerContinuous" vertical="center"/>
    </x:xf>
    <x:xf numFmtId="0" fontId="0" fillId="0" borderId="19" xfId="0" applyBorder="1" applyAlignment="1">
      <x:alignment horizontal="centerContinuous" vertical="center"/>
    </x:xf>
    <x:xf numFmtId="0" fontId="0" fillId="0" borderId="20" xfId="0" applyBorder="1" applyAlignment="1">
      <x:alignment horizontal="centerContinuous" vertical="center"/>
    </x:xf>
    <x:xf numFmtId="0" fontId="0" fillId="0" borderId="21" xfId="0" applyBorder="1" applyAlignment="1">
      <x:alignment horizontal="centerContinuous" vertical="center"/>
    </x:xf>
    <x:xf numFmtId="0" fontId="0" fillId="0" borderId="33" xfId="0" applyBorder="1" applyAlignment="1">
      <x:alignment horizontal="centerContinuous" vertical="center"/>
    </x:xf>
    <x:xf numFmtId="0" fontId="0" fillId="0" borderId="29" xfId="0" applyBorder="1" applyAlignment="1">
      <x:alignment horizontal="centerContinuous" vertical="center"/>
    </x:xf>
    <x:xf numFmtId="0" fontId="0" fillId="0" borderId="30" xfId="0" applyBorder="1" applyAlignment="1">
      <x:alignment horizontal="centerContinuous" vertical="center"/>
    </x:xf>
    <x:xf numFmtId="0" fontId="0" fillId="0" borderId="31" xfId="0" applyBorder="1" applyAlignment="1">
      <x:alignment horizontal="centerContinuous" vertical="center"/>
    </x:xf>
    <x:xf numFmtId="0" fontId="0" fillId="0" borderId="34" xfId="0" applyBorder="1" applyAlignment="1">
      <x:alignment horizontal="center" vertical="center"/>
    </x:xf>
    <x:xf numFmtId="0" fontId="0" fillId="0" borderId="35" xfId="0" applyBorder="1" applyAlignment="1">
      <x:alignment horizontal="center" vertical="center"/>
    </x:xf>
    <x:xf numFmtId="0" fontId="0" fillId="0" borderId="36" xfId="0" applyBorder="1" applyAlignment="1">
      <x:alignment horizontal="center" vertical="center"/>
    </x:xf>
    <x:xf numFmtId="0" fontId="43" fillId="0" borderId="0" xfId="0" applyFont="1">
      <x:alignment vertical="center"/>
    </x:xf>
    <x:xf numFmtId="0" fontId="43" fillId="0" borderId="0" xfId="0" applyFont="1" applyAlignment="1">
      <x:alignment vertical="center" wrapText="1"/>
    </x:xf>
    <x:xf numFmtId="0" fontId="43" fillId="0" borderId="0" xfId="0" applyFont="1" applyAlignment="1">
      <x:alignment horizontal="right" vertical="center" wrapText="1"/>
    </x:xf>
    <x:xf numFmtId="0" fontId="68" fillId="0" borderId="0" xfId="0" applyFont="1" applyAlignment="1">
      <x:alignment vertical="center" wrapText="1"/>
    </x:xf>
    <x:xf numFmtId="0" fontId="43" fillId="0" borderId="0" xfId="0" applyFont="1" applyAlignment="1">
      <x:alignment vertical="top" wrapText="1"/>
    </x:xf>
    <x:xf numFmtId="0" fontId="68" fillId="0" borderId="0" xfId="0" applyFont="1" applyAlignment="1">
      <x:alignment vertical="top" wrapText="1"/>
    </x:xf>
    <x:xf numFmtId="174" fontId="68" fillId="0" borderId="0" xfId="13" applyFont="1" applyBorder="1" applyAlignment="1">
      <x:alignment horizontal="right" vertical="top" wrapText="1"/>
    </x:xf>
    <x:xf numFmtId="174" fontId="43" fillId="0" borderId="0" xfId="13" applyFont="1" applyAlignment="1">
      <x:alignment vertical="center"/>
    </x:xf>
    <x:xf numFmtId="0" fontId="59" fillId="0" borderId="0" xfId="0" applyFont="1">
      <x:alignment vertical="center"/>
    </x:xf>
    <x:xf numFmtId="0" fontId="69" fillId="21" borderId="39" xfId="35" applyAlignment="1">
      <x:alignment vertical="top" wrapText="1"/>
    </x:xf>
    <x:xf numFmtId="0" fontId="69" fillId="21" borderId="39" xfId="35" applyAlignment="1">
      <x:alignment vertical="center"/>
    </x:xf>
    <x:xf numFmtId="0" fontId="55" fillId="0" borderId="0" xfId="0" applyFont="1">
      <x:alignment vertical="center"/>
    </x:xf>
    <x:xf numFmtId="0" fontId="0" fillId="0" borderId="0" xfId="0" applyAlignment="1">
      <x:alignment horizontal="center" vertical="center"/>
    </x:xf>
    <x:xf numFmtId="0" fontId="58" fillId="0" borderId="0" xfId="0" applyFont="1" applyAlignment="1">
      <x:alignment horizontal="centerContinuous" vertical="center" wrapText="1"/>
    </x:xf>
    <x:xf numFmtId="0" fontId="57" fillId="0" borderId="0" xfId="0" applyFont="1">
      <x:alignment vertical="center"/>
    </x:xf>
    <x:xf numFmtId="187" fontId="70" fillId="21" borderId="40" xfId="36" applyAlignment="1">
      <x:alignment vertical="center"/>
    </x:xf>
    <x:xf numFmtId="0" fontId="9" fillId="5" borderId="38" xfId="0" applyFont="1" applyFill="1" applyBorder="1" applyAlignment="1">
      <x:alignment horizontal="center" vertical="center"/>
    </x:xf>
    <x:xf numFmtId="0" fontId="9" fillId="5" borderId="37" xfId="0" applyFont="1" applyFill="1" applyBorder="1" applyAlignment="1">
      <x:alignment horizontal="center" vertical="center"/>
    </x:xf>
    <x:xf numFmtId="0" fontId="71" fillId="24" borderId="0" xfId="0" applyFont="1" applyFill="1">
      <x:alignment vertical="center"/>
    </x:xf>
    <x:xf numFmtId="0" fontId="69" fillId="21" borderId="39" xfId="35" applyAlignment="1">
      <x:alignment vertical="top"/>
    </x:xf>
    <x:xf numFmtId="172" fontId="0" fillId="3" borderId="0" xfId="11" applyFont="1" applyFill="1" applyAlignment="1">
      <x:alignment horizontal="center" vertical="center" wrapText="1"/>
    </x:xf>
    <x:xf numFmtId="174" fontId="6" fillId="0" borderId="0" xfId="13" applyFont="1" applyAlignment="1">
      <x:alignment vertical="center"/>
    </x:xf>
    <x:xf numFmtId="0" fontId="0" fillId="25" borderId="34" xfId="0" applyFill="1" applyBorder="1" applyAlignment="1">
      <x:alignment horizontal="center" vertical="center"/>
    </x:xf>
    <x:xf numFmtId="0" fontId="0" fillId="25" borderId="35" xfId="0" applyFill="1" applyBorder="1" applyAlignment="1">
      <x:alignment horizontal="center" vertical="center"/>
    </x:xf>
    <x:xf numFmtId="0" fontId="0" fillId="25" borderId="36" xfId="0" applyFill="1" applyBorder="1" applyAlignment="1">
      <x:alignment horizontal="center" vertical="center"/>
    </x:xf>
    <x:xf numFmtId="0" fontId="57" fillId="0" borderId="0" xfId="0" applyFont="1" applyAlignment="1">
      <x:alignment horizontal="right" vertical="center"/>
    </x:xf>
    <x:xf numFmtId="172" fontId="59" fillId="0" borderId="0" xfId="11" applyFont="1" applyBorder="1" applyAlignment="1">
      <x:alignment vertical="center" wrapText="1"/>
    </x:xf>
    <x:xf numFmtId="172" fontId="0" fillId="0" borderId="0" xfId="11" applyFont="1" applyBorder="1" applyAlignment="1">
      <x:alignment vertical="center" wrapText="1"/>
    </x:xf>
    <x:xf numFmtId="0" fontId="43" fillId="25" borderId="0" xfId="0" applyFont="1" applyFill="1" applyAlignment="1">
      <x:alignment horizontal="left" vertical="center"/>
    </x:xf>
    <x:xf numFmtId="0" fontId="43" fillId="25" borderId="0" xfId="0" applyFont="1" applyFill="1">
      <x:alignment vertical="center"/>
    </x:xf>
    <x:xf numFmtId="0" fontId="0" fillId="0" borderId="0" xfId="1" applyFont="1" applyAlignment="1">
      <x:alignment horizontal="center" vertical="center"/>
    </x:xf>
    <x:xf numFmtId="171" fontId="65" fillId="0" borderId="0" xfId="0" applyNumberFormat="1" applyFont="1">
      <x:alignment vertical="center"/>
    </x:xf>
    <x:xf numFmtId="185" fontId="65" fillId="0" borderId="0" xfId="0" applyNumberFormat="1" applyFont="1">
      <x:alignment vertical="center"/>
    </x:xf>
    <x:xf numFmtId="185" fontId="0" fillId="0" borderId="0" xfId="11" applyNumberFormat="1" applyFont="1" applyAlignment="1">
      <x:alignment vertical="center"/>
    </x:xf>
    <x:xf numFmtId="173" fontId="72" fillId="21" borderId="40" xfId="13" applyNumberFormat="1" applyFont="1" applyFill="1" applyBorder="1" applyAlignment="1">
      <x:alignment horizontal="right" vertical="top" wrapText="1"/>
    </x:xf>
    <x:xf numFmtId="186" fontId="0" fillId="0" borderId="0" xfId="12" applyFont="1" applyAlignment="1">
      <x:alignment vertical="center"/>
    </x:xf>
    <x:xf numFmtId="0" fontId="63" fillId="23" borderId="19" xfId="2" applyFont="1" applyFill="1" applyBorder="1">
      <x:alignment horizontal="centerContinuous" vertical="center" wrapText="1"/>
    </x:xf>
    <x:xf numFmtId="0" fontId="63" fillId="23" borderId="20" xfId="2" applyFont="1" applyFill="1" applyBorder="1">
      <x:alignment horizontal="centerContinuous" vertical="center" wrapText="1"/>
    </x:xf>
    <x:xf numFmtId="0" fontId="0" fillId="23" borderId="20" xfId="2" applyFont="1" applyFill="1" applyBorder="1">
      <x:alignment horizontal="centerContinuous" vertical="center" wrapText="1"/>
    </x:xf>
    <x:xf numFmtId="0" fontId="0" fillId="23" borderId="21" xfId="2" applyFont="1" applyFill="1" applyBorder="1">
      <x:alignment horizontal="centerContinuous" vertical="center" wrapText="1"/>
    </x:xf>
    <x:xf numFmtId="0" fontId="63" fillId="3" borderId="0" xfId="0" applyFont="1" applyFill="1" applyAlignment="1">
      <x:alignment horizontal="center" vertical="center" wrapText="1"/>
    </x:xf>
    <x:xf numFmtId="186" fontId="72" fillId="21" borderId="40" xfId="12" applyFont="1" applyFill="1" applyBorder="1" applyAlignment="1">
      <x:alignment horizontal="right" vertical="top" wrapText="1"/>
    </x:xf>
    <x:xf numFmtId="174" fontId="70" fillId="21" borderId="40" xfId="13" applyFont="1" applyFill="1" applyBorder="1" applyAlignment="1">
      <x:alignment vertical="center"/>
    </x:xf>
    <x:xf numFmtId="0" fontId="46" fillId="0" borderId="19" xfId="0" applyFont="1" applyBorder="1" applyAlignment="1">
      <x:alignment horizontal="centerContinuous" vertical="center"/>
    </x:xf>
    <x:xf numFmtId="0" fontId="46" fillId="0" borderId="20" xfId="0" applyFont="1" applyBorder="1" applyAlignment="1">
      <x:alignment horizontal="centerContinuous" vertical="center"/>
    </x:xf>
    <x:xf numFmtId="172" fontId="46" fillId="0" borderId="20" xfId="11" applyFont="1" applyBorder="1" applyAlignment="1">
      <x:alignment horizontal="centerContinuous" vertical="center"/>
    </x:xf>
    <x:xf numFmtId="0" fontId="46" fillId="0" borderId="21" xfId="0" applyFont="1" applyBorder="1" applyAlignment="1">
      <x:alignment horizontal="centerContinuous" vertical="center"/>
    </x:xf>
    <x:xf numFmtId="0" fontId="71" fillId="24" borderId="0" xfId="0" applyFont="1" applyFill="1" applyAlignment="1">
      <x:alignment horizontal="center" vertical="center"/>
    </x:xf>
    <x:xf numFmtId="175" fontId="42" fillId="0" borderId="0" xfId="14" applyFont="1" applyAlignment="1">
      <x:alignment vertical="center"/>
    </x:xf>
    <x:xf numFmtId="0" fontId="0" fillId="0" borderId="0" xfId="14" applyNumberFormat="1" applyFont="1" applyAlignment="1">
      <x:alignment vertical="center"/>
    </x:xf>
    <x:xf numFmtId="175" fontId="13" fillId="0" borderId="0" xfId="11" applyNumberFormat="1" applyFont="1" applyAlignment="1">
      <x:alignment vertical="center"/>
    </x:xf>
    <x:xf numFmtId="9" fontId="14" fillId="0" borderId="4" xfId="0" applyNumberFormat="1" applyFont="1" applyBorder="1" applyAlignment="1">
      <x:alignment vertical="center" wrapText="1"/>
    </x:xf>
    <x:xf numFmtId="174" fontId="74" fillId="24" borderId="40" xfId="13" applyFont="1" applyFill="1" applyBorder="1" applyAlignment="1">
      <x:alignment vertical="center"/>
    </x:xf>
    <x:xf numFmtId="0" fontId="13" fillId="0" borderId="19" xfId="2" applyFont="1" applyFill="1" applyBorder="1">
      <x:alignment horizontal="centerContinuous" vertical="center" wrapText="1"/>
    </x:xf>
    <x:xf numFmtId="172" fontId="0" fillId="0" borderId="20" xfId="2" applyNumberFormat="1" applyFont="1" applyBorder="1">
      <x:alignment horizontal="centerContinuous" vertical="center" wrapText="1"/>
    </x:xf>
    <x:xf numFmtId="172" fontId="0" fillId="0" borderId="21" xfId="2" applyNumberFormat="1" applyFont="1" applyBorder="1">
      <x:alignment horizontal="centerContinuous" vertical="center" wrapText="1"/>
    </x:xf>
    <x:xf numFmtId="174" fontId="0" fillId="0" borderId="0" xfId="0" applyNumberFormat="1">
      <x:alignment vertical="center"/>
    </x:xf>
    <x:xf numFmtId="0" fontId="15" fillId="0" borderId="0" xfId="0" applyFont="1" applyAlignment="1">
      <x:alignment vertical="center" wrapText="1"/>
    </x:xf>
    <x:xf numFmtId="165" fontId="0" fillId="0" borderId="0" xfId="0" applyNumberFormat="1" applyAlignment="1">
      <x:alignment vertical="center" wrapText="1"/>
    </x:xf>
    <x:xf numFmtId="166" fontId="0" fillId="0" borderId="0" xfId="0" applyNumberFormat="1" applyAlignment="1">
      <x:alignment vertical="center" wrapText="1"/>
    </x:xf>
    <x:xf numFmtId="0" fontId="0" fillId="9" borderId="0" xfId="0" applyFill="1" applyAlignment="1">
      <x:alignment vertical="center" wrapText="1"/>
    </x:xf>
    <x:xf numFmtId="0" fontId="8" fillId="0" borderId="0" xfId="0" applyFont="1" applyAlignment="1">
      <x:alignment vertical="center" wrapText="1"/>
    </x:xf>
    <x:xf numFmtId="165" fontId="10" fillId="0" borderId="0" xfId="0" applyNumberFormat="1" applyFont="1" applyAlignment="1">
      <x:alignment vertical="center" wrapText="1"/>
    </x:xf>
    <x:xf numFmtId="0" fontId="10" fillId="0" borderId="0" xfId="0" applyFont="1" applyAlignment="1">
      <x:alignment vertical="center" wrapText="1"/>
    </x:xf>
    <x:xf numFmtId="166" fontId="10" fillId="0" borderId="0" xfId="0" applyNumberFormat="1" applyFont="1" applyAlignment="1">
      <x:alignment vertical="center" wrapText="1"/>
    </x:xf>
    <x:xf numFmtId="172" fontId="13" fillId="0" borderId="0" xfId="11" applyFont="1" applyAlignment="1">
      <x:alignment vertical="center" wrapText="1"/>
    </x:xf>
    <x:xf numFmtId="165" fontId="46" fillId="0" borderId="0" xfId="0" applyNumberFormat="1" applyFont="1" applyAlignment="1">
      <x:alignment vertical="center" wrapText="1"/>
    </x:xf>
    <x:xf numFmtId="0" fontId="69" fillId="21" borderId="39" xfId="35" applyAlignment="1">
      <x:alignment vertical="center" wrapText="1"/>
    </x:xf>
    <x:xf numFmtId="174" fontId="69" fillId="21" borderId="39" xfId="35" applyNumberFormat="1" applyAlignment="1">
      <x:alignment vertical="center" wrapText="1"/>
    </x:xf>
    <x:xf numFmtId="171" fontId="7" fillId="20" borderId="0" xfId="18" applyAlignment="1">
      <x:alignment vertical="center" wrapText="1"/>
    </x:xf>
    <x:xf numFmtId="165" fontId="47" fillId="0" borderId="0" xfId="0" applyNumberFormat="1" applyFont="1" applyAlignment="1">
      <x:alignment vertical="center" wrapText="1"/>
    </x:xf>
    <x:xf numFmtId="166" fontId="15" fillId="0" borderId="0" xfId="0" applyNumberFormat="1" applyFont="1" applyAlignment="1">
      <x:alignment vertical="center" wrapText="1"/>
    </x:xf>
    <x:xf numFmtId="172" fontId="15" fillId="0" borderId="0" xfId="11" applyFont="1" applyAlignment="1">
      <x:alignment vertical="center" wrapText="1"/>
    </x:xf>
    <x:xf numFmtId="165" fontId="15" fillId="0" borderId="0" xfId="0" applyNumberFormat="1" applyFont="1" applyAlignment="1">
      <x:alignment vertical="center" wrapText="1"/>
    </x:xf>
    <x:xf numFmtId="0" fontId="8" fillId="0" borderId="0" xfId="0" applyFont="1" applyAlignment="1">
      <x:alignment vertical="center" wrapText="1"/>
    </x:xf>
    <x:xf numFmtId="0" fontId="34" fillId="0" borderId="0" xfId="0" applyFont="1" applyAlignment="1">
      <x:alignment vertical="center" wrapText="1"/>
    </x:xf>
    <x:xf numFmtId="172" fontId="42" fillId="0" borderId="0" xfId="11" applyFont="1" applyAlignment="1">
      <x:alignment vertical="center" wrapText="1"/>
    </x:xf>
    <x:xf numFmtId="9" fontId="0" fillId="0" borderId="0" xfId="0" applyNumberFormat="1" applyAlignment="1">
      <x:alignment vertical="center" wrapText="1"/>
    </x:xf>
    <x:xf numFmtId="172" fontId="0" fillId="0" borderId="0" xfId="11" applyFont="1" applyAlignment="1">
      <x:alignment vertical="center" wrapText="1"/>
    </x:xf>
    <x:xf numFmtId="0" fontId="11" fillId="0" borderId="0" xfId="0" applyFont="1" applyAlignment="1">
      <x:alignment vertical="center" wrapText="1"/>
    </x:xf>
    <x:xf numFmtId="0" fontId="17" fillId="0" borderId="0" xfId="0" applyFont="1" applyAlignment="1">
      <x:alignment vertical="center" wrapText="1"/>
    </x:xf>
    <x:xf numFmtId="187" fontId="70" fillId="21" borderId="40" xfId="36" applyAlignment="1">
      <x:alignment vertical="center" wrapText="1"/>
    </x:xf>
    <x:xf numFmtId="173" fontId="70" fillId="21" borderId="40" xfId="13" applyNumberFormat="1" applyFont="1" applyFill="1" applyBorder="1" applyAlignment="1">
      <x:alignment vertical="center" wrapText="1"/>
    </x:xf>
    <x:xf numFmtId="186" fontId="70" fillId="21" borderId="40" xfId="12" applyFont="1" applyFill="1" applyBorder="1" applyAlignment="1">
      <x:alignment vertical="center" wrapText="1"/>
    </x:xf>
    <x:xf numFmtId="0" fontId="69" fillId="21" borderId="39" xfId="0" applyFont="1" applyFill="1" applyBorder="1" applyAlignment="1">
      <x:alignment vertical="center" wrapText="1"/>
    </x:xf>
    <x:xf numFmtId="0" fontId="7" fillId="20" borderId="0" xfId="0" applyFont="1" applyFill="1" applyAlignment="1">
      <x:alignment vertical="center" wrapText="1"/>
    </x:xf>
    <x:xf numFmtId="172" fontId="15" fillId="0" borderId="0" xfId="11" applyFont="1" applyFill="1" applyAlignment="1">
      <x:alignment vertical="center" wrapText="1"/>
    </x:xf>
    <x:xf numFmtId="0" fontId="13" fillId="0" borderId="19" xfId="2" applyFont="1" applyBorder="1" applyAlignment="1">
      <x:alignment horizontal="center" vertical="center" wrapText="1"/>
    </x:xf>
    <x:xf numFmtId="0" fontId="13" fillId="0" borderId="20" xfId="2" applyFont="1" applyBorder="1" applyAlignment="1">
      <x:alignment horizontal="center" vertical="center" wrapText="1"/>
    </x:xf>
    <x:xf numFmtId="0" fontId="13" fillId="0" borderId="21" xfId="2" applyFont="1" applyBorder="1" applyAlignment="1">
      <x:alignment horizontal="center" vertical="center" wrapText="1"/>
    </x:xf>
    <x:xf numFmtId="173" fontId="72" fillId="21" borderId="41" xfId="13" applyNumberFormat="1" applyFont="1" applyFill="1" applyBorder="1" applyAlignment="1">
      <x:alignment vertical="center"/>
    </x:xf>
    <x:xf numFmtId="173" fontId="72" fillId="21" borderId="42" xfId="13" applyNumberFormat="1" applyFont="1" applyFill="1" applyBorder="1" applyAlignment="1">
      <x:alignment vertical="center"/>
    </x:xf>
    <x:xf numFmtId="187" fontId="71" fillId="24" borderId="40" xfId="36" applyFont="1" applyFill="1" applyAlignment="1">
      <x:alignment horizontal="center" vertical="center" wrapText="1"/>
    </x:xf>
    <x:xf numFmtId="173" fontId="71" fillId="24" borderId="41" xfId="13" applyNumberFormat="1" applyFont="1" applyFill="1" applyBorder="1" applyAlignment="1">
      <x:alignment vertical="center"/>
    </x:xf>
    <x:xf numFmtId="173" fontId="71" fillId="24" borderId="42" xfId="13" applyNumberFormat="1" applyFont="1" applyFill="1" applyBorder="1" applyAlignment="1">
      <x:alignment vertical="center"/>
    </x:xf>
    <x:xf numFmtId="0" fontId="0" fillId="2" borderId="0" xfId="0" applyFill="1" applyAlignment="1">
      <x:alignment horizontal="center" vertical="center" wrapText="1"/>
    </x:xf>
    <x:xf numFmtId="0" fontId="0" fillId="0" borderId="0" xfId="0">
      <x:alignment vertical="center"/>
    </x:xf>
    <x:xf numFmtId="175" fontId="0" fillId="0" borderId="0" xfId="14" applyFont="1" applyAlignment="1">
      <x:alignment vertical="center"/>
    </x:xf>
    <x:xf numFmtId="0" fontId="40" fillId="0" borderId="10" xfId="0" applyFont="1" applyBorder="1" applyAlignment="1">
      <x:alignment vertical="top" wrapText="1"/>
    </x:xf>
    <x:xf numFmtId="165" fontId="6" fillId="26" borderId="0" xfId="1" applyNumberFormat="1" applyFill="1" applyAlignment="1">
      <x:alignment horizontal="center" vertical="center" wrapText="1"/>
    </x:xf>
    <x:xf numFmtId="0" fontId="6" fillId="26" borderId="0" xfId="1" applyFill="1" applyAlignment="1">
      <x:alignment horizontal="center" vertical="center" wrapText="1"/>
    </x:xf>
    <x:xf numFmtId="166" fontId="6" fillId="26" borderId="0" xfId="1" applyNumberFormat="1" applyFill="1" applyAlignment="1">
      <x:alignment horizontal="center" vertical="center" wrapText="1"/>
    </x:xf>
    <x:xf numFmtId="0" fontId="0" fillId="26" borderId="0" xfId="1" applyFont="1" applyFill="1" applyAlignment="1">
      <x:alignment horizontal="center" vertical="center" wrapText="1"/>
    </x:xf>
    <x:xf numFmtId="0" fontId="15" fillId="26" borderId="0" xfId="1" applyFont="1" applyFill="1" applyAlignment="1">
      <x:alignment horizontal="center" vertical="center" wrapText="1"/>
    </x:xf>
    <x:xf numFmtId="0" fontId="7" fillId="26" borderId="0" xfId="1" applyFont="1" applyFill="1" applyAlignment="1">
      <x:alignment horizontal="center" vertical="center" wrapText="1"/>
    </x:xf>
    <x:xf numFmtId="0" fontId="13" fillId="26" borderId="0" xfId="1" applyFont="1" applyFill="1" applyAlignment="1">
      <x:alignment horizontal="center" vertical="center" wrapText="1"/>
    </x:xf>
    <x:xf numFmtId="0" fontId="42" fillId="3" borderId="0" xfId="1" applyFont="1" applyFill="1" applyAlignment="1">
      <x:alignment horizontal="center" vertical="center" wrapText="1"/>
    </x:xf>
    <x:xf numFmtId="0" fontId="15" fillId="3" borderId="0" xfId="1" applyFont="1" applyFill="1" applyAlignment="1">
      <x:alignment horizontal="center" vertical="center" wrapText="1"/>
    </x:xf>
    <x:xf numFmtId="0" fontId="6" fillId="0" borderId="0" xfId="1" applyAlignment="1">
      <x:alignment horizontal="center" vertical="center" wrapText="1"/>
    </x:xf>
  </x:cellXfs>
  <x:cellStyles count="37">
    <x:cellStyle name="Bidder" xfId="35"/>
    <x:cellStyle name="Bidder$" xfId="36"/>
    <x:cellStyle name="Cabe selección" xfId="25"/>
    <x:cellStyle name="Cabezón" xfId="1"/>
    <x:cellStyle name="Cabezón 2" xfId="26"/>
    <x:cellStyle name="Cabezón 3" xfId="27"/>
    <x:cellStyle name="Cabezoncito" xfId="2"/>
    <x:cellStyle name="Califica" xfId="18"/>
    <x:cellStyle name="Comma" xfId="10"/>
    <x:cellStyle name="Comma [0]" xfId="11"/>
    <x:cellStyle name="Currency" xfId="12"/>
    <x:cellStyle name="Currency [0]" xfId="13"/>
    <x:cellStyle name="F_ddma" xfId="3"/>
    <x:cellStyle name="F_dm" xfId="4"/>
    <x:cellStyle name="F_dma" xfId="5"/>
    <x:cellStyle name="F_dma 2" xfId="21"/>
    <x:cellStyle name="F_dma 3" xfId="31"/>
    <x:cellStyle name="F_ma" xfId="6"/>
    <x:cellStyle name="F_ma 2" xfId="24"/>
    <x:cellStyle name="F_mmm" xfId="34"/>
    <x:cellStyle name="Fh_dm hh:mm" xfId="7"/>
    <x:cellStyle name="Formulado" xfId="8"/>
    <x:cellStyle name="Millares [0] 2" xfId="22"/>
    <x:cellStyle name="Millares 2" xfId="28"/>
    <x:cellStyle name="Millares 4" xfId="32"/>
    <x:cellStyle name="Moneda [0] 2" xfId="15"/>
    <x:cellStyle name="Normal" xfId="0"/>
    <x:cellStyle name="Normal 2" xfId="19"/>
    <x:cellStyle name="Normal 3" xfId="20"/>
    <x:cellStyle name="Normal 4" xfId="16"/>
    <x:cellStyle name="Normal 5" xfId="30"/>
    <x:cellStyle name="Percent" xfId="14"/>
    <x:cellStyle name="Porcentaje 2" xfId="23"/>
    <x:cellStyle name="Porcentaje 3" xfId="33"/>
    <x:cellStyle name="Ppto_oculto" xfId="29"/>
    <x:cellStyle name="Respuesta" xfId="17"/>
    <x:cellStyle name="Sobra" xfId="9"/>
  </x:cellStyles>
  <x:dxfs count="225">
    <x:dxf/>
    <x:dxf/>
    <x:dxf/>
    <x:dxf>
      <x:font>
        <x:u val="none"/>
        <x:sz val="8"/>
        <x:color theme="0"/>
        <x:name val="Calibri"/>
        <x:family val="2"/>
        <x:scheme val="minor"/>
      </x:font>
      <x:fill>
        <x:patternFill>
          <x:bgColor indexed="64"/>
        </x:patternFill>
      </x:fill>
    </x:dxf>
    <x:dxf/>
    <x:dxf/>
    <x:dxf/>
    <x:dxf>
      <x:font>
        <x:b/>
        <x:u val="none"/>
        <x:sz val="8"/>
        <x:color rgb="FF003DA5"/>
        <x:name val="Aptos"/>
        <x:family val="2"/>
        <x:scheme val="none"/>
      </x:font>
      <x:fill>
        <x:patternFill>
          <x:bgColor indexed="64"/>
        </x:patternFill>
      </x:fill>
      <x:border>
        <x:left style="thin">
          <x:color rgb="FF5FCDF5"/>
        </x:left>
        <x:right style="thin">
          <x:color rgb="FF5FCDF5"/>
        </x:right>
        <x:top style="thin">
          <x:color rgb="FF5FCDF5"/>
        </x:top>
        <x:bottom style="thin">
          <x:color rgb="FF5FCDF5"/>
        </x:bottom>
      </x:border>
    </x:dxf>
    <x:dxf/>
    <x:dxf>
      <x:font>
        <x:b/>
        <x:u val="none"/>
        <x:sz val="8"/>
        <x:color rgb="FF003DA5"/>
        <x:name val="Aptos"/>
        <x:family val="2"/>
        <x:scheme val="none"/>
      </x:font>
      <x:fill>
        <x:patternFill>
          <x:bgColor indexed="64"/>
        </x:patternFill>
      </x:fill>
      <x:border>
        <x:left style="thin">
          <x:color rgb="FF5FCDF5"/>
        </x:left>
        <x:right style="thin">
          <x:color rgb="FF5FCDF5"/>
        </x:right>
        <x:top style="thin">
          <x:color rgb="FF5FCDF5"/>
        </x:top>
        <x:bottom style="thin">
          <x:color rgb="FF5FCDF5"/>
        </x:bottom>
      </x:border>
    </x:dxf>
    <x:dxf/>
    <x:dxf>
      <x:font>
        <x:b/>
        <x:u val="none"/>
        <x:sz val="8"/>
        <x:color rgb="FF003DA5"/>
        <x:name val="Aptos"/>
        <x:family val="2"/>
        <x:scheme val="none"/>
      </x:font>
      <x:fill>
        <x:patternFill>
          <x:bgColor indexed="64"/>
        </x:patternFill>
      </x:fill>
      <x:border>
        <x:left style="thin">
          <x:color rgb="FF5FCDF5"/>
        </x:left>
        <x:right style="thin">
          <x:color rgb="FF5FCDF5"/>
        </x:right>
        <x:top style="thin">
          <x:color rgb="FF5FCDF5"/>
        </x:top>
        <x:bottom style="thin">
          <x:color rgb="FF5FCDF5"/>
        </x:bottom>
      </x:border>
    </x:dxf>
    <x:dxf/>
    <x:dxf/>
    <x:dxf/>
    <x:dxf/>
    <x:dxf/>
    <x:dxf/>
    <x:dxf/>
    <x:dxf/>
    <x:dxf/>
    <x:dxf/>
    <x:dxf/>
    <x:dxf/>
    <x:dxf/>
    <x:dxf/>
    <x:dxf/>
    <x:dxf/>
    <x:dxf/>
    <x:dxf>
      <x:font>
        <x:u val="none"/>
        <x:sz val="8"/>
        <x:color auto="1"/>
        <x:name val="Calibri"/>
        <x:family val="2"/>
        <x:scheme val="minor"/>
      </x:font>
    </x:dxf>
    <x:dxf>
      <x:font>
        <x:u val="none"/>
        <x:sz val="8"/>
        <x:color auto="1"/>
        <x:name val="Calibri"/>
        <x:family val="2"/>
        <x:scheme val="minor"/>
      </x:font>
    </x:dxf>
    <x:dxf/>
    <x:dxf/>
    <x:dxf/>
    <x:dxf/>
    <x:dxf/>
    <x:dxf/>
    <x:dxf/>
    <x:dxf/>
    <x:dxf/>
    <x:dxf/>
    <x:dxf>
      <x:font>
        <x:u val="none"/>
        <x:sz val="8"/>
        <x:color auto="1"/>
        <x:name val="Calibri"/>
        <x:family val="2"/>
        <x:scheme val="minor"/>
      </x:font>
    </x:dxf>
    <x:dxf>
      <x:font>
        <x:u val="none"/>
        <x:sz val="8"/>
        <x:color auto="1"/>
        <x:name val="Calibri"/>
        <x:family val="2"/>
        <x:scheme val="minor"/>
      </x:font>
      <x:numFmt numFmtId="0" formatCode="General"/>
    </x:dxf>
    <x:dxf>
      <x:font>
        <x:u val="none"/>
        <x:sz val="8"/>
        <x:color auto="1"/>
        <x:name val="Calibri"/>
        <x:family val="2"/>
        <x:scheme val="minor"/>
      </x:font>
    </x:dxf>
    <x:dxf>
      <x:font>
        <x:u val="none"/>
        <x:sz val="8"/>
        <x:color auto="1"/>
        <x:name val="Calibri"/>
        <x:family val="2"/>
        <x:scheme val="minor"/>
      </x:font>
      <x:numFmt numFmtId="0" formatCode="General"/>
    </x:dxf>
    <x:dxf>
      <x:font>
        <x:u val="none"/>
        <x:sz val="8"/>
        <x:color auto="1"/>
        <x:name val="Calibri"/>
        <x:family val="2"/>
        <x:scheme val="minor"/>
      </x:font>
    </x:dxf>
    <x:dxf>
      <x:font>
        <x:u val="none"/>
        <x:sz val="8"/>
        <x:color auto="1"/>
        <x:name val="Calibri"/>
        <x:family val="2"/>
        <x:scheme val="minor"/>
      </x:font>
      <x:numFmt numFmtId="0" formatCode="General"/>
    </x:dxf>
    <x:dxf/>
    <x:dxf/>
    <x:dxf/>
    <x:dxf/>
    <x:dxf/>
    <x:dxf>
      <x:numFmt numFmtId="166" formatCode="0.00;[Red]\-0.00;&quot;&quot;"/>
    </x:dxf>
    <x:dxf/>
    <x:dxf/>
    <x:dxf/>
    <x:dxf>
      <x:numFmt numFmtId="165" formatCode="0.0"/>
    </x:dxf>
    <x:dxf/>
    <x:dxf/>
    <x:dxf>
      <x:border>
        <x:left style="thin">
          <x:color auto="1"/>
        </x:left>
      </x:border>
    </x:dxf>
    <x:dxf>
      <x:font>
        <x:color theme="0"/>
      </x:font>
      <x:fill>
        <x:patternFill>
          <x:bgColor rgb="FFFF0000"/>
        </x:patternFill>
      </x:fill>
      <x:border>
        <x:left style="thin">
          <x:color theme="0"/>
        </x:left>
        <x:right style="thin">
          <x:color theme="0"/>
        </x:right>
        <x:top style="thin">
          <x:color theme="0"/>
        </x:top>
        <x:bottom style="thin">
          <x:color theme="0"/>
        </x:bottom>
      </x:border>
    </x:dxf>
    <x:dxf>
      <x:font>
        <x:color theme="0"/>
      </x:font>
      <x:fill>
        <x:patternFill>
          <x:bgColor rgb="FFD912AE"/>
        </x:patternFill>
      </x:fill>
    </x:dxf>
    <x:dxf>
      <x:fill>
        <x:patternFill>
          <x:bgColor rgb="FFFFFF00"/>
        </x:patternFill>
      </x:fill>
      <x:border>
        <x:left style="thin">
          <x:color theme="0"/>
        </x:left>
        <x:right style="thin">
          <x:color theme="0"/>
        </x:right>
        <x:top style="thin">
          <x:color theme="0"/>
        </x:top>
        <x:bottom style="thin">
          <x:color theme="0"/>
        </x:bottom>
      </x:border>
    </x:dxf>
    <x:dxf>
      <x:font>
        <x:color theme="0"/>
      </x:font>
      <x:fill>
        <x:patternFill>
          <x:bgColor rgb="FF3FD185"/>
        </x:patternFill>
      </x:fill>
      <x:border>
        <x:left style="thin">
          <x:color theme="0"/>
        </x:left>
        <x:right style="thin">
          <x:color theme="0"/>
        </x:right>
        <x:top style="thin">
          <x:color theme="0"/>
        </x:top>
        <x:bottom style="thin">
          <x:color theme="0"/>
        </x:bottom>
      </x:border>
    </x:dxf>
    <x:dxf>
      <x:border>
        <x:top style="thin">
          <x:color auto="1"/>
        </x:top>
      </x:border>
    </x:dxf>
    <x:dxf>
      <x:font>
        <x:u val="none"/>
        <x:sz val="8"/>
        <x:color theme="1"/>
        <x:name val="Calibri"/>
        <x:family val="2"/>
        <x:scheme val="minor"/>
      </x:font>
    </x:dxf>
    <x:dxf>
      <x:numFmt numFmtId="172" formatCode="#,##0;[Red]\-#,##0;&quot;-&quot;"/>
    </x:dxf>
    <x:dxf>
      <x:font>
        <x:u val="none"/>
        <x:sz val="8"/>
        <x:color theme="1"/>
        <x:name val="Calibri"/>
        <x:family val="2"/>
        <x:scheme val="minor"/>
      </x:fon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numFmt numFmtId="172" formatCode="#,##0;[Red]\-#,##0;&quot;-&quot;"/>
    </x:dxf>
    <x:dxf>
      <x:font>
        <x:u val="none"/>
        <x:sz val="8"/>
        <x:color theme="1"/>
        <x:name val="Calibri"/>
        <x:family val="2"/>
        <x:scheme val="minor"/>
      </x:font>
      <x:numFmt numFmtId="172" formatCode="#,##0;[Red]\-#,##0;&quot;-&quot;"/>
    </x:dxf>
    <x:dxf>
      <x:font>
        <x:u val="none"/>
        <x:sz val="8"/>
        <x:color theme="1"/>
        <x:name val="Calibri"/>
        <x:family val="2"/>
        <x:scheme val="minor"/>
      </x:font>
      <x:numFmt numFmtId="172" formatCode="#,##0;[Red]\-#,##0;&quot;-&quot;"/>
    </x:dxf>
    <x:dxf/>
    <x:dxf/>
    <x:dxf>
      <x:numFmt numFmtId="0" formatCode="General"/>
    </x:dxf>
    <x:dxf/>
    <x:dxf>
      <x:font>
        <x:u val="none"/>
        <x:sz val="8"/>
        <x:color theme="1"/>
        <x:name val="Calibri"/>
        <x:family val="2"/>
        <x:scheme val="minor"/>
      </x:font>
    </x:dxf>
    <x:dxf>
      <x:fill>
        <x:patternFill>
          <x:bgColor theme="9"/>
        </x:patternFill>
      </x:fill>
    </x:dxf>
    <x:dxf>
      <x:font>
        <x:u val="none"/>
        <x:sz val="8"/>
        <x:color theme="1"/>
        <x:name val="Calibri"/>
        <x:family val="2"/>
        <x:scheme val="minor"/>
      </x:font>
    </x:dxf>
    <x:dxf>
      <x:numFmt numFmtId="0" formatCode="General"/>
    </x:dxf>
    <x:dxf/>
    <x:dxf>
      <x:font>
        <x:u val="none"/>
        <x:sz val="8"/>
        <x:color theme="1"/>
        <x:name val="Calibri"/>
        <x:family val="2"/>
        <x:scheme val="minor"/>
      </x:font>
    </x:dxf>
    <x:dxf>
      <x:font>
        <x:u val="none"/>
        <x:sz val="8"/>
        <x:color theme="1"/>
        <x:name val="Calibri"/>
        <x:family val="2"/>
        <x:scheme val="minor"/>
      </x:font>
    </x:dxf>
    <x:dxf>
      <x:font>
        <x:u val="none"/>
        <x:sz val="8"/>
        <x:color theme="1"/>
        <x:name val="Calibri"/>
        <x:family val="2"/>
        <x:scheme val="minor"/>
      </x:font>
    </x:dxf>
    <x:dxf>
      <x:border>
        <x:bottom style="thick">
          <x:color theme="0"/>
        </x:bottom>
      </x:border>
    </x:dxf>
    <x:dxf>
      <x:font>
        <x:b/>
        <x:u val="none"/>
        <x:sz val="8"/>
        <x:color theme="0"/>
        <x:name val="Calibri"/>
        <x:family val="2"/>
        <x:scheme val="minor"/>
      </x:font>
      <x:fill>
        <x:patternFill>
          <x:bgColor theme="4"/>
        </x:patternFill>
      </x:fill>
      <x:border>
        <x:left style="thin">
          <x:color theme="0"/>
        </x:left>
        <x:right style="thin">
          <x:color theme="0"/>
        </x:right>
        <x:top/>
        <x:bottom/>
      </x:border>
    </x:dxf>
    <x:dxf/>
    <x:dxf>
      <x:font>
        <x:u val="none"/>
        <x:sz val="8"/>
        <x:color theme="1"/>
        <x:name val="Calibri"/>
        <x:family val="2"/>
        <x:scheme val="minor"/>
      </x:font>
      <x:fill>
        <x:patternFill>
          <x:bgColor indexed="65"/>
        </x:patternFill>
      </x:fill>
    </x:dxf>
    <x:dxf>
      <x:font>
        <x:u val="none"/>
        <x:sz val="8"/>
        <x:color theme="1"/>
        <x:name val="Calibri"/>
        <x:family val="2"/>
        <x:scheme val="minor"/>
      </x:font>
      <x:fill>
        <x:patternFill>
          <x:bgColor indexed="65"/>
        </x:patternFill>
      </x:fill>
    </x:dxf>
    <x:dxf>
      <x:font>
        <x:u val="none"/>
        <x:sz val="8"/>
        <x:color theme="1"/>
        <x:name val="Calibri"/>
        <x:family val="2"/>
        <x:scheme val="minor"/>
      </x:font>
      <x:fill>
        <x:patternFill>
          <x:bgColor indexed="65"/>
        </x:patternFill>
      </x:fill>
    </x:dxf>
    <x:dxf>
      <x:font>
        <x:u val="none"/>
        <x:sz val="8"/>
        <x:color theme="1"/>
        <x:name val="Calibri"/>
        <x:family val="2"/>
        <x:scheme val="minor"/>
      </x:font>
    </x:dxf>
    <x:dxf>
      <x:font>
        <x:u val="none"/>
        <x:sz val="8"/>
        <x:color rgb="FF753BBD"/>
        <x:name val="Calibri"/>
        <x:family val="2"/>
        <x:scheme val="minor"/>
      </x:font>
      <x:numFmt numFmtId="171" formatCode="#,##0.00;[Red]\-#,##0.00;&quot;-&quot;"/>
    </x:dxf>
    <x:dxf>
      <x:font>
        <x:u val="none"/>
        <x:sz val="8"/>
        <x:color rgb="FF753BBD"/>
        <x:name val="Calibri"/>
        <x:family val="2"/>
        <x:scheme val="minor"/>
      </x:font>
      <x:numFmt numFmtId="171" formatCode="#,##0.00;[Red]\-#,##0.00;&quot;-&quot;"/>
    </x:dxf>
    <x:dxf>
      <x:font>
        <x:u val="none"/>
        <x:sz val="8"/>
        <x:color rgb="FF753BBD"/>
        <x:name val="Calibri"/>
        <x:family val="2"/>
        <x:scheme val="minor"/>
      </x:font>
      <x:numFmt numFmtId="171" formatCode="#,##0.00;[Red]\-#,##0.00;&quot;-&quot;"/>
    </x:dxf>
    <x:dxf/>
    <x:dxf>
      <x:font>
        <x:u val="none"/>
        <x:sz val="8"/>
        <x:color theme="1"/>
        <x:name val="Calibri"/>
        <x:family val="2"/>
        <x:scheme val="minor"/>
      </x:font>
    </x:dxf>
    <x:dxf>
      <x:font>
        <x:u val="none"/>
        <x:sz val="8"/>
        <x:color theme="1"/>
        <x:name val="Calibri"/>
        <x:family val="2"/>
        <x:scheme val="minor"/>
      </x:font>
    </x:dxf>
    <x:dxf/>
    <x:dxf/>
    <x:dxf>
      <x:font>
        <x:sz val="8"/>
        <x:color theme="1"/>
        <x:name val="Calibri"/>
        <x:family val="2"/>
        <x:scheme val="minor"/>
      </x:font>
      <x:border>
        <x:left style="medium">
          <x:color rgb="FFE6E6E6"/>
        </x:left>
        <x:right/>
        <x:top style="medium">
          <x:color rgb="FFE6E6E6"/>
        </x:top>
        <x:bottom style="medium">
          <x:color rgb="FFE6E6E6"/>
        </x:bottom>
      </x:border>
    </x:dxf>
    <x:dxf>
      <x:font>
        <x:sz val="8"/>
        <x:color theme="1"/>
        <x:name val="Calibri"/>
        <x:family val="2"/>
        <x:scheme val="minor"/>
      </x:font>
      <x:border>
        <x:left style="medium">
          <x:color rgb="FFE6E6E6"/>
        </x:left>
        <x:right style="medium">
          <x:color rgb="FFE6E6E6"/>
        </x:right>
        <x:top style="medium">
          <x:color rgb="FFE6E6E6"/>
        </x:top>
        <x:bottom style="medium">
          <x:color rgb="FFE6E6E6"/>
        </x:bottom>
      </x:border>
    </x:dxf>
    <x:dxf>
      <x:border>
        <x:left/>
        <x:right style="medium">
          <x:color rgb="FFE6E6E6"/>
        </x:right>
        <x:top style="medium">
          <x:color rgb="FFE6E6E6"/>
        </x:top>
        <x:bottom/>
      </x:border>
    </x:dxf>
    <x:dxf>
      <x:font>
        <x:sz val="8"/>
        <x:color theme="1"/>
        <x:name val="Calibri"/>
        <x:family val="2"/>
        <x:scheme val="minor"/>
      </x:font>
      <x:border>
        <x:left/>
        <x:right style="medium">
          <x:color rgb="FFE6E6E6"/>
        </x:right>
        <x:top style="medium">
          <x:color rgb="FFE6E6E6"/>
        </x:top>
        <x:bottom style="medium">
          <x:color rgb="FFE6E6E6"/>
        </x:bottom>
      </x:border>
    </x:dxf>
    <x:dxf>
      <x:border>
        <x:top style="medium">
          <x:color rgb="FFE6E6E6"/>
        </x:top>
      </x:border>
    </x:dxf>
    <x:dxf>
      <x:border>
        <x:left style="medium">
          <x:color rgb="FFE6E6E6"/>
        </x:left>
        <x:right style="medium">
          <x:color rgb="FFE6E6E6"/>
        </x:right>
        <x:top style="medium">
          <x:color rgb="FFE6E6E6"/>
        </x:top>
        <x:bottom style="medium">
          <x:color rgb="FFE6E6E6"/>
        </x:bottom>
      </x:border>
    </x:dxf>
    <x:dxf/>
    <x:dxf/>
    <x:dxf/>
    <x:dxf>
      <x:font>
        <x:sz val="8"/>
        <x:color theme="1"/>
        <x:name val="Calibri"/>
        <x:family val="2"/>
        <x:scheme val="minor"/>
      </x:font>
    </x:dxf>
    <x:dxf>
      <x:font>
        <x:sz val="8"/>
        <x:color theme="1"/>
        <x:name val="Calibri"/>
        <x:family val="2"/>
        <x:scheme val="minor"/>
      </x:font>
    </x:dxf>
    <x:dxf>
      <x:font>
        <x:u val="none"/>
        <x:sz val="8"/>
        <x:color theme="1"/>
        <x:name val="Calibri"/>
        <x:family val="2"/>
        <x:scheme val="minor"/>
      </x:font>
    </x:dxf>
    <x:dxf/>
    <x:dxf/>
    <x:dxf>
      <x:font>
        <x:sz val="8"/>
        <x:color theme="1"/>
        <x:name val="Calibri"/>
        <x:family val="2"/>
        <x:scheme val="minor"/>
      </x:font>
    </x:dxf>
    <x:dxf/>
    <x:dxf/>
    <x:dxf/>
    <x:dxf>
      <x:numFmt numFmtId="30" formatCode="@"/>
    </x:dxf>
    <x:dxf/>
    <x:dxf/>
    <x:dxf/>
    <x:dxf/>
    <x:dxf>
      <x:font>
        <x:b/>
        <x:u val="none"/>
        <x:sz val="8"/>
        <x:color theme="1"/>
        <x:name val="Calibri"/>
        <x:family val="2"/>
        <x:scheme val="minor"/>
      </x:font>
    </x:dxf>
    <x:dxf/>
    <x:dxf/>
    <x:dxf>
      <x:font>
        <x:b/>
        <x:u val="none"/>
        <x:sz val="8"/>
        <x:color theme="1"/>
        <x:name val="Calibri"/>
        <x:family val="2"/>
        <x:scheme val="minor"/>
      </x:font>
      <x:numFmt numFmtId="175" formatCode="0.0%;[Red]\-0.0%;&quot;-%&quot;"/>
    </x:dxf>
    <x:dxf>
      <x:font>
        <x:b/>
        <x:u val="none"/>
        <x:sz val="8"/>
        <x:color theme="1"/>
        <x:name val="Calibri"/>
        <x:family val="2"/>
        <x:scheme val="minor"/>
      </x:font>
      <x:numFmt numFmtId="175" formatCode="0.0%;[Red]\-0.0%;&quot;-%&quot;"/>
    </x:dxf>
    <x:dxf>
      <x:font>
        <x:b/>
        <x:u val="none"/>
        <x:sz val="8"/>
        <x:color theme="1"/>
        <x:name val="Calibri"/>
        <x:family val="2"/>
        <x:scheme val="minor"/>
      </x:font>
      <x:numFmt numFmtId="175" formatCode="0.0%;[Red]\-0.0%;&quot;-%&quot;"/>
    </x:dxf>
    <x:dxf>
      <x:font>
        <x:b/>
        <x:u val="none"/>
        <x:sz val="8"/>
        <x:color theme="1"/>
        <x:name val="Calibri"/>
        <x:family val="2"/>
        <x:scheme val="minor"/>
      </x:font>
      <x:numFmt numFmtId="175" formatCode="0.0%;[Red]\-0.0%;&quot;-%&quot;"/>
    </x:dxf>
    <x:dxf>
      <x:font>
        <x:b/>
        <x:u val="none"/>
        <x:sz val="8"/>
        <x:color theme="1"/>
        <x:name val="Calibri"/>
        <x:family val="2"/>
        <x:scheme val="minor"/>
      </x:font>
    </x:dxf>
    <x:dxf>
      <x:font>
        <x:b/>
        <x:u val="none"/>
        <x:sz val="8"/>
        <x:color theme="1"/>
        <x:name val="Calibri"/>
        <x:family val="2"/>
        <x:scheme val="minor"/>
      </x:font>
    </x:dxf>
    <x:dxf>
      <x:font>
        <x:b/>
        <x:u val="none"/>
        <x:sz val="8"/>
        <x:color theme="1"/>
        <x:name val="Calibri"/>
        <x:family val="2"/>
        <x:scheme val="minor"/>
      </x:font>
    </x:dxf>
    <x:dxf>
      <x:font>
        <x:b/>
        <x:sz val="8"/>
      </x:font>
    </x:dxf>
    <x:dxf>
      <x:numFmt numFmtId="0" formatCode="General"/>
    </x:dxf>
    <x:dxf>
      <x:numFmt numFmtId="0" formatCode="General"/>
    </x:dxf>
    <x:dxf/>
    <x:dxf>
      <x:numFmt numFmtId="30" formatCode="@"/>
    </x:dxf>
    <x:dxf/>
    <x:dxf>
      <x:font>
        <x:sz val="8"/>
        <x:color theme="1"/>
        <x:name val="Calibri"/>
        <x:family val="2"/>
        <x:scheme val="minor"/>
      </x:font>
    </x:dxf>
    <x:dxf/>
    <x:dxf/>
    <x:dxf/>
    <x:dxf>
      <x:font>
        <x:sz val="8"/>
        <x:color theme="1"/>
        <x:name val="Calibri"/>
        <x:family val="2"/>
        <x:scheme val="minor"/>
      </x:font>
    </x:dxf>
    <x:dxf/>
    <x:dxf>
      <x:font>
        <x:u val="none"/>
        <x:sz val="8"/>
        <x:name val="Calibri"/>
        <x:family val="2"/>
        <x:scheme val="minor"/>
      </x:font>
      <x:fill>
        <x:patternFill>
          <x:bgColor auto="1"/>
        </x:patternFill>
      </x:fill>
      <x:border>
        <x:left/>
        <x:bottom style="thin">
          <x:color theme="4" tint="0.39998"/>
        </x:bottom>
      </x:border>
    </x:dxf>
    <x:dxf>
      <x:font>
        <x:u val="none"/>
        <x:sz val="8"/>
        <x:name val="Calibri"/>
        <x:family val="2"/>
        <x:scheme val="minor"/>
      </x:font>
      <x:fill>
        <x:patternFill>
          <x:bgColor auto="1"/>
        </x:patternFill>
      </x:fill>
    </x:dxf>
    <x:dxf>
      <x:font>
        <x:u val="none"/>
        <x:sz val="8"/>
        <x:color auto="1"/>
        <x:name val="Calibri"/>
        <x:family val="2"/>
        <x:scheme val="minor"/>
      </x:font>
      <x:numFmt numFmtId="0" formatCode="General"/>
      <x:fill>
        <x:patternFill>
          <x:bgColor auto="1"/>
        </x:patternFill>
      </x:fill>
    </x:dxf>
    <x:dxf>
      <x:font>
        <x:u val="none"/>
        <x:sz val="8"/>
        <x:color auto="1"/>
        <x:name val="Calibri"/>
        <x:family val="2"/>
        <x:scheme val="minor"/>
      </x:font>
      <x:fill>
        <x:patternFill>
          <x:bgColor auto="1"/>
        </x:patternFill>
      </x:fill>
    </x:dxf>
    <x:dxf>
      <x:font>
        <x:b/>
        <x:u val="none"/>
        <x:sz val="8"/>
        <x:name val="Calibri"/>
        <x:family val="2"/>
        <x:scheme val="minor"/>
      </x:font>
      <x:fill>
        <x:patternFill>
          <x:bgColor auto="1"/>
        </x:patternFill>
      </x:fill>
    </x:dxf>
    <x:dxf>
      <x:font>
        <x:u val="none"/>
        <x:sz val="8"/>
        <x:name val="Calibri"/>
        <x:family val="2"/>
        <x:scheme val="minor"/>
      </x:font>
      <x:fill>
        <x:patternFill>
          <x:bgColor auto="1"/>
        </x:patternFill>
      </x:fill>
    </x:dxf>
    <x:dxf>
      <x:font>
        <x:u val="none"/>
        <x:sz val="8"/>
        <x:name val="Calibri"/>
        <x:family val="2"/>
        <x:scheme val="minor"/>
      </x:font>
      <x:fill>
        <x:patternFill>
          <x:bgColor auto="1"/>
        </x:patternFill>
      </x:fill>
      <x:border>
        <x:top style="thin">
          <x:color theme="4" tint="0.39998"/>
        </x:top>
      </x:border>
    </x:dxf>
    <x:dxf>
      <x:border>
        <x:left style="thin">
          <x:color theme="4" tint="0.39998"/>
        </x:left>
        <x:right style="thin">
          <x:color theme="4" tint="0.39998"/>
        </x:right>
        <x:top style="thin">
          <x:color theme="4" tint="0.39998"/>
        </x:top>
        <x:bottom style="thin">
          <x:color theme="4" tint="0.39998"/>
        </x:bottom>
      </x:border>
    </x:dxf>
    <x:dxf>
      <x:numFmt numFmtId="0" formatCode="General"/>
    </x:dxf>
    <x:dxf>
      <x:font>
        <x:u val="none"/>
        <x:sz val="8"/>
        <x:name val="Calibri"/>
        <x:family val="2"/>
        <x:scheme val="minor"/>
      </x:font>
      <x:fill>
        <x:patternFill>
          <x:bgColor auto="1"/>
        </x:patternFill>
      </x:fill>
      <x:border>
        <x:bottom style="thin">
          <x:color theme="4" tint="0.39998"/>
        </x:bottom>
      </x:border>
    </x:dxf>
    <x:dxf>
      <x:font>
        <x:b/>
        <x:sz val="8"/>
        <x:color theme="0"/>
        <x:name val="Calibri"/>
        <x:family val="2"/>
        <x:scheme val="minor"/>
      </x:font>
      <x:numFmt numFmtId="0" formatCode="General"/>
      <x:fill>
        <x:patternFill>
          <x:bgColor theme="4"/>
        </x:patternFill>
      </x:fill>
    </x:dxf>
    <x:dxf/>
  </x:dxfs>
</x:styleSheet>
</file>

<file path=xl/_rels/workbook.xml.rels>&#65279;<?xml version="1.0" encoding="utf-8"?><Relationships xmlns="http://schemas.openxmlformats.org/package/2006/relationships"><Relationship Type="http://schemas.openxmlformats.org/officeDocument/2006/relationships/styles" Target="/xl/styles.xml" Id="Ra7bc4b3c91ca413d" /><Relationship Type="http://schemas.openxmlformats.org/officeDocument/2006/relationships/theme" Target="/xl/theme/theme1.xml" Id="Rd7cb208c7ca44851" /><Relationship Type="http://schemas.openxmlformats.org/officeDocument/2006/relationships/sheetMetadata" Target="/xl/metadata1.xml" Id="R3bbb935c714044ff" /><Relationship Type="http://schemas.microsoft.com/office/2017/06/relationships/rdRichValueStructure" Target="/xl/richData/rdrichvaluestructure.xml" Id="Rc781901223634073" /><Relationship Type="http://schemas.microsoft.com/office/2017/06/relationships/rdRichValue" Target="/xl/richData/rdrichvalue.xml" Id="R6c00e9c60a804c3f" /><Relationship Type="http://schemas.microsoft.com/office/2017/06/relationships/rdRichValueTypes" Target="/xl/richData/rdRichValueTypes.xml" Id="R8e56c6b1f073474e" /><Relationship Type="http://schemas.openxmlformats.org/officeDocument/2006/relationships/sharedStrings" Target="/xl/sharedStrings.xml" Id="Rfd64bb00551d4f0e" /><Relationship Type="http://schemas.openxmlformats.org/officeDocument/2006/relationships/worksheet" Target="/xl/worksheets/sheet1.xml" Id="Rd07d8c3f5a1a430c" /><Relationship Type="http://schemas.openxmlformats.org/officeDocument/2006/relationships/worksheet" Target="/xl/worksheets/sheet2.xml" Id="R8a4ee15d91644fca" /><Relationship Type="http://schemas.openxmlformats.org/officeDocument/2006/relationships/worksheet" Target="/xl/worksheets/sheet3.xml" Id="R4c77275020ea45c2" /><Relationship Type="http://schemas.openxmlformats.org/officeDocument/2006/relationships/worksheet" Target="/xl/worksheets/sheet4.xml" Id="R879b1b138f374315" /><Relationship Type="http://schemas.openxmlformats.org/officeDocument/2006/relationships/worksheet" Target="/xl/worksheets/sheet5.xml" Id="R2b65facb817b4b87" /><Relationship Type="http://schemas.openxmlformats.org/officeDocument/2006/relationships/worksheet" Target="/xl/worksheets/sheet6.xml" Id="Rfab1a48fa65540c8" /><Relationship Type="http://schemas.openxmlformats.org/officeDocument/2006/relationships/worksheet" Target="/xl/worksheets/sheet7.xml" Id="R2940292a6b304c6d" /><Relationship Type="http://schemas.openxmlformats.org/officeDocument/2006/relationships/worksheet" Target="/xl/worksheets/sheet8.xml" Id="Rbff00e34bcd745c9" /><Relationship Type="http://schemas.openxmlformats.org/officeDocument/2006/relationships/worksheet" Target="/xl/worksheets/sheet9.xml" Id="R047ad90a4a9d44e1" /><Relationship Type="http://schemas.microsoft.com/office/2017/10/relationships/person" Target="/xl/persons/person.xml" Id="Rbd1b2bfd0a6d4597" /></Relationships>
</file>

<file path=xl/drawings/_rels/drawing1.xml.rels>&#65279;<?xml version="1.0" encoding="utf-8"?><Relationships xmlns="http://schemas.openxmlformats.org/package/2006/relationships"><Relationship Type="http://schemas.openxmlformats.org/officeDocument/2006/relationships/image" Target="/xl/media/image.jpg" Id="Rc20b40d6f1754c56" /><Relationship Type="http://schemas.openxmlformats.org/officeDocument/2006/relationships/image" Target="/xl/media/image.emf" Id="R6b5fcd9f72414f60" /><Relationship Type="http://schemas.openxmlformats.org/officeDocument/2006/relationships/image" Target="/xl/media/image2.emf" Id="R6acceb448fc7436b" /><Relationship Type="http://schemas.openxmlformats.org/officeDocument/2006/relationships/image" Target="/xl/media/image3.emf" Id="Ra51b0a15999b4e28" /></Relationships>
</file>

<file path=xl/drawings/_rels/drawing2.xml.rels>&#65279;<?xml version="1.0" encoding="utf-8"?><Relationships xmlns="http://schemas.openxmlformats.org/package/2006/relationships"><Relationship Type="http://schemas.openxmlformats.org/officeDocument/2006/relationships/chart" Target="/xl/drawings/charts/chart1.xml" Id="R9050584c27a24540" /></Relationships>
</file>

<file path=xl/drawings/_rels/drawing3.xml.rels>&#65279;<?xml version="1.0" encoding="utf-8"?><Relationships xmlns="http://schemas.openxmlformats.org/package/2006/relationships"><Relationship Type="http://schemas.openxmlformats.org/officeDocument/2006/relationships/chart" Target="/xl/drawings/charts/chart2.xml" Id="Re685a367eb22436e" /><Relationship Type="http://schemas.openxmlformats.org/officeDocument/2006/relationships/chart" Target="/xl/drawings/charts/chart3.xml" Id="R55913847d24b43a6" /></Relationships>
</file>

<file path=xl/drawings/_rels/drawing4.xml.rels>&#65279;<?xml version="1.0" encoding="utf-8"?><Relationships xmlns="http://schemas.openxmlformats.org/package/2006/relationships"><Relationship Type="http://schemas.openxmlformats.org/officeDocument/2006/relationships/chart" Target="/xl/drawings/charts/chart4.xml" Id="R46fb9c2e2a434d8f" /></Relationships>
</file>

<file path=xl/drawings/_rels/drawing5.xml.rels>&#65279;<?xml version="1.0" encoding="utf-8"?><Relationships xmlns="http://schemas.openxmlformats.org/package/2006/relationships"><Relationship Type="http://schemas.openxmlformats.org/officeDocument/2006/relationships/image" Target="/xl/media/image.png" Id="Rafca5f2343ab441f"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200" b="1" i="0" u="none">
                <a:solidFill>
                  <a:schemeClr val="tx1">
                    <a:lumMod val="65000"/>
                    <a:lumOff val="35000"/>
                  </a:schemeClr>
                </a:solidFill>
                <a:latin typeface="+mn-lt"/>
                <a:ea typeface="+mn-lt"/>
                <a:cs typeface="+mn-lt"/>
              </a:rPr>
              <a:t>Concentración de requerimientos por importancia</a:t>
            </a:r>
          </a:p>
        </c:rich>
      </c:tx>
      <c:txPr>
        <a:bodyPr xmlns:a="http://schemas.openxmlformats.org/drawingml/2006/main" rot="0" vert="horz" anchor="ctr" anchorCtr="1"/>
        <a:lstStyle xmlns:a="http://schemas.openxmlformats.org/drawingml/2006/main"/>
        <a:p xmlns:a="http://schemas.openxmlformats.org/drawingml/2006/main">
          <a:pPr>
            <a:defRPr sz="1200" b="1" i="0" u="none">
              <a:solidFill>
                <a:schemeClr val="tx1">
                  <a:lumMod val="65000"/>
                  <a:lumOff val="35000"/>
                </a:schemeClr>
              </a:solidFill>
              <a:latin typeface="+mn-lt"/>
              <a:ea typeface="+mn-lt"/>
              <a:cs typeface="+mn-lt"/>
            </a:defRPr>
          </a:pPr>
        </a:p>
      </c:txPr>
    </c:title>
    <c:autoTitleDeleted val="0"/>
    <c:plotArea>
      <c:barChart>
        <c:barDir val="col"/>
        <c:grouping val="clustered"/>
        <c:varyColors val="0"/>
        <c:ser>
          <c:idx val="0"/>
          <c:order val="0"/>
          <c:tx>
            <c:strRef>
              <c:f>Tab!$AJ$39</c:f>
              <c:strCache>
                <c:ptCount val="1"/>
                <c:pt idx="0">
                  <c:v>Acum.</c:v>
                </c:pt>
              </c:strCache>
            </c:strRef>
          </c:tx>
          <c:spPr>
            <a:solidFill xmlns:a="http://schemas.openxmlformats.org/drawingml/2006/main">
              <a:schemeClr val="accent1"/>
            </a:solidFill>
            <a:ln xmlns:a="http://schemas.openxmlformats.org/drawingml/2006/main">
              <a:noFill/>
            </a:ln>
          </c:spPr>
          <c:invertIfNegative val="0"/>
          <c:cat>
            <c:numRef>
              <c:f>Tab!$AD$40:$AD$50</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cat>
          <c:val>
            <c:numRef>
              <c:f>Tab!$AJ$40:$AJ$50</c:f>
              <c:numCache>
                <c:formatCode>General</c:formatCode>
                <c:ptCount val="11"/>
                <c:pt idx="0">
                  <c:v>10</c:v>
                </c:pt>
                <c:pt idx="1">
                  <c:v>88</c:v>
                </c:pt>
                <c:pt idx="2">
                  <c:v>126</c:v>
                </c:pt>
                <c:pt idx="3">
                  <c:v>219</c:v>
                </c:pt>
                <c:pt idx="4">
                  <c:v>245</c:v>
                </c:pt>
                <c:pt idx="5">
                  <c:v>255</c:v>
                </c:pt>
                <c:pt idx="6">
                  <c:v>257</c:v>
                </c:pt>
                <c:pt idx="7">
                  <c:v>257</c:v>
                </c:pt>
                <c:pt idx="8">
                  <c:v>257</c:v>
                </c:pt>
                <c:pt idx="9">
                  <c:v>257</c:v>
                </c:pt>
                <c:pt idx="10">
                  <c:v>257</c:v>
                </c:pt>
              </c:numCache>
            </c:numRef>
          </c:val>
        </c:ser>
        <c:dLbls>
          <c:showLegendKey val="0"/>
          <c:showVal val="0"/>
          <c:showCatName val="0"/>
          <c:showSerName val="0"/>
          <c:showPercent val="0"/>
          <c:showBubbleSize val="0"/>
        </c:dLbls>
        <c:gapWidth val="219"/>
        <c:overlap val="-27"/>
        <c:axId val="1686003903"/>
        <c:axId val="1686018783"/>
      </c:barChart>
      <c:lineChart>
        <c:grouping val="standard"/>
        <c:varyColors val="0"/>
        <c:ser>
          <c:idx val="1"/>
          <c:order val="1"/>
          <c:tx>
            <c:strRef>
              <c:f>Tab!$AK$39</c:f>
              <c:strCache>
                <c:ptCount val="1"/>
                <c:pt idx="0">
                  <c:v>% acum.</c:v>
                </c:pt>
              </c:strCache>
            </c:strRef>
          </c:tx>
          <c:spPr>
            <a:ln xmlns:a="http://schemas.openxmlformats.org/drawingml/2006/main" w="28575">
              <a:solidFill>
                <a:schemeClr val="accent2"/>
              </a:solidFill>
            </a:ln>
          </c:spPr>
          <c:marker>
            <c:symbol val="none"/>
          </c:marker>
          <c:cat>
            <c:numRef>
              <c:f>Tab!$AD$40:$AD$50</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cat>
          <c:val>
            <c:numRef>
              <c:f>Tab!$AK$40:$AK$50</c:f>
              <c:numCache>
                <c:formatCode>General</c:formatCode>
                <c:ptCount val="0"/>
              </c:numCache>
            </c:numRef>
          </c:val>
          <c:smooth val="0"/>
        </c:ser>
        <c:dLbls>
          <c:showLegendKey val="0"/>
          <c:showVal val="0"/>
          <c:showCatName val="0"/>
          <c:showSerName val="0"/>
          <c:showPercent val="0"/>
          <c:showBubbleSize val="0"/>
        </c:dLbls>
        <c:smooth val="0"/>
        <c:axId val="1686013983"/>
        <c:axId val="1686016383"/>
      </c:lineChart>
      <c:catAx>
        <c:axId val="1686003903"/>
        <c:scaling>
          <c:orientation val="minMax"/>
        </c:scaling>
        <c:delete val="0"/>
        <c:axPos val="b"/>
        <c:numFmt formatCode="General" sourceLinked="1"/>
        <c:majorTickMark val="none"/>
        <c:minorTickMark val="none"/>
        <c:tickLblPos val="nextTo"/>
        <c:spPr>
          <a:ln xmlns:a="http://schemas.openxmlformats.org/drawingml/2006/main" w="9525" cmpd="sng">
            <a:solidFill>
              <a:schemeClr val="tx1">
                <a:lumMod val="15000"/>
                <a:lumOff val="8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686018783"/>
        <c:crosses val="autoZero"/>
        <c:lblAlgn val="ctr"/>
        <c:noMultiLvlLbl val="0"/>
        <c:lblOffset val="100"/>
      </c:catAx>
      <c:valAx>
        <c:axId val="1686018783"/>
        <c:scaling>
          <c:orientation val="minMax"/>
        </c:scaling>
        <c:delete val="0"/>
        <c:axPos val="l"/>
        <c:majorGridlines>
          <c:spPr>
            <a:ln xmlns:a="http://schemas.openxmlformats.org/drawingml/2006/main" w="9525" cmpd="sng">
              <a:solidFill>
                <a:schemeClr val="tx1">
                  <a:lumMod val="15000"/>
                  <a:lumOff val="85000"/>
                </a:schemeClr>
              </a:solidFill>
            </a:ln>
          </c:spPr>
        </c:majorGridlines>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686003903"/>
        <c:crosses val="autoZero"/>
        <c:crossBetween val="between"/>
      </c:valAx>
      <c:valAx>
        <c:axId val="1686016383"/>
        <c:scaling>
          <c:orientation val="minMax"/>
        </c:scaling>
        <c:delete val="0"/>
        <c:axPos val="r"/>
        <c:numFmt formatCode="0.0%;[Red]\-0.0%;&quot;-%&quot;"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1686013983"/>
        <c:crosses val="max"/>
        <c:crossBetween val="between"/>
      </c:valAx>
      <c:catAx>
        <c:axId val="1686013983"/>
        <c:scaling>
          <c:orientation val="minMax"/>
        </c:scaling>
        <c:delete val="1"/>
        <c:axPos val="b"/>
        <c:numFmt formatCode="General" sourceLinked="1"/>
        <c:majorTickMark val="none"/>
        <c:minorTickMark val="none"/>
        <c:tickLblPos val="nextTo"/>
        <c:crossAx val="1686016383"/>
        <c:crosses val="autoZero"/>
        <c:lblAlgn val="ctr"/>
        <c:noMultiLvlLbl val="0"/>
        <c:lblOffset val="100"/>
      </c:cat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ayout>
        <c:manualLayout>
          <c:layoutTarget val="inner"/>
          <c:xMode val="edge"/>
          <c:yMode val="edge"/>
          <c:x val="0.10626074663422813"/>
          <c:y val="0.050784856879039705"/>
          <c:w val="0.8504267968591609"/>
          <c:h val="0.7353031953904456"/>
        </c:manualLayout>
      </c:layout>
      <c:scatterChart>
        <c:scatterStyle val="lineMarker"/>
        <c:ser>
          <c:idx val="0"/>
          <c:order val="0"/>
          <c:tx>
            <c:strRef>
              <c:f>Escalas!$B$96</c:f>
              <c:strCache>
                <c:ptCount val="1"/>
                <c:pt idx="0">
                  <c:v>L Curva de aprendizaje [meses]</c:v>
                </c:pt>
              </c:strCache>
            </c:strRef>
          </c:tx>
          <c:spPr>
            <a:ln xmlns:a="http://schemas.openxmlformats.org/drawingml/2006/main" w="25400">
              <a:noFill/>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spPr>
              <a:noFill xmlns:a="http://schemas.openxmlformats.org/drawingml/2006/main"/>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1"/>
            <c:showSerName val="0"/>
            <c:showPercent val="0"/>
            <c:showBubbleSize val="0"/>
            <c:showLeaderLines val="0"/>
          </c:dLbls>
          <c:xVal>
            <c:numRef>
              <c:f>Escalas!$J$96:$J$106</c:f>
              <c:numCache>
                <c:formatCode>General</c:formatCode>
                <c:ptCount val="11"/>
                <c:pt idx="0">
                  <c:v>2</c:v>
                </c:pt>
                <c:pt idx="1">
                  <c:v>2.5</c:v>
                </c:pt>
                <c:pt idx="2">
                  <c:v>3</c:v>
                </c:pt>
                <c:pt idx="3">
                  <c:v>4</c:v>
                </c:pt>
                <c:pt idx="4">
                  <c:v>5</c:v>
                </c:pt>
                <c:pt idx="5">
                  <c:v>6</c:v>
                </c:pt>
                <c:pt idx="6">
                  <c:v>7</c:v>
                </c:pt>
                <c:pt idx="7">
                  <c:v>9</c:v>
                </c:pt>
                <c:pt idx="8">
                  <c:v>10</c:v>
                </c:pt>
                <c:pt idx="9">
                  <c:v>11</c:v>
                </c:pt>
                <c:pt idx="10">
                  <c:v>12</c:v>
                </c:pt>
              </c:numCache>
            </c:numRef>
          </c:xVal>
          <c:yVal>
            <c:numRef>
              <c:f>Escalas!$E$96:$E$106</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yVal>
        </c:ser>
        <c:dLbls>
          <c:showLegendKey val="0"/>
          <c:showVal val="0"/>
          <c:showCatName val="0"/>
          <c:showSerName val="0"/>
          <c:showPercent val="0"/>
          <c:showBubbleSize val="0"/>
        </c:dLbls>
        <c:axId val="569502607"/>
        <c:axId val="569514127"/>
      </c:scatterChart>
      <c:valAx>
        <c:axId val="569514127"/>
        <c:scaling>
          <c:orientation val="minMax"/>
          <c:max val="11"/>
          <c:min val="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Calificación</a:t>
                </a:r>
              </a:p>
            </c:rich>
          </c:tx>
          <c:layout>
            <c:manualLayout>
              <c:xMode val="edge"/>
              <c:yMode val="edge"/>
              <c:x val="0.013917884481558803"/>
              <c:y val="0.3210217317018198"/>
            </c:manualLayout>
          </c:layout>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02607"/>
        <c:crosses val="autoZero"/>
        <c:crossBetween val="midCat"/>
      </c:valAx>
      <c:valAx>
        <c:axId val="569502607"/>
        <c:scaling>
          <c:orientation val="minMax"/>
        </c:scaling>
        <c:delete val="0"/>
        <c:axPos val="b"/>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1" i="0" u="none">
                    <a:solidFill>
                      <a:schemeClr val="tx1">
                        <a:lumMod val="65000"/>
                        <a:lumOff val="35000"/>
                      </a:schemeClr>
                    </a:solidFill>
                    <a:latin typeface="+mn-lt"/>
                    <a:ea typeface="+mn-lt"/>
                    <a:cs typeface="+mn-lt"/>
                  </a:rPr>
                  <a:t>L Curva de aprendizaje [meses]</a:t>
                </a:r>
              </a:p>
            </c:rich>
          </c:tx>
          <c:layout>
            <c:manualLayout>
              <c:xMode val="edge"/>
              <c:yMode val="edge"/>
              <c:x val="0.33670716003923307"/>
              <c:y val="0.9067172697595626"/>
            </c:manualLayout>
          </c:layout>
          <c:txPr>
            <a:bodyPr xmlns:a="http://schemas.openxmlformats.org/drawingml/2006/main" rot="0" vert="horz" anchor="ctr" anchorCtr="1"/>
            <a:lstStyle xmlns:a="http://schemas.openxmlformats.org/drawingml/2006/main"/>
            <a:p xmlns:a="http://schemas.openxmlformats.org/drawingml/2006/main">
              <a:pPr>
                <a:defRPr sz="1000" b="1"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14127"/>
        <c:crosses val="autoZero"/>
        <c:crossBetween val="midCat"/>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ayout>
        <c:manualLayout>
          <c:layoutTarget val="inner"/>
          <c:xMode val="edge"/>
          <c:yMode val="edge"/>
          <c:x val="0.10626074663422813"/>
          <c:y val="0.050784856879039705"/>
          <c:w val="0.8504267968591609"/>
          <c:h val="0.7279061981765947"/>
        </c:manualLayout>
      </c:layout>
      <c:scatterChart>
        <c:scatterStyle val="lineMarker"/>
        <c:ser>
          <c:idx val="0"/>
          <c:order val="0"/>
          <c:tx>
            <c:strRef>
              <c:f>Escalas!$B$96</c:f>
              <c:strCache>
                <c:ptCount val="1"/>
                <c:pt idx="0">
                  <c:v>L Curva de aprendizaje [meses]</c:v>
                </c:pt>
              </c:strCache>
            </c:strRef>
          </c:tx>
          <c:spPr>
            <a:ln xmlns:a="http://schemas.openxmlformats.org/drawingml/2006/main" w="25400">
              <a:noFill/>
            </a:ln>
          </c:spPr>
          <c:marker>
            <c:symbol val="circle"/>
            <c:size val="5"/>
            <c:spPr>
              <a:solidFill xmlns:a="http://schemas.openxmlformats.org/drawingml/2006/main">
                <a:schemeClr val="accent1"/>
              </a:solidFill>
              <a:ln xmlns:a="http://schemas.openxmlformats.org/drawingml/2006/main" w="9525">
                <a:solidFill>
                  <a:schemeClr val="accent1"/>
                </a:solidFill>
              </a:ln>
            </c:spPr>
          </c:marker>
          <c:xVal>
            <c:numRef>
              <c:f>Escalas!$J$204:$J$214</c:f>
              <c:numCache>
                <c:formatCode>General</c:formatCode>
                <c:ptCount val="11"/>
                <c:pt idx="0">
                  <c:v>1</c:v>
                </c:pt>
                <c:pt idx="1">
                  <c:v>1.5</c:v>
                </c:pt>
                <c:pt idx="2">
                  <c:v>2</c:v>
                </c:pt>
                <c:pt idx="3">
                  <c:v>2.5</c:v>
                </c:pt>
                <c:pt idx="4">
                  <c:v>3</c:v>
                </c:pt>
                <c:pt idx="5">
                  <c:v>3.5</c:v>
                </c:pt>
                <c:pt idx="6">
                  <c:v>4</c:v>
                </c:pt>
                <c:pt idx="7">
                  <c:v>4.5</c:v>
                </c:pt>
                <c:pt idx="8">
                  <c:v>5</c:v>
                </c:pt>
                <c:pt idx="9">
                  <c:v>5.5</c:v>
                </c:pt>
                <c:pt idx="10">
                  <c:v>6</c:v>
                </c:pt>
              </c:numCache>
            </c:numRef>
          </c:xVal>
          <c:yVal>
            <c:numRef>
              <c:f>Escalas!$E$204:$E$214</c:f>
              <c:numCache>
                <c:formatCode>General</c:formatCode>
                <c:ptCount val="11"/>
                <c:pt idx="0">
                  <c:v>10</c:v>
                </c:pt>
                <c:pt idx="1">
                  <c:v>9</c:v>
                </c:pt>
                <c:pt idx="2">
                  <c:v>8</c:v>
                </c:pt>
                <c:pt idx="3">
                  <c:v>7</c:v>
                </c:pt>
                <c:pt idx="4">
                  <c:v>6</c:v>
                </c:pt>
                <c:pt idx="5">
                  <c:v>5</c:v>
                </c:pt>
                <c:pt idx="6">
                  <c:v>4</c:v>
                </c:pt>
                <c:pt idx="7">
                  <c:v>3</c:v>
                </c:pt>
                <c:pt idx="8">
                  <c:v>2</c:v>
                </c:pt>
                <c:pt idx="9">
                  <c:v>1</c:v>
                </c:pt>
                <c:pt idx="10">
                  <c:v>0</c:v>
                </c:pt>
              </c:numCache>
            </c:numRef>
          </c:yVal>
        </c:ser>
        <c:dLbls>
          <c:showLegendKey val="0"/>
          <c:showVal val="0"/>
          <c:showCatName val="0"/>
          <c:showSerName val="0"/>
          <c:showPercent val="0"/>
          <c:showBubbleSize val="0"/>
        </c:dLbls>
        <c:axId val="569502607"/>
        <c:axId val="569514127"/>
      </c:scatterChart>
      <c:valAx>
        <c:axId val="569514127"/>
        <c:scaling>
          <c:orientation val="minMax"/>
          <c:max val="11"/>
          <c:min val="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Calificación</a:t>
                </a:r>
              </a:p>
            </c:rich>
          </c:tx>
          <c:layout>
            <c:manualLayout>
              <c:xMode val="edge"/>
              <c:yMode val="edge"/>
              <c:x val="0.013917884481558803"/>
              <c:y val="0.3210217317018198"/>
            </c:manualLayout>
          </c:layout>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02607"/>
        <c:crosses val="autoZero"/>
        <c:crossBetween val="midCat"/>
      </c:valAx>
      <c:valAx>
        <c:axId val="569502607"/>
        <c:scaling>
          <c:orientation val="minMax"/>
        </c:scaling>
        <c:delete val="0"/>
        <c:axPos val="b"/>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1" i="0" u="none">
                    <a:solidFill>
                      <a:schemeClr val="tx1">
                        <a:lumMod val="65000"/>
                        <a:lumOff val="35000"/>
                      </a:schemeClr>
                    </a:solidFill>
                    <a:latin typeface="+mn-lt"/>
                    <a:ea typeface="+mn-lt"/>
                    <a:cs typeface="+mn-lt"/>
                  </a:rPr>
                  <a:t>L Curva de aprendizaje [meses]</a:t>
                </a:r>
              </a:p>
            </c:rich>
          </c:tx>
          <c:layout>
            <c:manualLayout>
              <c:xMode val="edge"/>
              <c:yMode val="edge"/>
              <c:x val="0.33670716003923307"/>
              <c:y val="0.9067172697595626"/>
            </c:manualLayout>
          </c:layout>
          <c:txPr>
            <a:bodyPr xmlns:a="http://schemas.openxmlformats.org/drawingml/2006/main" rot="0" vert="horz" anchor="ctr" anchorCtr="1"/>
            <a:lstStyle xmlns:a="http://schemas.openxmlformats.org/drawingml/2006/main"/>
            <a:p xmlns:a="http://schemas.openxmlformats.org/drawingml/2006/main">
              <a:pPr>
                <a:defRPr sz="1000" b="1"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569514127"/>
        <c:crosses val="autoZero"/>
        <c:crossBetween val="midCat"/>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4.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scatterChart>
        <c:scatterStyle val="lineMarker"/>
        <c:ser>
          <c:idx val="0"/>
          <c:order val="0"/>
          <c:spPr>
            <a:ln xmlns:a="http://schemas.openxmlformats.org/drawingml/2006/main" w="19050">
              <a:noFill/>
            </a:ln>
          </c:spPr>
          <c:marker>
            <c:symbol val="circle"/>
            <c:size val="5"/>
            <c:spPr>
              <a:solidFill xmlns:a="http://schemas.openxmlformats.org/drawingml/2006/main">
                <a:schemeClr val="accent1"/>
              </a:solidFill>
              <a:ln xmlns:a="http://schemas.openxmlformats.org/drawingml/2006/main" w="9525">
                <a:solidFill>
                  <a:schemeClr val="accent1"/>
                </a:solidFill>
              </a:ln>
            </c:spPr>
          </c:marker>
          <c:dLbls>
            <c:dLbl>
              <c:idx val="1"/>
              <c:dLblPos val="r"/>
              <c:showLegendKey val="0"/>
              <c:showVal val="1"/>
              <c:showCatName val="1"/>
              <c:showSerName val="0"/>
              <c:showPercent val="0"/>
              <c:showBubbleSize val="0"/>
            </c:dLbl>
            <c:spPr>
              <a:noFill xmlns:a="http://schemas.openxmlformats.org/drawingml/2006/main"/>
              <a:ln xmlns:a="http://schemas.openxmlformats.org/drawingml/2006/main" w="6350">
                <a:solidFill>
                  <a:schemeClr val="accent1"/>
                </a:solid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dLblPos val="b"/>
            <c:showLegendKey val="0"/>
            <c:showVal val="1"/>
            <c:showCatName val="1"/>
            <c:showSerName val="0"/>
            <c:showPercent val="0"/>
            <c:showBubbleSize val="0"/>
            <c:showLeaderLines val="0"/>
          </c:dLbls>
          <c:trendline>
            <c:spPr>
              <a:ln xmlns:a="http://schemas.openxmlformats.org/drawingml/2006/main" w="19050">
                <a:solidFill>
                  <a:schemeClr val="accent1"/>
                </a:solidFill>
                <a:prstDash val="sysDot"/>
              </a:ln>
            </c:spPr>
            <c:trendlineType val="linear"/>
            <c:dispRSqr val="0"/>
            <c:dispEq val="0"/>
          </c:trendline>
          <c:trendline>
            <c:spPr>
              <a:ln xmlns:a="http://schemas.openxmlformats.org/drawingml/2006/main" w="19050">
                <a:solidFill>
                  <a:schemeClr val="accent1"/>
                </a:solidFill>
                <a:prstDash val="sysDot"/>
              </a:ln>
            </c:spPr>
            <c:trendlineType val="linear"/>
            <c:dispRSqr val="0"/>
            <c:dispEq val="1"/>
            <c:trendlineLbl>
              <c:layout>
                <c:manualLayout>
                  <c:x val="-0.16300385207590184"/>
                  <c:y val="-0.015145215938916726"/>
                </c:manualLayout>
              </c:layout>
              <c:numFmt formatCode="General" sourceLinked="0"/>
              <c:spPr>
                <a:noFill xmlns:a="http://schemas.openxmlformats.org/drawingml/2006/main"/>
                <a:ln xmlns:a="http://schemas.openxmlformats.org/drawingml/2006/main">
                  <a:noFill/>
                </a:ln>
              </c:spPr>
              <c:txPr>
                <a:bodyPr xmlns:a="http://schemas.openxmlformats.org/drawingml/2006/main" rot="0" vert="horz" anchor="ctr" anchorCtr="1"/>
                <a:lstStyle xmlns:a="http://schemas.openxmlformats.org/drawingml/2006/main"/>
                <a:p xmlns:a="http://schemas.openxmlformats.org/drawingml/2006/main">
                  <a:pPr>
                    <a:defRPr sz="1100" b="0" i="0" u="none">
                      <a:solidFill>
                        <a:schemeClr val="tx1">
                          <a:lumMod val="65000"/>
                          <a:lumOff val="35000"/>
                        </a:schemeClr>
                      </a:solidFill>
                      <a:latin typeface="+mn-lt"/>
                      <a:ea typeface="+mn-lt"/>
                      <a:cs typeface="+mn-lt"/>
                    </a:defRPr>
                  </a:pPr>
                </a:p>
              </c:txPr>
            </c:trendlineLbl>
          </c:trendline>
          <c:xVal>
            <c:numRef>
              <c:f>Objetivo!$K$27:$K$30</c:f>
              <c:numCache>
                <c:formatCode>General</c:formatCode>
                <c:ptCount val="4"/>
                <c:pt idx="0">
                  <c:v>6</c:v>
                </c:pt>
                <c:pt idx="1">
                  <c:v>2.5</c:v>
                </c:pt>
                <c:pt idx="2">
                  <c:v>2</c:v>
                </c:pt>
                <c:pt idx="3">
                  <c:v>1</c:v>
                </c:pt>
              </c:numCache>
            </c:numRef>
          </c:xVal>
          <c:yVal>
            <c:numRef>
              <c:f>Objetivo!$N$27:$N$30</c:f>
              <c:numCache>
                <c:formatCode>General</c:formatCode>
                <c:ptCount val="4"/>
                <c:pt idx="0">
                  <c:v>6</c:v>
                </c:pt>
                <c:pt idx="1">
                  <c:v>8.8</c:v>
                </c:pt>
                <c:pt idx="2">
                  <c:v>9.200000000000001</c:v>
                </c:pt>
                <c:pt idx="3">
                  <c:v>10</c:v>
                </c:pt>
              </c:numCache>
            </c:numRef>
          </c:yVal>
        </c:ser>
        <c:ser>
          <c:idx val="1"/>
          <c:order val="1"/>
          <c:tx>
            <c:strRef>
              <c:f>Objetivo!$J$15</c:f>
              <c:strCache>
                <c:ptCount val="1"/>
                <c:pt idx="0">
                  <c:v>Límite (t &gt; L → "No Go")</c:v>
                </c:pt>
              </c:strCache>
            </c:strRef>
          </c:tx>
          <c:spPr>
            <a:ln xmlns:a="http://schemas.openxmlformats.org/drawingml/2006/main" w="25400">
              <a:solidFill>
                <a:srgbClr val="FF0000"/>
              </a:solidFill>
              <a:prstDash val="lgDash"/>
            </a:ln>
          </c:spPr>
          <c:marker>
            <c:symbol val="circle"/>
            <c:size val="5"/>
            <c:spPr>
              <a:solidFill xmlns:a="http://schemas.openxmlformats.org/drawingml/2006/main">
                <a:schemeClr val="accent2"/>
              </a:solidFill>
              <a:ln xmlns:a="http://schemas.openxmlformats.org/drawingml/2006/main" w="9525">
                <a:solidFill>
                  <a:schemeClr val="accent2"/>
                </a:solidFill>
              </a:ln>
            </c:spPr>
          </c:marker>
          <c:dLbls>
            <c:dLbl>
              <c:idx val="0"/>
              <c:spPr>
                <a:solidFill xmlns:a="http://schemas.openxmlformats.org/drawingml/2006/main">
                  <a:schemeClr val="bg1"/>
                </a:solidFill>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rgbClr val="FF0000"/>
                      </a:solidFill>
                      <a:latin typeface="+mn-lt"/>
                      <a:ea typeface="+mn-lt"/>
                      <a:cs typeface="+mn-lt"/>
                    </a:defRPr>
                  </a:pPr>
                </a:p>
              </c:txPr>
              <c:dLblPos val="t"/>
              <c:showLegendKey val="0"/>
              <c:showVal val="0"/>
              <c:showCatName val="0"/>
              <c:showSerName val="1"/>
              <c:showPercent val="0"/>
              <c:showBubbleSize val="0"/>
            </c:dLbl>
            <c:dLbl>
              <c:idx val="1"/>
            </c:dLbl>
            <c:spPr>
              <a:solidFill xmlns:a="http://schemas.openxmlformats.org/drawingml/2006/main">
                <a:schemeClr val="bg1"/>
              </a:solidFill>
              <a:ln xmlns:a="http://schemas.openxmlformats.org/drawingml/2006/main">
                <a:noFill/>
              </a:ln>
            </c:spPr>
            <c:txPr>
              <a:bodyPr xmlns:a="http://schemas.openxmlformats.org/drawingml/2006/main" anchorCtr="1"/>
              <a:lstStyle xmlns:a="http://schemas.openxmlformats.org/drawingml/2006/main"/>
              <a:p xmlns:a="http://schemas.openxmlformats.org/drawingml/2006/main">
                <a:pPr>
                  <a:defRPr sz="900" b="0" i="0" u="none">
                    <a:solidFill>
                      <a:schemeClr val="tx1">
                        <a:lumMod val="75000"/>
                        <a:lumOff val="25000"/>
                      </a:schemeClr>
                    </a:solidFill>
                    <a:latin typeface="+mn-lt"/>
                    <a:ea typeface="+mn-lt"/>
                    <a:cs typeface="+mn-lt"/>
                  </a:defRPr>
                </a:pPr>
              </a:p>
            </c:txPr>
            <c:showLegendKey val="0"/>
            <c:showVal val="1"/>
            <c:showCatName val="0"/>
            <c:showSerName val="0"/>
            <c:showPercent val="0"/>
            <c:showBubbleSize val="0"/>
            <c:showLeaderLines val="0"/>
          </c:dLbls>
          <c:xVal>
            <c:numRef>
              <c:f>Objetivo!$K$32:$K$33</c:f>
              <c:numCache>
                <c:formatCode>General</c:formatCode>
                <c:ptCount val="2"/>
                <c:pt idx="0">
                  <c:v>5</c:v>
                </c:pt>
                <c:pt idx="1">
                  <c:v>5</c:v>
                </c:pt>
              </c:numCache>
            </c:numRef>
          </c:xVal>
          <c:yVal>
            <c:numRef>
              <c:f>Objetivo!$N$32:$N$33</c:f>
              <c:numCache>
                <c:formatCode>General</c:formatCode>
                <c:ptCount val="2"/>
                <c:pt idx="0">
                  <c:v>0</c:v>
                </c:pt>
                <c:pt idx="1">
                  <c:v>10</c:v>
                </c:pt>
              </c:numCache>
            </c:numRef>
          </c:yVal>
        </c:ser>
        <c:dLbls>
          <c:showLegendKey val="0"/>
          <c:showVal val="0"/>
          <c:showCatName val="0"/>
          <c:showSerName val="0"/>
          <c:showPercent val="0"/>
          <c:showBubbleSize val="0"/>
        </c:dLbls>
        <c:axId val="417117887"/>
        <c:axId val="2080526623"/>
      </c:scatterChart>
      <c:valAx>
        <c:axId val="2080526623"/>
        <c:scaling>
          <c:orientation val="minMax"/>
          <c:max val="10"/>
        </c:scaling>
        <c:delete val="0"/>
        <c:axPos val="l"/>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Calificación</a:t>
                </a:r>
              </a:p>
            </c:rich>
          </c:tx>
          <c:txPr>
            <a:bodyPr xmlns:a="http://schemas.openxmlformats.org/drawingml/2006/main" rot="-540000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17117887"/>
        <c:crosses val="autoZero"/>
        <c:crossBetween val="midCat"/>
      </c:valAx>
      <c:valAx>
        <c:axId val="417117887"/>
        <c:scaling>
          <c:orientation val="minMax"/>
        </c:scaling>
        <c:delete val="0"/>
        <c:axPos val="b"/>
        <c:majorGridlines>
          <c:spPr>
            <a:ln xmlns:a="http://schemas.openxmlformats.org/drawingml/2006/main" w="9525" cmpd="sng">
              <a:solidFill>
                <a:schemeClr val="tx1">
                  <a:lumMod val="15000"/>
                  <a:lumOff val="85000"/>
                </a:schemeClr>
              </a:solidFill>
            </a:ln>
          </c:spPr>
        </c:majorGridlines>
        <c:title>
          <c:tx>
            <c:rich>
              <a:bodyPr xmlns:a="http://schemas.openxmlformats.org/drawingml/2006/main"/>
              <a:lstStyle xmlns:a="http://schemas.openxmlformats.org/drawingml/2006/main"/>
              <a:p xmlns:a="http://schemas.openxmlformats.org/drawingml/2006/main">
                <a:r>
                  <a:rPr sz="1000" b="0" i="0" u="none">
                    <a:solidFill>
                      <a:schemeClr val="tx1">
                        <a:lumMod val="65000"/>
                        <a:lumOff val="35000"/>
                      </a:schemeClr>
                    </a:solidFill>
                    <a:latin typeface="+mn-lt"/>
                    <a:ea typeface="+mn-lt"/>
                    <a:cs typeface="+mn-lt"/>
                  </a:rPr>
                  <a:t>Tiempo de implementación [meses]</a:t>
                </a:r>
              </a:p>
            </c:rich>
          </c:tx>
          <c:txPr>
            <a:bodyPr xmlns:a="http://schemas.openxmlformats.org/drawingml/2006/main" rot="0" vert="horz" anchor="ctr" anchorCtr="1"/>
            <a:lstStyle xmlns:a="http://schemas.openxmlformats.org/drawingml/2006/main"/>
            <a:p xmlns:a="http://schemas.openxmlformats.org/drawingml/2006/main">
              <a:pPr>
                <a:defRPr sz="1000" b="0" i="0" u="none">
                  <a:solidFill>
                    <a:schemeClr val="tx1">
                      <a:lumMod val="65000"/>
                      <a:lumOff val="35000"/>
                    </a:schemeClr>
                  </a:solidFill>
                  <a:latin typeface="+mn-lt"/>
                  <a:ea typeface="+mn-lt"/>
                  <a:cs typeface="+mn-lt"/>
                </a:defRPr>
              </a:pPr>
            </a:p>
          </c:txPr>
        </c:title>
        <c:numFmt formatCode="General" sourceLinked="1"/>
        <c:majorTickMark val="none"/>
        <c:minorTickMark val="none"/>
        <c:tickLblPos val="nextTo"/>
        <c:spPr>
          <a:ln xmlns:a="http://schemas.openxmlformats.org/drawingml/2006/main" w="9525" cmpd="sng">
            <a:solidFill>
              <a:schemeClr val="tx1">
                <a:lumMod val="25000"/>
                <a:lumOff val="75000"/>
              </a:schemeClr>
            </a:solid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2080526623"/>
        <c:crosses val="autoZero"/>
        <c:crossBetween val="midCat"/>
      </c:valAx>
      <c:spPr>
        <a:noFill xmlns:a="http://schemas.openxmlformats.org/drawingml/2006/main"/>
        <a:ln xmlns:a="http://schemas.openxmlformats.org/drawingml/2006/main">
          <a:noFill/>
        </a:ln>
      </c:spPr>
    </c:plotArea>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editAs="oneCell">
    <xdr:from>
      <xdr:col>0</xdr:col>
      <xdr:colOff>0</xdr:colOff>
      <xdr:row>125</xdr:row>
      <xdr:rowOff>21405</xdr:rowOff>
    </xdr:from>
    <xdr:to>
      <xdr:col>15</xdr:col>
      <xdr:colOff>117231</xdr:colOff>
      <xdr:row>151</xdr:row>
      <xdr:rowOff>106574</xdr:rowOff>
    </xdr:to>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c20b40d6f1754c56"/>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1</xdr:row>
      <xdr:rowOff>15875</xdr:rowOff>
    </xdr:from>
    <xdr:to>
      <xdr:col>14</xdr:col>
      <xdr:colOff>96870</xdr:colOff>
      <xdr:row>31</xdr:row>
      <xdr:rowOff>136525</xdr:rowOff>
    </xdr:to>
    <xdr:pic>
      <xdr:nvPicPr>
        <xdr:cNvPr id="2" name="/xl/media/image.emf"/>
        <xdr:cNvPicPr>
          <a:picLocks xmlns:a="http://schemas.openxmlformats.org/drawingml/2006/main" noChangeAspect="1"/>
        </xdr:cNvPicPr>
      </xdr:nvPicPr>
      <xdr:blipFill>
        <a:blip xmlns:r="http://schemas.openxmlformats.org/officeDocument/2006/relationships" xmlns:a="http://schemas.openxmlformats.org/drawingml/2006/main" r:embed="R6b5fcd9f72414f60"/>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0</xdr:colOff>
      <xdr:row>35</xdr:row>
      <xdr:rowOff>9525</xdr:rowOff>
    </xdr:from>
    <xdr:to>
      <xdr:col>20</xdr:col>
      <xdr:colOff>482600</xdr:colOff>
      <xdr:row>90</xdr:row>
      <xdr:rowOff>25400</xdr:rowOff>
    </xdr:to>
    <xdr:pic>
      <xdr:nvPicPr>
        <xdr:cNvPr id="3" name="/xl/media/image2.emf"/>
        <xdr:cNvPicPr>
          <a:picLocks xmlns:a="http://schemas.openxmlformats.org/drawingml/2006/main" noChangeAspect="1"/>
        </xdr:cNvPicPr>
      </xdr:nvPicPr>
      <xdr:blipFill>
        <a:blip xmlns:r="http://schemas.openxmlformats.org/officeDocument/2006/relationships" xmlns:a="http://schemas.openxmlformats.org/drawingml/2006/main" r:embed="R6acceb448fc7436b"/>
        <a:stretch xmlns:a="http://schemas.openxmlformats.org/drawingml/2006/main">
          <a:fillRect/>
        </a:stretch>
      </xdr:blipFill>
      <xdr:spPr>
        <a:prstGeom xmlns:a="http://schemas.openxmlformats.org/drawingml/2006/main" prst="rect"/>
      </xdr:spPr>
    </xdr:pic>
    <xdr:clientData/>
  </xdr:twoCellAnchor>
  <xdr:twoCellAnchor editAs="oneCell">
    <xdr:from>
      <xdr:col>0</xdr:col>
      <xdr:colOff>1</xdr:colOff>
      <xdr:row>93</xdr:row>
      <xdr:rowOff>0</xdr:rowOff>
    </xdr:from>
    <xdr:to>
      <xdr:col>20</xdr:col>
      <xdr:colOff>577850</xdr:colOff>
      <xdr:row>123</xdr:row>
      <xdr:rowOff>120650</xdr:rowOff>
    </xdr:to>
    <xdr:pic>
      <xdr:nvPicPr>
        <xdr:cNvPr id="4" name="/xl/media/image3.emf"/>
        <xdr:cNvPicPr>
          <a:picLocks xmlns:a="http://schemas.openxmlformats.org/drawingml/2006/main" noChangeAspect="1"/>
        </xdr:cNvPicPr>
      </xdr:nvPicPr>
      <xdr:blipFill>
        <a:blip xmlns:r="http://schemas.openxmlformats.org/officeDocument/2006/relationships" xmlns:a="http://schemas.openxmlformats.org/drawingml/2006/main" r:embed="Ra51b0a15999b4e28"/>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xdr:from>
      <xdr:col>24</xdr:col>
      <xdr:colOff>541972</xdr:colOff>
      <xdr:row>53</xdr:row>
      <xdr:rowOff>35242</xdr:rowOff>
    </xdr:from>
    <xdr:to>
      <xdr:col>35</xdr:col>
      <xdr:colOff>115252</xdr:colOff>
      <xdr:row>73</xdr:row>
      <xdr:rowOff>111442</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50584c27a24540"/>
        </a:graphicData>
      </a:graphic>
    </xdr:graphicFrame>
    <xdr:clientData/>
  </xdr:twoCellAnchor>
</xdr:wsDr>
</file>

<file path=xl/drawings/drawing3.xml><?xml version="1.0" encoding="utf-8"?>
<xdr:wsDr xmlns:xdr="http://schemas.openxmlformats.org/drawingml/2006/spreadsheetDrawing">
  <xdr:twoCellAnchor>
    <xdr:from>
      <xdr:col>12</xdr:col>
      <xdr:colOff>134302</xdr:colOff>
      <xdr:row>95</xdr:row>
      <xdr:rowOff>2858</xdr:rowOff>
    </xdr:from>
    <xdr:to>
      <xdr:col>19</xdr:col>
      <xdr:colOff>225742</xdr:colOff>
      <xdr:row>105</xdr:row>
      <xdr:rowOff>142876</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85a367eb22436e"/>
        </a:graphicData>
      </a:graphic>
    </xdr:graphicFrame>
    <xdr:clientData/>
  </xdr:twoCellAnchor>
  <xdr:twoCellAnchor>
    <xdr:from>
      <xdr:col>12</xdr:col>
      <xdr:colOff>125730</xdr:colOff>
      <xdr:row>203</xdr:row>
      <xdr:rowOff>0</xdr:rowOff>
    </xdr:from>
    <xdr:to>
      <xdr:col>19</xdr:col>
      <xdr:colOff>211455</xdr:colOff>
      <xdr:row>213</xdr:row>
      <xdr:rowOff>142875</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913847d24b43a6"/>
        </a:graphicData>
      </a:graphic>
    </xdr:graphicFrame>
    <xdr:clientData/>
  </xdr:twoCellAnchor>
</xdr:wsDr>
</file>

<file path=xl/drawings/drawing4.xml><?xml version="1.0" encoding="utf-8"?>
<xdr:wsDr xmlns:xdr="http://schemas.openxmlformats.org/drawingml/2006/spreadsheetDrawing">
  <xdr:twoCellAnchor>
    <xdr:from>
      <xdr:col>1</xdr:col>
      <xdr:colOff>2857</xdr:colOff>
      <xdr:row>2</xdr:row>
      <xdr:rowOff>130492</xdr:rowOff>
    </xdr:from>
    <xdr:to>
      <xdr:col>8</xdr:col>
      <xdr:colOff>276225</xdr:colOff>
      <xdr:row>20</xdr:row>
      <xdr:rowOff>101917</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6fb9c2e2a434d8f"/>
        </a:graphicData>
      </a:graphic>
    </xdr:graphicFrame>
    <xdr:clientData/>
  </xdr:twoCellAnchor>
  <xdr:twoCellAnchor editAs="oneCell">
    <xdr:from>
      <xdr:col>16</xdr:col>
      <xdr:colOff>87235</xdr:colOff>
      <xdr:row>13</xdr:row>
      <xdr:rowOff>21086</xdr:rowOff>
    </xdr:from>
    <xdr:to>
      <xdr:col>26</xdr:col>
      <xdr:colOff>116205</xdr:colOff>
      <xdr:row>19</xdr:row>
      <xdr:rowOff>130919</xdr:rowOff>
    </xdr:to>
    <xdr:sp>
      <xdr:nvSpPr>
        <xdr:cNvPr id="2" name="CuadroTexto 4"/>
        <xdr:cNvSpPr>
          <a:spLocks xmlns:a="http://schemas.openxmlformats.org/drawingml/2006/main" noGrp="1"/>
        </xdr:cNvSpPr>
      </xdr:nvSpPr>
      <xdr:spPr>
        <a:xfrm xmlns:a="http://schemas.openxmlformats.org/drawingml/2006/main">
          <a:off x="11050510" y="1878461"/>
          <a:ext cx="4077095" cy="909933"/>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1100"/>
            <a:t>La respuesta a esta matriz formará parte de los compromisos contractuales de la firma</a:t>
          </a:r>
          <a:r>
            <a:rPr sz="1100"/>
            <a:t> asignada.</a:t>
          </a:r>
          <a:endParaRPr/>
        </a:p>
        <a:p xmlns:a="http://schemas.openxmlformats.org/drawingml/2006/main">
          <a:r>
            <a:rPr sz="1100"/>
            <a:t>SW se reserva el</a:t>
          </a:r>
          <a:r>
            <a:rPr sz="1100"/>
            <a:t> derecho de restablecer los límites mínimos y máximos.</a:t>
          </a:r>
          <a:endParaRPr/>
        </a:p>
      </xdr:txBody>
    </xdr:sp>
    <xdr:clientData/>
  </xdr:twoCellAnchor>
</xdr:wsDr>
</file>

<file path=xl/drawings/drawing5.xml><?xml version="1.0" encoding="utf-8"?>
<xdr:wsDr xmlns:xdr="http://schemas.openxmlformats.org/drawingml/2006/spreadsheetDrawing">
  <xdr:twoCellAnchor editAs="oneCell">
    <xdr:from>
      <xdr:col>6</xdr:col>
      <xdr:colOff>272240</xdr:colOff>
      <xdr:row>11</xdr:row>
      <xdr:rowOff>120347</xdr:rowOff>
    </xdr:from>
    <xdr:to>
      <xdr:col>7</xdr:col>
      <xdr:colOff>96971</xdr:colOff>
      <xdr:row>13</xdr:row>
      <xdr:rowOff>55384</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afca5f2343ab441f"/>
        <a:stretch xmlns:a="http://schemas.openxmlformats.org/drawingml/2006/main">
          <a:fillRect/>
        </a:stretch>
      </xdr:blipFill>
      <xdr:spPr>
        <a:prstGeom xmlns:a="http://schemas.openxmlformats.org/drawingml/2006/main" prst="rect"/>
      </xdr:spPr>
    </xdr:pic>
    <xdr:clientData/>
  </xdr:twoCellAnchor>
</xdr:wsDr>
</file>

<file path=xl/persons/person.xml><?xml version="1.0" encoding="utf-8"?>
<xltc:personList xmlns:xltc="http://schemas.microsoft.com/office/spreadsheetml/2018/threadedcomments">
  <xltc:person displayName="Walter Fernandez Gil" id="{51A9E946-ABE3-5550-8EA1-B83A767FDB54}"/>
  <xltc:person displayName="Walter Fernandez Gil" id="{FDFF7DE4-CA2A-AF97-2314-5E30AE40EEC9}"/>
  <xltc:person displayName="Walter Fernandez Gil" id="{DB92257E-8FFD-2D22-502B-9F5D4345462B}"/>
  <xltc:person displayName="Walter Fernandez Gil" id="{18227A19-C982-CA1E-1A3A-FB2D24E847E0}"/>
  <xltc:person displayName="Walter Fernandez Gil" id="{88F612B7-3C94-BA44-BAB6-FC80EDDF6D6B}"/>
  <xltc:person displayName="Walter Fernandez Gil" id="{822AD39B-FD4B-5980-48DA-8388288308DE}"/>
  <xltc:person displayName="Walter Fernandez Gil" id="{720EDF14-52FB-FD5E-17CF-582BDB61D420}"/>
</xltc:personList>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ables/table1.xml><?xml version="1.0" encoding="utf-8"?>
<x:table xmlns:x="http://schemas.openxmlformats.org/spreadsheetml/2006/main" id="8" name="Matriz" displayName="Matriz" ref="A2:AB270" totalsRowCount="1" headerRowCellStyle="Cabezón">
  <x:autoFilter ref="A2:AB269">
    <x:filterColumn colId="14">
      <x:filters>
        <x:filter val="1"/>
      </x:filters>
    </x:filterColumn>
  </x:autoFilter>
  <x:sortState ref="A4:AB269">
    <x:sortCondition ref="A2:A269"/>
  </x:sortState>
  <x:tableColumns count="28">
    <x:tableColumn id="13" name="Cat" totalsRowLabel="Total" dataDxfId="58">
      <x:calculatedColumnFormula>_xlfn.XLOOKUP(Matriz[[#This Row],[Categoría]],Categoría[Categoría],Categoría[Cat],"NA",0)</x:calculatedColumnFormula>
    </x:tableColumn>
    <x:tableColumn id="1" name="Categoría" dataDxfId="56"/>
    <x:tableColumn id="14" name="Par" dataDxfId="54">
      <x:calculatedColumnFormula>_xlfn.XLOOKUP(Matriz[[#This Row],[Parámetro]],Parámetro[Parámetro],Parámetro[Par],0,0)</x:calculatedColumnFormula>
    </x:tableColumn>
    <x:tableColumn id="2" name="Parámetro" dataDxfId="52"/>
    <x:tableColumn id="28" name="EDT" dataDxfId="50">
      <x:calculatedColumnFormula>Matriz[[#This Row],[Cat]]&amp;IF(Matriz[[#This Row],[Par]]=0,"","."&amp;Matriz[[#This Row],[Par]]&amp;"."&amp;TEXT(COUNTIFS(A$2:A3,Matriz[[#This Row],[Cat]],C$2:C3,Matriz[[#This Row],[Par]]),"000"))</x:calculatedColumnFormula>
    </x:tableColumn>
    <x:tableColumn id="34" name="# reque-rimientos" dataDxfId="48">
      <x:calculatedColumnFormula>IF(LEN(Matriz[[#This Row],[EDT]])=1,COUNTIF(Matriz[EDT],"?????????*"),IF(LEN(Matriz[[#This Row],[EDT]])=2,COUNTIF(Matriz[EDT],Matriz[[#This Row],[Cat]]&amp;"*")-1,0))</x:calculatedColumnFormula>
    </x:tableColumn>
    <x:tableColumn id="31" name="Res" dataDxfId="46">
      <x:calculatedColumnFormula>IF(Matriz[[#This Row],['# reque-rimientos]]&gt;0,"Sí","No")</x:calculatedColumnFormula>
    </x:tableColumn>
    <x:tableColumn id="32" name="Niv" dataDxfId="44">
      <x:calculatedColumnFormula>IF(Matriz[[#This Row],[Cat]]="0",0,IF(Matriz[[#This Row],[Par]]=0,1,LEN(Matriz[[#This Row],[EDT]])-LEN(SUBSTITUTE(Matriz[[#This Row],[EDT]],".",""))))</x:calculatedColumnFormula>
    </x:tableColumn>
    <x:tableColumn id="3" name="Requerimiento" totalsRowFunction="custom" dataDxfId="42">
      <x:totalsRowFormula>SUBTOTAL(103,Matriz[Requerimiento])-1</x:totalsRowFormula>
    </x:tableColumn>
    <x:tableColumn id="21" name="Und" dataDxfId="40"/>
    <x:tableColumn id="12" name="Comentario provisional" dataDxfId="38"/>
    <x:tableColumn id="29" name="Respuesta IA" dataDxfId="36"/>
    <x:tableColumn id="4" name="Responsable" dataDxfId="34"/>
    <x:tableColumn id="5" name="Explicación" dataDxfId="32"/>
    <x:tableColumn id="11" name="PMO Nivel" dataDxfId="30"/>
    <x:tableColumn id="22" name="Indis-pensable" dataDxfId="28"/>
    <x:tableColumn id="33" name="Diferen-ciador" dataDxfId="26"/>
    <x:tableColumn id="6" name="Impor-tancia" dataDxfId="24"/>
    <x:tableColumn id="20" name="Escala" dataDxfId="22"/>
    <x:tableColumn id="23" name="Sign" dataDxfId="20"/>
    <x:tableColumn id="27" name="Límite" dataDxfId="18"/>
    <x:tableColumn id="19" name="Costo opcional" dataDxfId="16"/>
    <x:tableColumn id="30" name="Documento por anexar" dataDxfId="14"/>
    <x:tableColumn id="78" name="Respuesta Ω" dataDxfId="12"/>
    <x:tableColumn id="80" name=" Costo adicional" dataDxfId="10"/>
    <x:tableColumn id="81" name=" Comentarios Ω" dataDxfId="8"/>
    <x:tableColumn id="82" name="Riesgo / Observación PMO" dataDxfId="6"/>
    <x:tableColumn id="83" name=" Calificación 01" dataDxfId="4"/>
  </x:tableColumns>
  <x:tableStyleInfo name="TableStyleMedium11" showFirstColumn="0" showLastColumn="0" showRowStripes="1" showColumnStripes="0"/>
</x:table>
</file>

<file path=xl/tables/table2.xml><?xml version="1.0" encoding="utf-8"?>
<x:table xmlns:x="http://schemas.openxmlformats.org/spreadsheetml/2006/main" id="11" name="Referencias" displayName="Referencias" ref="A1:N17" totalsRowShown="0" headerRowCellStyle="Cabezón">
  <x:autoFilter ref="A1:N17"/>
  <x:tableColumns count="14">
    <x:tableColumn id="1" name="Firma consultora"/>
    <x:tableColumn id="2" name="Empresa cliente"/>
    <x:tableColumn id="8" name="Ciudad o municipio"/>
    <x:tableColumn id="9" name="País"/>
    <x:tableColumn id="3" name="Nombre contacto"/>
    <x:tableColumn id="4" name="Email contacto"/>
    <x:tableColumn id="5" name="Teléfono contacto"/>
    <x:tableColumn id="10" name="Solución aplicada"/>
    <x:tableColumn id="6" name="Proyectos implementados"/>
    <x:tableColumn id="14" name="Actual (en curso) Sí/No"/>
    <x:tableColumn id="13" name="Tipo de proyecto (describir/sintetizar a criterio propio)"/>
    <x:tableColumn id="11" name="Rol específico de la firma consultora"/>
    <x:tableColumn id="12" name="Alcance funcional (PPM, recursos, portafolio, reporting)"/>
    <x:tableColumn id="7" name="Año"/>
  </x:tableColumns>
  <x:tableStyleInfo name="TableStyleMedium9" showFirstColumn="0" showLastColumn="0" showRowStripes="1" showColumnStripes="0"/>
</x:table>
</file>

<file path=xl/tables/table3.xml><?xml version="1.0" encoding="utf-8"?>
<x:table xmlns:x="http://schemas.openxmlformats.org/spreadsheetml/2006/main" id="2" name="Glosario" displayName="Glosario" ref="A1:G137" totalsRowShown="0" dataDxfId="222" headerRowBorderDxfId="223" headerRowCellStyle="Cabezón">
  <x:autoFilter ref="A1:G137"/>
  <x:tableColumns count="7">
    <x:tableColumn id="1" name="PAR" dataDxfId="219">
      <x:calculatedColumnFormula>_xlfn.XLOOKUP(Glosario[[#This Row],[Parámetro]],Parámetro[Parámetro],Parámetro[Par],"NA",0)</x:calculatedColumnFormula>
    </x:tableColumn>
    <x:tableColumn id="4" name="Parámetro" dataDxfId="218"/>
    <x:tableColumn id="3" name="Glosario ⬇️" dataDxfId="217"/>
    <x:tableColumn id="8" name="Orig" dataDxfId="216"/>
    <x:tableColumn id="6" name="Cont" dataDxfId="215">
      <x:calculatedColumnFormula>COUNTIF(Glosario[Glosario ⬇️],Glosario[[#This Row],[Glosario ⬇️]])</x:calculatedColumnFormula>
    </x:tableColumn>
    <x:tableColumn id="2" name="Descripción" dataDxfId="214"/>
    <x:tableColumn id="5" name="Imagen" dataDxfId="213"/>
  </x:tableColumns>
  <x:tableStyleInfo name="TableStyleMedium2" showFirstColumn="0" showLastColumn="0" showRowStripes="1" showColumnStripes="0"/>
</x:table>
</file>

<file path=xl/tables/table4.xml><?xml version="1.0" encoding="utf-8"?>
<x:table xmlns:x="http://schemas.openxmlformats.org/spreadsheetml/2006/main" id="1" name="Calificación" displayName="Calificación" ref="A1:B7" totalsRowShown="0" dataDxfId="211" headerRowCellStyle="Cabezón">
  <x:autoFilter ref="A1:B7"/>
  <x:sortState ref="A2:B6">
    <x:sortCondition ref="A2:A6"/>
  </x:sortState>
  <x:tableColumns count="2">
    <x:tableColumn id="1" name="Calificación" dataDxfId="210"/>
    <x:tableColumn id="2" name="Interpretación" dataDxfId="209"/>
  </x:tableColumns>
  <x:tableStyleInfo name="TableStyleMedium2" showFirstColumn="0" showLastColumn="0" showRowStripes="1" showColumnStripes="0"/>
</x:table>
</file>

<file path=xl/tables/table5.xml><?xml version="1.0" encoding="utf-8"?>
<x:table xmlns:x="http://schemas.openxmlformats.org/spreadsheetml/2006/main" id="3" name="Categoría" displayName="Categoría" ref="X1:AO11" totalsRowShown="0" dataDxfId="207" headerRowCellStyle="Cabezón">
  <x:autoFilter ref="X1:AO11"/>
  <x:tableColumns count="18">
    <x:tableColumn id="1" name="Cat" dataDxfId="206"/>
    <x:tableColumn id="2" name="Categoría" dataDxfId="205"/>
    <x:tableColumn id="14" name="# reque-rimientos" dataDxfId="204">
      <x:calculatedColumnFormula>IF(LEN(Categoría[[#This Row],[Cat]])=1,COUNTIF(Matriz[EDT],"?????????*"),COUNTIF(Matriz[EDT],Categoría[[#This Row],[Cat]]&amp;"*")-1)</x:calculatedColumnFormula>
    </x:tableColumn>
    <x:tableColumn id="4" name="∑ importancia" dataDxfId="203">
      <x:calculatedColumnFormula>SUMIF(Matriz[EDT],Categoría[[#This Row],[Cat]]&amp;"*",Matriz[Impor-tancia])</x:calculatedColumnFormula>
    </x:tableColumn>
    <x:tableColumn id="5" name="IMP CAT">
      <x:calculatedColumnFormula>Categoría[[#This Row],[∑ importancia]]/SUM(Categoría[∑ importancia])</x:calculatedColumnFormula>
    </x:tableColumn>
    <x:tableColumn id="3" name="% de la categoría" dataDxfId="202"/>
    <x:tableColumn id="10" name="IMP" dataDxfId="201"/>
    <x:tableColumn id="11" name="% IMP" dataDxfId="200">
      <x:calculatedColumnFormula>ROUND(Categoría[[#This Row],[IMP]]/SUM(Categoría[IMP]),2)</x:calculatedColumnFormula>
    </x:tableColumn>
    <x:tableColumn id="15" name="Recom. IA" dataDxfId="199"/>
    <x:tableColumn id="17" name="Columna2" dataDxfId="198"/>
    <x:tableColumn id="12" name="≥8" dataDxfId="197">
      <x:calculatedColumnFormula>IFERROR(COUNTIFS(Matriz[Cat],Categoría[[#This Row],[Cat]],Matriz[Res],"No",Matriz[Impor-tancia],"&gt;=8")/COUNTIFS(Matriz[Cat],Categoría[[#This Row],[Cat]],Matriz[Res],"No"),"NA")</x:calculatedColumnFormula>
    </x:tableColumn>
    <x:tableColumn id="16" name="7 - 5" dataDxfId="196">
      <x:calculatedColumnFormula>IFERROR(COUNTIFS(Matriz[Cat],Categoría[[#This Row],[Cat]],Matriz[Res],"No",Matriz[Impor-tancia],"&gt;=5",Matriz[Impor-tancia],"&lt;=7") / COUNTIFS(Matriz[Cat],Categoría[[#This Row],[Cat]],Matriz[Res],"No"), "NA")</x:calculatedColumnFormula>
    </x:tableColumn>
    <x:tableColumn id="13" name="≤4" dataDxfId="195">
      <x:calculatedColumnFormula>IFERROR(COUNTIFS(Matriz[Cat],Categoría[[#This Row],[Cat]],Matriz[Res],"No",Matriz[Impor-tancia],"&lt;=4")/COUNTIFS(Matriz[Cat],Categoría[[#This Row],[Cat]],Matriz[Res],"No"),"NA")</x:calculatedColumnFormula>
    </x:tableColumn>
    <x:tableColumn id="6" name="Calificación 1" dataDxfId="194"/>
    <x:tableColumn id="7" name="Calificación 2" dataDxfId="193"/>
    <x:tableColumn id="8" name="Calificación 3" dataDxfId="192"/>
    <x:tableColumn id="18" name="Calificación 4" dataDxfId="191"/>
    <x:tableColumn id="9" name="Calificación 5" dataDxfId="190"/>
  </x:tableColumns>
  <x:tableStyleInfo name="TableStyleMedium9" showFirstColumn="0" showLastColumn="0" showRowStripes="1" showColumnStripes="0"/>
</x:table>
</file>

<file path=xl/tables/table6.xml><?xml version="1.0" encoding="utf-8"?>
<x:table xmlns:x="http://schemas.openxmlformats.org/spreadsheetml/2006/main" id="4" name="Parámetro" displayName="Parámetro" ref="AQ1:AT32" totalsRowShown="0" dataDxfId="188">
  <x:autoFilter ref="AQ1:AT32"/>
  <x:tableColumns count="4">
    <x:tableColumn id="1" name="Par" dataDxfId="187"/>
    <x:tableColumn id="2" name="Parámetro" dataDxfId="186"/>
    <x:tableColumn id="3" name="Par_abb" dataDxfId="185"/>
    <x:tableColumn id="4" name="Significado" dataDxfId="184"/>
  </x:tableColumns>
  <x:tableStyleInfo name="TableStyleMedium9" showFirstColumn="0" showLastColumn="0" showRowStripes="1" showColumnStripes="0"/>
</x:table>
</file>

<file path=xl/tables/table7.xml><?xml version="1.0" encoding="utf-8"?>
<x:table xmlns:x="http://schemas.openxmlformats.org/spreadsheetml/2006/main" id="5" name="PMON" displayName="PMON" ref="M1:R6" totalsRowShown="0" dataDxfId="182" headerRowCellStyle="Cabezón">
  <x:autoFilter ref="M1:R6"/>
  <x:sortState ref="M2:O6">
    <x:sortCondition ref="M1:M6"/>
  </x:sortState>
  <x:tableColumns count="6">
    <x:tableColumn id="1" name="N" dataDxfId="181"/>
    <x:tableColumn id="4" name="Nivel"/>
    <x:tableColumn id="2" name="PMO" dataDxfId="180"/>
    <x:tableColumn id="3" name="Descripción" dataDxfId="179"/>
    <x:tableColumn id="5" name="Cobertura deseada" dataDxfId="178"/>
    <x:tableColumn id="6" name="Alcance" dataDxfId="177"/>
  </x:tableColumns>
  <x:tableStyleInfo name="TableStyleMedium2" showFirstColumn="0" showLastColumn="0" showRowStripes="1" showColumnStripes="0"/>
</x:table>
</file>

<file path=xl/tables/table8.xml><?xml version="1.0" encoding="utf-8"?>
<x:table xmlns:x="http://schemas.openxmlformats.org/spreadsheetml/2006/main" id="6" name="ImpoRangos" displayName="ImpoRangos" ref="D1:I5" totalsRowShown="0" dataDxfId="175" headerRowCellStyle="Cabezón">
  <x:autoFilter ref="D1:I5"/>
  <x:tableColumns count="6">
    <x:tableColumn id="1" name="Import" dataDxfId="172"/>
    <x:tableColumn id="6" name="Significado" dataDxfId="171"/>
    <x:tableColumn id="2" name="Impor-tancia" dataDxfId="170"/>
    <x:tableColumn id="3" name="Aplicación" dataDxfId="169"/>
    <x:tableColumn id="5" name="Diferenciador" dataDxfId="168"/>
    <x:tableColumn id="4" name="Color" dataDxfId="167"/>
  </x:tableColumns>
  <x:tableStyleInfo name="TableStyleMedium9" showFirstColumn="0" showLastColumn="0" showRowStripes="1" showColumnStripes="0"/>
</x:table>
</file>

<file path=xl/tables/table9.xml><?xml version="1.0" encoding="utf-8"?>
<x:table xmlns:x="http://schemas.openxmlformats.org/spreadsheetml/2006/main" id="10" name="SiNo" displayName="SiNo" ref="AV1:AW3" totalsRowShown="0" headerRowCellStyle="Cabezón">
  <x:autoFilter ref="AV1:AW3"/>
  <x:tableColumns count="2">
    <x:tableColumn id="1" name="S/N"/>
    <x:tableColumn id="2" name="Valor"/>
  </x:tableColumns>
  <x:tableStyleInfo name="TableStyleMedium2" showFirstColumn="0" showLastColumn="0" showRowStripes="1" showColumnStripes="0"/>
</x:table>
</file>

<file path=xl/tables/table10.xml><?xml version="1.0" encoding="utf-8"?>
<x:table xmlns:x="http://schemas.openxmlformats.org/spreadsheetml/2006/main" id="12" name="Diferenciador" displayName="Diferenciador" ref="U1:V5" totalsRowShown="0" headerRowCellStyle="Cabezón">
  <x:autoFilter ref="U1:V5"/>
  <x:tableColumns count="2">
    <x:tableColumn id="1" name="Dif"/>
    <x:tableColumn id="2" name="Diferenciador"/>
  </x:tableColumns>
  <x:tableStyleInfo name="TableStyleMedium9" showFirstColumn="0" showLastColumn="0" showRowStripes="1" showColumnStripes="0"/>
</x:table>
</file>

<file path=xl/tables/table11.xml><?xml version="1.0" encoding="utf-8"?>
<x:table xmlns:x="http://schemas.openxmlformats.org/spreadsheetml/2006/main" id="13" name="TRM" displayName="TRM" ref="AY1:BF5" totalsRowShown="0" headerRowCellStyle="Cabezón">
  <x:autoFilter ref="AY1:BF5"/>
  <x:tableColumns count="8">
    <x:tableColumn id="1" name="Moneda"/>
    <x:tableColumn id="2" name="MON"/>
    <x:tableColumn id="3" name="Estándar matemático"/>
    <x:tableColumn id="4" name="Estándar financiero"/>
    <x:tableColumn id="5" name="Tasa ≥1" dataDxfId="163"/>
    <x:tableColumn id="6" name="TRM" dataDxfId="162">
      <x:calculatedColumnFormula>TRM[[#This Row],[Tasa ≥1]]</x:calculatedColumnFormula>
    </x:tableColumn>
    <x:tableColumn id="8" name="TRMO" dataDxfId="161"/>
    <x:tableColumn id="7" name="TRM1" dataDxfId="160"/>
  </x:tableColumns>
  <x:tableStyleInfo name="TableStyleMedium9" showFirstColumn="0" showLastColumn="0" showRowStripes="1" showColumnStripes="0"/>
</x:table>
</file>

<file path=xl/tables/table12.xml><?xml version="1.0" encoding="utf-8"?>
<x:table xmlns:x="http://schemas.openxmlformats.org/spreadsheetml/2006/main" id="7" name="FormPayLic" displayName="FormPayLic" ref="BH1:BI5" totalsRowShown="0" dataDxfId="158" headerRowCellStyle="Cabezón">
  <x:autoFilter ref="BH1:BI5"/>
  <x:tableColumns count="2">
    <x:tableColumn id="1" name="Forma de pago licencias" dataDxfId="157"/>
    <x:tableColumn id="2" name="Explicación forma de pago licencias" dataDxfId="156"/>
  </x:tableColumns>
  <x:tableStyleInfo name="TableStyleMedium2" showFirstColumn="0" showLastColumn="0" showRowStripes="1" showColumnStripes="0"/>
</x:table>
</file>

<file path=xl/tables/table13.xml><?xml version="1.0" encoding="utf-8"?>
<x:table xmlns:x="http://schemas.openxmlformats.org/spreadsheetml/2006/main" id="16" name="FormPayCons" displayName="FormPayCons" ref="BH7:BI13" totalsRowShown="0">
  <x:autoFilter ref="BH7:BI13"/>
  <x:tableColumns count="2">
    <x:tableColumn id="1" name="Forma de pago consultoría"/>
    <x:tableColumn id="2" name="Explicación forma de pago consultoría"/>
  </x:tableColumns>
  <x:tableStyleInfo name="TableStyleMedium9" showFirstColumn="0" showLastColumn="0" showRowStripes="1" showColumnStripes="0"/>
</x:table>
</file>

<file path=xl/tables/table14.xml><?xml version="1.0" encoding="utf-8"?>
<x:table xmlns:x="http://schemas.openxmlformats.org/spreadsheetml/2006/main" id="17" name="FormPayBols" displayName="FormPayBols" ref="BH16:BI22" totalsRowShown="0" dataDxfId="152" headerRowBorderDxfId="153">
  <x:autoFilter ref="BH16:BI22"/>
  <x:tableColumns count="2">
    <x:tableColumn id="1" name="Forma de pago bolsa de horas" dataDxfId="151"/>
    <x:tableColumn id="2" name="Explicación forma de pago bolsa de horas" dataDxfId="150"/>
  </x:tableColumns>
  <x:tableStyleInfo name="TableStyleMedium9" showFirstColumn="0" showLastColumn="0" showRowStripes="1" showColumnStripes="0"/>
</x:table>
</file>

<file path=xl/tables/table15.xml><?xml version="1.0" encoding="utf-8"?>
<x:table xmlns:x="http://schemas.openxmlformats.org/spreadsheetml/2006/main" id="18" name="MonScale" displayName="MonScale" ref="AY7:BC11" totalsRowShown="0">
  <x:autoFilter ref="AY7:BC11"/>
  <x:tableColumns count="5">
    <x:tableColumn id="1" name="Escala" dataDxfId="148">
      <x:calculatedColumnFormula>MonScale[[#This Row],[u]]&amp;" "&amp;MonScale[[#This Row],[Und]]</x:calculatedColumnFormula>
    </x:tableColumn>
    <x:tableColumn id="2" name="u"/>
    <x:tableColumn id="3" name="Und"/>
    <x:tableColumn id="4" name="Columna1"/>
    <x:tableColumn id="5" name="Valor" dataDxfId="147"/>
  </x:tableColumns>
  <x:tableStyleInfo name="TableStyleMedium9" showFirstColumn="0" showLastColumn="0" showRowStripes="1" showColumnStripes="0"/>
</x:table>
</file>

<file path=xl/tables/table16.xml><?xml version="1.0" encoding="utf-8"?>
<x:table xmlns:x="http://schemas.openxmlformats.org/spreadsheetml/2006/main" id="14" name="TCO_15" displayName="TCO_15" ref="A45:AR78" totalsRowCount="1" headerRowCellStyle="Cabezón">
  <x:tableColumns count="44">
    <x:tableColumn id="1" name="Flujo mensual de Inversión y Costos" totalsRowLabel="Total"/>
    <x:tableColumn id="44" name="MON" dataDxfId="145">
      <x:calculatedColumnFormula>B4</x:calculatedColumnFormula>
    </x:tableColumn>
    <x:tableColumn id="39" name="MON Report" dataDxfId="143"/>
    <x:tableColumn id="41" name="TRM" dataDxfId="141">
      <x:calculatedColumnFormula>IFERROR(1/_xlfn.XLOOKUP(TCO_15[[#This Row],[MON Report]]&amp;"/"&amp;TCO_15[[#This Row],[MON]],TRM[Estándar financiero],TRM[Tasa ≥1],0,0),0)+_xlfn.XLOOKUP(TCO_15[[#This Row],[MON]]&amp;"/"&amp;TCO_15[[#This Row],[MON Report]],TRM[Estándar financiero],TRM[Tasa ≥1],0,0)</x:calculatedColumnFormula>
    </x:tableColumn>
    <x:tableColumn id="2" name="Valor básico"/>
    <x:tableColumn id="40" name="Explicación"/>
    <x:tableColumn id="3" name="mes 01" totalsRowFunction="custom">
      <x:totalsRowFormula>SUM(G47:G77)</x:totalsRowFormula>
    </x:tableColumn>
    <x:tableColumn id="4" name="mes 02" totalsRowFunction="custom" dataDxfId="138">
      <x:calculatedColumnFormula>$E17*H16*TCO_15[[#This Row],[TRM]]</x:calculatedColumnFormula>
      <x:totalsRowFormula>SUM(H47:H77)</x:totalsRowFormula>
    </x:tableColumn>
    <x:tableColumn id="5" name="mes 03" totalsRowFunction="custom" dataDxfId="136">
      <x:calculatedColumnFormula>$E17*I16*TCO_15[[#This Row],[TRM]]</x:calculatedColumnFormula>
      <x:totalsRowFormula>SUM(I47:I77)</x:totalsRowFormula>
    </x:tableColumn>
    <x:tableColumn id="6" name="mes 04" totalsRowFunction="custom" dataDxfId="134">
      <x:calculatedColumnFormula>$E17*J16*TCO_15[[#This Row],[TRM]]</x:calculatedColumnFormula>
      <x:totalsRowFormula>SUM(J47:J77)</x:totalsRowFormula>
    </x:tableColumn>
    <x:tableColumn id="7" name="mes 05" totalsRowFunction="custom" dataDxfId="132">
      <x:calculatedColumnFormula>$E17*K16*TCO_15[[#This Row],[TRM]]</x:calculatedColumnFormula>
      <x:totalsRowFormula>SUM(K47:K77)</x:totalsRowFormula>
    </x:tableColumn>
    <x:tableColumn id="8" name="mes 06" totalsRowFunction="custom" dataDxfId="130">
      <x:calculatedColumnFormula>$E17*L16*TCO_15[[#This Row],[TRM]]</x:calculatedColumnFormula>
      <x:totalsRowFormula>SUM(L47:L77)</x:totalsRowFormula>
    </x:tableColumn>
    <x:tableColumn id="9" name="mes 07" totalsRowFunction="custom" dataDxfId="128">
      <x:calculatedColumnFormula>$E17*M16*TCO_15[[#This Row],[TRM]]</x:calculatedColumnFormula>
      <x:totalsRowFormula>SUM(M47:M77)</x:totalsRowFormula>
    </x:tableColumn>
    <x:tableColumn id="10" name="mes 08" totalsRowFunction="custom" dataDxfId="126">
      <x:calculatedColumnFormula>$E17*N16*TCO_15[[#This Row],[TRM]]</x:calculatedColumnFormula>
      <x:totalsRowFormula>SUM(N47:N77)</x:totalsRowFormula>
    </x:tableColumn>
    <x:tableColumn id="11" name="mes 09" totalsRowFunction="custom" dataDxfId="124">
      <x:calculatedColumnFormula>$E17*O16*TCO_15[[#This Row],[TRM]]</x:calculatedColumnFormula>
      <x:totalsRowFormula>SUM(O47:O77)</x:totalsRowFormula>
    </x:tableColumn>
    <x:tableColumn id="12" name="mes 10" totalsRowFunction="custom" dataDxfId="122">
      <x:calculatedColumnFormula>$E17*P16*TCO_15[[#This Row],[TRM]]</x:calculatedColumnFormula>
      <x:totalsRowFormula>SUM(P47:P77)</x:totalsRowFormula>
    </x:tableColumn>
    <x:tableColumn id="13" name="mes 11" totalsRowFunction="custom" dataDxfId="120">
      <x:calculatedColumnFormula>$E17*Q16*TCO_15[[#This Row],[TRM]]</x:calculatedColumnFormula>
      <x:totalsRowFormula>SUM(Q47:Q77)</x:totalsRowFormula>
    </x:tableColumn>
    <x:tableColumn id="14" name="mes 12" totalsRowFunction="custom" dataDxfId="118">
      <x:calculatedColumnFormula>$E17*R16*TCO_15[[#This Row],[TRM]]</x:calculatedColumnFormula>
      <x:totalsRowFormula>SUM(R47:R77)</x:totalsRowFormula>
    </x:tableColumn>
    <x:tableColumn id="15" name="mes 13" totalsRowFunction="custom" dataDxfId="116">
      <x:calculatedColumnFormula>$E17*S16*TCO_15[[#This Row],[TRM]]</x:calculatedColumnFormula>
      <x:totalsRowFormula>SUM(S47:S77)</x:totalsRowFormula>
    </x:tableColumn>
    <x:tableColumn id="16" name="mes 14" totalsRowFunction="custom" dataDxfId="114">
      <x:calculatedColumnFormula>$E17*T16*TCO_15[[#This Row],[TRM]]</x:calculatedColumnFormula>
      <x:totalsRowFormula>SUM(T47:T77)</x:totalsRowFormula>
    </x:tableColumn>
    <x:tableColumn id="17" name="mes 15" totalsRowFunction="custom" dataDxfId="112">
      <x:calculatedColumnFormula>$E17*U16*TCO_15[[#This Row],[TRM]]</x:calculatedColumnFormula>
      <x:totalsRowFormula>SUM(U47:U77)</x:totalsRowFormula>
    </x:tableColumn>
    <x:tableColumn id="18" name="mes 16" totalsRowFunction="custom" dataDxfId="110">
      <x:calculatedColumnFormula>$E17*V16*TCO_15[[#This Row],[TRM]]</x:calculatedColumnFormula>
      <x:totalsRowFormula>SUM(V47:V77)</x:totalsRowFormula>
    </x:tableColumn>
    <x:tableColumn id="19" name="mes 17" totalsRowFunction="custom" dataDxfId="108">
      <x:calculatedColumnFormula>$E17*W16*TCO_15[[#This Row],[TRM]]</x:calculatedColumnFormula>
      <x:totalsRowFormula>SUM(W47:W77)</x:totalsRowFormula>
    </x:tableColumn>
    <x:tableColumn id="20" name="mes 18" totalsRowFunction="custom" dataDxfId="106">
      <x:calculatedColumnFormula>$E17*X16*TCO_15[[#This Row],[TRM]]</x:calculatedColumnFormula>
      <x:totalsRowFormula>SUM(X47:X77)</x:totalsRowFormula>
    </x:tableColumn>
    <x:tableColumn id="21" name="mes 19" totalsRowFunction="custom" dataDxfId="104">
      <x:calculatedColumnFormula>$E17*Y16*TCO_15[[#This Row],[TRM]]</x:calculatedColumnFormula>
      <x:totalsRowFormula>SUM(Y47:Y77)</x:totalsRowFormula>
    </x:tableColumn>
    <x:tableColumn id="22" name="mes 20" totalsRowFunction="custom" dataDxfId="102">
      <x:calculatedColumnFormula>$E17*Z16*TCO_15[[#This Row],[TRM]]</x:calculatedColumnFormula>
      <x:totalsRowFormula>SUM(Z47:Z77)</x:totalsRowFormula>
    </x:tableColumn>
    <x:tableColumn id="23" name="mes 21" totalsRowFunction="custom" dataDxfId="100">
      <x:calculatedColumnFormula>$E17*AA16*TCO_15[[#This Row],[TRM]]</x:calculatedColumnFormula>
      <x:totalsRowFormula>SUM(AA47:AA77)</x:totalsRowFormula>
    </x:tableColumn>
    <x:tableColumn id="24" name="mes 22" totalsRowFunction="custom" dataDxfId="98">
      <x:calculatedColumnFormula>$E17*AB16*TCO_15[[#This Row],[TRM]]</x:calculatedColumnFormula>
      <x:totalsRowFormula>SUM(AB47:AB77)</x:totalsRowFormula>
    </x:tableColumn>
    <x:tableColumn id="25" name="mes 23" totalsRowFunction="custom" dataDxfId="96">
      <x:calculatedColumnFormula>$E17*AC16*TCO_15[[#This Row],[TRM]]</x:calculatedColumnFormula>
      <x:totalsRowFormula>SUM(AC47:AC77)</x:totalsRowFormula>
    </x:tableColumn>
    <x:tableColumn id="26" name="mes 24" totalsRowFunction="custom" dataDxfId="94">
      <x:calculatedColumnFormula>$E17*AD16*TCO_15[[#This Row],[TRM]]</x:calculatedColumnFormula>
      <x:totalsRowFormula>SUM(AD47:AD77)</x:totalsRowFormula>
    </x:tableColumn>
    <x:tableColumn id="27" name="mes 25" totalsRowFunction="custom" dataDxfId="92">
      <x:calculatedColumnFormula>$E17*AE16*TCO_15[[#This Row],[TRM]]</x:calculatedColumnFormula>
      <x:totalsRowFormula>SUM(AE47:AE77)</x:totalsRowFormula>
    </x:tableColumn>
    <x:tableColumn id="28" name="mes 26" totalsRowFunction="custom" dataDxfId="90">
      <x:calculatedColumnFormula>$E17*AF16*TCO_15[[#This Row],[TRM]]</x:calculatedColumnFormula>
      <x:totalsRowFormula>SUM(AF47:AF77)</x:totalsRowFormula>
    </x:tableColumn>
    <x:tableColumn id="29" name="mes 27" totalsRowFunction="custom" dataDxfId="88">
      <x:calculatedColumnFormula>$E17*AG16*TCO_15[[#This Row],[TRM]]</x:calculatedColumnFormula>
      <x:totalsRowFormula>SUM(AG47:AG77)</x:totalsRowFormula>
    </x:tableColumn>
    <x:tableColumn id="30" name="mes 28" totalsRowFunction="custom" dataDxfId="86">
      <x:calculatedColumnFormula>$E17*AH16*TCO_15[[#This Row],[TRM]]</x:calculatedColumnFormula>
      <x:totalsRowFormula>SUM(AH47:AH77)</x:totalsRowFormula>
    </x:tableColumn>
    <x:tableColumn id="31" name="mes 29" totalsRowFunction="custom" dataDxfId="84">
      <x:calculatedColumnFormula>$E17*AI16*TCO_15[[#This Row],[TRM]]</x:calculatedColumnFormula>
      <x:totalsRowFormula>SUM(AI47:AI77)</x:totalsRowFormula>
    </x:tableColumn>
    <x:tableColumn id="32" name="mes 30" totalsRowFunction="custom" dataDxfId="82">
      <x:calculatedColumnFormula>$E17*AJ16*TCO_15[[#This Row],[TRM]]</x:calculatedColumnFormula>
      <x:totalsRowFormula>SUM(AJ47:AJ77)</x:totalsRowFormula>
    </x:tableColumn>
    <x:tableColumn id="33" name="mes 31" totalsRowFunction="custom" dataDxfId="80">
      <x:calculatedColumnFormula>$E17*AK16*TCO_15[[#This Row],[TRM]]</x:calculatedColumnFormula>
      <x:totalsRowFormula>SUM(AK47:AK77)</x:totalsRowFormula>
    </x:tableColumn>
    <x:tableColumn id="34" name="mes 32" totalsRowFunction="custom" dataDxfId="78">
      <x:calculatedColumnFormula>$E17*AL16*TCO_15[[#This Row],[TRM]]</x:calculatedColumnFormula>
      <x:totalsRowFormula>SUM(AL47:AL77)</x:totalsRowFormula>
    </x:tableColumn>
    <x:tableColumn id="35" name="mes 33" totalsRowFunction="custom" dataDxfId="76">
      <x:calculatedColumnFormula>$E17*AM16*TCO_15[[#This Row],[TRM]]</x:calculatedColumnFormula>
      <x:totalsRowFormula>SUM(AM47:AM77)</x:totalsRowFormula>
    </x:tableColumn>
    <x:tableColumn id="36" name="mes 34" totalsRowFunction="custom" dataDxfId="74">
      <x:calculatedColumnFormula>$E17*AN16*TCO_15[[#This Row],[TRM]]</x:calculatedColumnFormula>
      <x:totalsRowFormula>SUM(AN47:AN77)</x:totalsRowFormula>
    </x:tableColumn>
    <x:tableColumn id="37" name="mes 35" totalsRowFunction="custom" dataDxfId="72">
      <x:calculatedColumnFormula>$E17*AO16*TCO_15[[#This Row],[TRM]]</x:calculatedColumnFormula>
      <x:totalsRowFormula>SUM(AO47:AO77)</x:totalsRowFormula>
    </x:tableColumn>
    <x:tableColumn id="38" name="mes 36" totalsRowFunction="custom" dataDxfId="70">
      <x:calculatedColumnFormula>$E17*AP16*TCO_15[[#This Row],[TRM]]</x:calculatedColumnFormula>
      <x:totalsRowFormula>SUM(AP47:AP77)</x:totalsRowFormula>
    </x:tableColumn>
    <x:tableColumn id="42" name="Total" dataDxfId="68">
      <x:calculatedColumnFormula>SUM(TCO_15[[#This Row],[mes 01]:[mes 36]])</x:calculatedColumnFormula>
    </x:tableColumn>
    <x:tableColumn id="43" name="Clas" dataDxfId="66"/>
  </x:tableColumns>
  <x:tableStyleInfo name="TableStyleLight14" showFirstColumn="0" showLastColumn="0" showRowStripes="1" showColumnStripes="0"/>
</x: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b96815c023b4926" /><Relationship Type="http://schemas.openxmlformats.org/officeDocument/2006/relationships/vmlDrawing" Target="/xl/drawings/vmldrawing.vml" Id="Rc687c4ba1a184404" /><Relationship Type="http://schemas.openxmlformats.org/officeDocument/2006/relationships/table" Target="/xl/tables/table1.xml" Id="R58d38ac494474023" /></Relationships>
</file>

<file path=xl/worksheets/_rels/sheet2.xml.rels>&#65279;<?xml version="1.0" encoding="utf-8"?><Relationships xmlns="http://schemas.openxmlformats.org/package/2006/relationships"><Relationship Type="http://schemas.openxmlformats.org/officeDocument/2006/relationships/drawing" Target="/xl/drawings/drawing1.xml" Id="Rdcd5a9c052dc4d0c" /></Relationships>
</file>

<file path=xl/worksheets/_rels/sheet3.xml.rels>&#65279;<?xml version="1.0" encoding="utf-8"?><Relationships xmlns="http://schemas.openxmlformats.org/package/2006/relationships"><Relationship Type="http://schemas.openxmlformats.org/officeDocument/2006/relationships/comments" Target="/xl/comments2.xml" Id="R07b7372ee97d4c4e" /><Relationship Type="http://schemas.openxmlformats.org/officeDocument/2006/relationships/vmlDrawing" Target="/xl/drawings/vmldrawing2.vml" Id="R4a3808ca0c5c4e66" /></Relationships>
</file>

<file path=xl/worksheets/_rels/sheet4.xml.rels>&#65279;<?xml version="1.0" encoding="utf-8"?><Relationships xmlns="http://schemas.openxmlformats.org/package/2006/relationships"><Relationship Type="http://schemas.openxmlformats.org/officeDocument/2006/relationships/comments" Target="/xl/comments3.xml" Id="R879c6d0f42f44a1b" /><Relationship Type="http://schemas.openxmlformats.org/officeDocument/2006/relationships/vmlDrawing" Target="/xl/drawings/vmldrawing3.vml" Id="R6338bbd6088948fa" /><Relationship Type="http://schemas.openxmlformats.org/officeDocument/2006/relationships/table" Target="/xl/tables/table2.xml" Id="R48529ab1152b4f8a" /></Relationships>
</file>

<file path=xl/worksheets/_rels/sheet5.xml.rels>&#65279;<?xml version="1.0" encoding="utf-8"?><Relationships xmlns="http://schemas.openxmlformats.org/package/2006/relationships"><Relationship Type="http://schemas.openxmlformats.org/officeDocument/2006/relationships/comments" Target="/xl/comments4.xml" Id="R7cc7238497fd4c4b" /><Relationship Type="http://schemas.openxmlformats.org/officeDocument/2006/relationships/vmlDrawing" Target="/xl/drawings/vmldrawing4.vml" Id="R2923750b22504cc6" /><Relationship Type="http://schemas.openxmlformats.org/officeDocument/2006/relationships/table" Target="/xl/tables/table3.xml" Id="Rb12c8836850b459d" /></Relationships>
</file>

<file path=xl/worksheets/_rels/sheet6.xml.rels>&#65279;<?xml version="1.0" encoding="utf-8"?><Relationships xmlns="http://schemas.openxmlformats.org/package/2006/relationships"><Relationship Type="http://schemas.openxmlformats.org/officeDocument/2006/relationships/comments" Target="/xl/comments5.xml" Id="R3e9a379cc1594498" /><Relationship Type="http://schemas.openxmlformats.org/officeDocument/2006/relationships/vmlDrawing" Target="/xl/drawings/vmldrawing5.vml" Id="R58c5cb0b59a1442d" /><Relationship Type="http://schemas.openxmlformats.org/officeDocument/2006/relationships/drawing" Target="/xl/drawings/drawing2.xml" Id="R4fde7dc1c57f4590" /><Relationship Type="http://schemas.openxmlformats.org/officeDocument/2006/relationships/table" Target="/xl/tables/table4.xml" Id="R08da9a18445f4fa0" /><Relationship Type="http://schemas.openxmlformats.org/officeDocument/2006/relationships/table" Target="/xl/tables/table5.xml" Id="R3b81bc28ccbe40bc" /><Relationship Type="http://schemas.openxmlformats.org/officeDocument/2006/relationships/table" Target="/xl/tables/table6.xml" Id="Rf76bedcf5e924237" /><Relationship Type="http://schemas.openxmlformats.org/officeDocument/2006/relationships/table" Target="/xl/tables/table7.xml" Id="R1437636087834190" /><Relationship Type="http://schemas.openxmlformats.org/officeDocument/2006/relationships/table" Target="/xl/tables/table8.xml" Id="R63c52ab31e5a417a" /><Relationship Type="http://schemas.openxmlformats.org/officeDocument/2006/relationships/table" Target="/xl/tables/table9.xml" Id="R6ee9e704b8ed4227" /><Relationship Type="http://schemas.openxmlformats.org/officeDocument/2006/relationships/table" Target="/xl/tables/table10.xml" Id="Rf40667c5d3844378" /><Relationship Type="http://schemas.openxmlformats.org/officeDocument/2006/relationships/table" Target="/xl/tables/table11.xml" Id="R5c44051961eb492a" /><Relationship Type="http://schemas.openxmlformats.org/officeDocument/2006/relationships/table" Target="/xl/tables/table12.xml" Id="Rd4f1f2b3b0f7416a" /><Relationship Type="http://schemas.openxmlformats.org/officeDocument/2006/relationships/table" Target="/xl/tables/table13.xml" Id="Ra95214363fb444f7" /><Relationship Type="http://schemas.openxmlformats.org/officeDocument/2006/relationships/table" Target="/xl/tables/table14.xml" Id="R52762dfa55314449" /><Relationship Type="http://schemas.openxmlformats.org/officeDocument/2006/relationships/table" Target="/xl/tables/table15.xml" Id="Rb2971be2e5284b95" /></Relationships>
</file>

<file path=xl/worksheets/_rels/sheet7.xml.rels>&#65279;<?xml version="1.0" encoding="utf-8"?><Relationships xmlns="http://schemas.openxmlformats.org/package/2006/relationships"><Relationship Type="http://schemas.openxmlformats.org/officeDocument/2006/relationships/comments" Target="/xl/comments6.xml" Id="Re40570ce58094355" /><Relationship Type="http://schemas.openxmlformats.org/officeDocument/2006/relationships/vmlDrawing" Target="/xl/drawings/vmldrawing6.vml" Id="R47dc0c5f6c414386" /><Relationship Type="http://schemas.openxmlformats.org/officeDocument/2006/relationships/drawing" Target="/xl/drawings/drawing3.xml" Id="R0fa2472cd7af4770" /></Relationships>
</file>

<file path=xl/worksheets/_rels/sheet8.xml.rels>&#65279;<?xml version="1.0" encoding="utf-8"?><Relationships xmlns="http://schemas.openxmlformats.org/package/2006/relationships"><Relationship Type="http://schemas.openxmlformats.org/officeDocument/2006/relationships/drawing" Target="/xl/drawings/drawing4.xml" Id="Ra7a22efad82b4f0f" /></Relationships>
</file>

<file path=xl/worksheets/_rels/sheet9.xml.rels>&#65279;<?xml version="1.0" encoding="utf-8"?><Relationships xmlns="http://schemas.openxmlformats.org/package/2006/relationships"><Relationship Type="http://schemas.openxmlformats.org/officeDocument/2006/relationships/comments" Target="/xl/comments7.xml" Id="Rd00dba003be14423" /><Relationship Type="http://schemas.openxmlformats.org/officeDocument/2006/relationships/vmlDrawing" Target="/xl/drawings/vmldrawing7.vml" Id="Rc3e8398b40eb4c54" /><Relationship Type="http://schemas.openxmlformats.org/officeDocument/2006/relationships/drawing" Target="/xl/drawings/drawing5.xml" Id="R4e040fc332ec423c" /><Relationship Type="http://schemas.openxmlformats.org/officeDocument/2006/relationships/table" Target="/xl/tables/table16.xml" Id="R7ef0bff68f7e410f" /></Relationships>
</file>

<file path=xl/worksheets/sheet1.xml><?xml version="1.0" encoding="utf-8"?>
<x:worksheet xmlns:x="http://schemas.openxmlformats.org/spreadsheetml/2006/main">
  <x:sheetPr>
    <x:tabColor rgb="FF0070D4"/>
  </x:sheetPr>
  <x:sheetFormatPr defaultColWidth="9.1640625" defaultRowHeight="11.25"/>
  <x:cols>
    <x:col min="1" max="1" width="4.83203125" style="275" customWidth="1"/>
    <x:col min="2" max="2" width="24.1640625" style="13" customWidth="1"/>
    <x:col min="3" max="3" width="3.6640625" style="276" customWidth="1"/>
    <x:col min="4" max="4" width="14" style="13" customWidth="1"/>
    <x:col min="5" max="5" width="9.83203125" style="13" customWidth="1"/>
    <x:col min="6" max="6" width="10.6640625" style="13" customWidth="1"/>
    <x:col min="7" max="7" width="4.1640625" style="13" hidden="1" customWidth="1"/>
    <x:col min="8" max="8" width="3.83203125" style="13" hidden="1" customWidth="1"/>
    <x:col min="9" max="9" width="62.83203125" style="13" customWidth="1"/>
    <x:col min="10" max="10" width="9.83203125" style="13" hidden="1" customWidth="1"/>
    <x:col min="11" max="13" width="19.1640625" style="13" hidden="1" customWidth="1"/>
    <x:col min="14" max="14" width="52.6640625" style="13" customWidth="1"/>
    <x:col min="15" max="15" width="8.33203125" style="13" hidden="1" customWidth="1"/>
    <x:col min="16" max="17" width="9.1640625" style="13" hidden="1" customWidth="1"/>
    <x:col min="18" max="18" width="8.6640625" style="13" hidden="1" customWidth="1"/>
    <x:col min="19" max="19" width="48.83203125" style="13" hidden="1" customWidth="1"/>
    <x:col min="20" max="20" width="4.6640625" style="13" hidden="1" customWidth="1"/>
    <x:col min="21" max="21" width="6.1640625" style="13" hidden="1" customWidth="1"/>
    <x:col min="22" max="22" width="14.6640625" style="13" hidden="1" customWidth="1"/>
    <x:col min="23" max="23" width="40.6640625" style="13" hidden="1" customWidth="1"/>
    <x:col min="24" max="24" width="28.5" style="303" customWidth="1"/>
    <x:col min="25" max="25" width="17.1640625" style="303" customWidth="1"/>
    <x:col min="26" max="26" width="40.1640625" style="165" customWidth="1"/>
    <x:col min="27" max="27" width="24.5" style="303" customWidth="1"/>
    <x:col min="28" max="28" width="22.6640625" style="165" customWidth="1"/>
    <x:col min="29" max="16384" width="9.1640625" style="13" customWidth="0"/>
  </x:cols>
  <x:sheetData>
    <x:row r="1">
      <x:c r="G1" s="170"/>
      <x:c r="H1" s="170"/>
      <x:c r="K1" s="277"/>
      <x:c r="L1" s="277"/>
      <x:c r="W1" s="278"/>
      <x:c r="X1" s="304" t="s">
        <x:v>0</x:v>
      </x:c>
      <x:c r="Y1" s="305"/>
      <x:c r="Z1" s="305"/>
      <x:c r="AA1" s="305"/>
      <x:c r="AB1" s="306"/>
    </x:row>
    <x:row r="2" s="325" customFormat="1" ht="24">
      <x:c r="A2" s="316" t="s">
        <x:v>1</x:v>
      </x:c>
      <x:c r="B2" s="317" t="s">
        <x:v>2</x:v>
      </x:c>
      <x:c r="C2" s="318" t="s">
        <x:v>3</x:v>
      </x:c>
      <x:c r="D2" s="317" t="s">
        <x:v>4</x:v>
      </x:c>
      <x:c r="E2" s="319" t="s">
        <x:v>5</x:v>
      </x:c>
      <x:c r="F2" s="319" t="s">
        <x:v>6</x:v>
      </x:c>
      <x:c r="G2" s="320" t="s">
        <x:v>7</x:v>
      </x:c>
      <x:c r="H2" s="320" t="s">
        <x:v>8</x:v>
      </x:c>
      <x:c r="I2" s="317" t="s">
        <x:v>9</x:v>
      </x:c>
      <x:c r="J2" s="317" t="s">
        <x:v>10</x:v>
      </x:c>
      <x:c r="K2" s="321" t="s">
        <x:v>11</x:v>
      </x:c>
      <x:c r="L2" s="321" t="s">
        <x:v>12</x:v>
      </x:c>
      <x:c r="M2" s="320" t="s">
        <x:v>13</x:v>
      </x:c>
      <x:c r="N2" s="317" t="s">
        <x:v>14</x:v>
      </x:c>
      <x:c r="O2" s="317" t="s">
        <x:v>15</x:v>
      </x:c>
      <x:c r="P2" s="322" t="s">
        <x:v>16</x:v>
      </x:c>
      <x:c r="Q2" s="322" t="s">
        <x:v>17</x:v>
      </x:c>
      <x:c r="R2" s="317" t="s">
        <x:v>18</x:v>
      </x:c>
      <x:c r="S2" s="317" t="s">
        <x:v>19</x:v>
      </x:c>
      <x:c r="T2" s="317" t="s">
        <x:v>20</x:v>
      </x:c>
      <x:c r="U2" s="317" t="s">
        <x:v>21</x:v>
      </x:c>
      <x:c r="V2" s="317" t="s">
        <x:v>22</x:v>
      </x:c>
      <x:c r="W2" s="317" t="s">
        <x:v>23</x:v>
      </x:c>
      <x:c r="X2" s="202" t="s">
        <x:v>24</x:v>
      </x:c>
      <x:c r="Y2" s="202" t="s">
        <x:v>25</x:v>
      </x:c>
      <x:c r="Z2" s="202" t="s">
        <x:v>26</x:v>
      </x:c>
      <x:c r="AA2" s="323" t="s">
        <x:v>27</x:v>
      </x:c>
      <x:c r="AB2" s="324" t="s">
        <x:v>28</x:v>
      </x:c>
    </x:row>
    <x:row r="3" s="170" customFormat="1" ht="12.75" hidden="1">
      <x:c r="A3" s="279" t="e">
        <x:f>_xlfn.XLOOKUP(Matriz[[#This Row],[Categoría]],Categoría[Categoría],Categoría[Cat],"NA",0)</x:f>
        <x:v>#NAME?</x:v>
      </x:c>
      <x:c r="B3" s="280" t="s">
        <x:v>29</x:v>
      </x:c>
      <x:c r="C3" s="281" t="e">
        <x:f>_xlfn.XLOOKUP(Matriz[[#This Row],[Parámetro]],Parámetro[Parámetro],Parámetro[Par],0,0)</x:f>
        <x:v>#NAME?</x:v>
      </x:c>
      <x:c r="E3" s="170" t="e">
        <x:f>Matriz[[#This Row],[Cat]]&amp;IF(Matriz[[#This Row],[Par]]=0,"","."&amp;Matriz[[#This Row],[Par]]&amp;"."&amp;TEXT(COUNTIFS(A$2:A3,Matriz[[#This Row],[Cat]],C$2:C3,Matriz[[#This Row],[Par]]),"000"))</x:f>
        <x:v>#NAME?</x:v>
      </x:c>
      <x:c r="F3" s="282" t="e">
        <x:f>IF(LEN(Matriz[[#This Row],[EDT]])=1,COUNTIF(Matriz[EDT],"?????????*"),IF(LEN(Matriz[[#This Row],[EDT]])=2,COUNTIF(Matriz[EDT],Matriz[[#This Row],[Cat]]&amp;"*")-1,0))</x:f>
        <x:v>#NAME?</x:v>
      </x:c>
      <x:c r="G3" s="170" t="e">
        <x:f>IF(Matriz[[#This Row],['# reque-rimientos]]&gt;0,"Sí","No")</x:f>
        <x:v>#REF!</x:v>
      </x:c>
      <x:c r="H3" s="170" t="e">
        <x:f>IF(Matriz[[#This Row],[Cat]]="0",0,IF(Matriz[[#This Row],[Par]]=0,1,LEN(Matriz[[#This Row],[EDT]])-LEN(SUBSTITUTE(Matriz[[#This Row],[EDT]],".",""))))</x:f>
        <x:v>#NAME?</x:v>
      </x:c>
      <x:c r="I3" s="170" t="e">
        <x:f>"Total requerimientos incluyendo títulos (Categorías)= "&amp;Matriz[[#This Row],['# reque-rimientos]]+COUNTIF(G4:G269,"Sí")</x:f>
        <x:v>#REF!</x:v>
      </x:c>
      <x:c r="M3" s="170" t="s">
        <x:v>30</x:v>
      </x:c>
      <x:c r="O3" s="167"/>
      <x:c r="R3" s="283"/>
      <x:c r="X3" s="284"/>
      <x:c r="Y3" s="285"/>
      <x:c r="Z3" s="284"/>
      <x:c r="AB3" s="286"/>
    </x:row>
    <x:row r="4" s="170" customFormat="1" ht="12.75">
      <x:c r="A4" s="279" t="e">
        <x:f>_xlfn.XLOOKUP(Matriz[[#This Row],[Categoría]],Categoría[Categoría],Categoría[Cat],"NA",0)</x:f>
        <x:v>#NAME?</x:v>
      </x:c>
      <x:c r="B4" s="280" t="s">
        <x:v>31</x:v>
      </x:c>
      <x:c r="C4" s="281" t="e">
        <x:f>_xlfn.XLOOKUP(Matriz[[#This Row],[Parámetro]],Parámetro[Parámetro],Parámetro[Par],0,0)</x:f>
        <x:v>#NAME?</x:v>
      </x:c>
      <x:c r="E4" s="170" t="e">
        <x:f>Matriz[[#This Row],[Cat]]&amp;IF(Matriz[[#This Row],[Par]]=0,"","."&amp;Matriz[[#This Row],[Par]]&amp;"."&amp;TEXT(COUNTIFS(A$2:A4,Matriz[[#This Row],[Cat]],C$2:C4,Matriz[[#This Row],[Par]]),"000"))</x:f>
        <x:v>#NAME?</x:v>
      </x:c>
      <x:c r="F4" s="282" t="e">
        <x:f>IF(LEN(Matriz[[#This Row],[EDT]])=1,COUNTIF(Matriz[EDT],"?????????*"),IF(LEN(Matriz[[#This Row],[EDT]])=2,COUNTIF(Matriz[EDT],Matriz[[#This Row],[Cat]]&amp;"*")-1,0))</x:f>
        <x:v>#NAME?</x:v>
      </x:c>
      <x:c r="G4" s="170" t="e">
        <x:f>IF(Matriz[[#This Row],['# reque-rimientos]]&gt;0,"Sí","No")</x:f>
        <x:v>#REF!</x:v>
      </x:c>
      <x:c r="H4" s="170" t="e">
        <x:f>IF(Matriz[[#This Row],[Cat]]="0",0,IF(Matriz[[#This Row],[Par]]=0,1,LEN(Matriz[[#This Row],[EDT]])-LEN(SUBSTITUTE(Matriz[[#This Row],[EDT]],".",""))))</x:f>
        <x:v>#NAME?</x:v>
      </x:c>
      <x:c r="M4" s="170" t="s">
        <x:v>32</x:v>
      </x:c>
      <x:c r="O4" s="167">
        <x:v>1</x:v>
      </x:c>
      <x:c r="R4" s="287" t="e">
        <x:f>_xlfn.XLOOKUP(Matriz[[#This Row],[Cat]],Categoría[Cat],Categoría[IMP],"NA",0)</x:f>
        <x:v>#NAME?</x:v>
      </x:c>
      <x:c r="S4" s="170" t="s">
        <x:v>33</x:v>
      </x:c>
      <x:c r="X4" s="284"/>
      <x:c r="Y4" s="285"/>
      <x:c r="Z4" s="284"/>
      <x:c r="AB4" s="286"/>
    </x:row>
    <x:row r="5">
      <x:c r="A5" s="275" t="e">
        <x:f>_xlfn.XLOOKUP(Matriz[[#This Row],[Categoría]],Categoría[Categoría],Categoría[Cat],"NA",0)</x:f>
        <x:v>#NAME?</x:v>
      </x:c>
      <x:c r="B5" s="165" t="s">
        <x:v>31</x:v>
      </x:c>
      <x:c r="C5" s="288" t="e">
        <x:f>_xlfn.XLOOKUP(Matriz[[#This Row],[Parámetro]],Parámetro[Parámetro],Parámetro[Par],0,0)</x:f>
        <x:v>#NAME?</x:v>
      </x:c>
      <x:c r="D5" s="165" t="s">
        <x:v>34</x:v>
      </x:c>
      <x:c r="E5" s="165" t="e">
        <x:f>Matriz[[#This Row],[Cat]]&amp;IF(Matriz[[#This Row],[Par]]=0,"","."&amp;Matriz[[#This Row],[Par]]&amp;"."&amp;TEXT(COUNTIFS(A$2:A5,Matriz[[#This Row],[Cat]],C$2:C5,Matriz[[#This Row],[Par]]),"000"))</x:f>
        <x:v>#NAME?</x:v>
      </x:c>
      <x:c r="F5" s="289" t="e">
        <x:f>IF(LEN(Matriz[[#This Row],[EDT]])=1,COUNTIF(Matriz[EDT],"?????????*"),IF(LEN(Matriz[[#This Row],[EDT]])=2,COUNTIF(Matriz[EDT],Matriz[[#This Row],[Cat]]&amp;"*")-1,0))</x:f>
        <x:v>#NAME?</x:v>
      </x:c>
      <x:c r="G5" s="165" t="e">
        <x:f>IF(Matriz[[#This Row],['# reque-rimientos]]&gt;0,"Sí","No")</x:f>
        <x:v>#REF!</x:v>
      </x:c>
      <x:c r="H5" s="165" t="e">
        <x:f>IF(Matriz[[#This Row],[Cat]]="0",0,IF(Matriz[[#This Row],[Par]]=0,1,LEN(Matriz[[#This Row],[EDT]])-LEN(SUBSTITUTE(Matriz[[#This Row],[EDT]],".",""))))</x:f>
        <x:v>#NAME?</x:v>
      </x:c>
      <x:c r="I5" s="165" t="s">
        <x:v>35</x:v>
      </x:c>
      <x:c r="J5" s="165"/>
      <x:c r="K5" s="165"/>
      <x:c r="L5" s="165"/>
      <x:c r="M5" s="165" t="s">
        <x:v>32</x:v>
      </x:c>
      <x:c r="N5" s="165" t="s">
        <x:v>36</x:v>
      </x:c>
      <x:c r="O5" s="165">
        <x:v>1</x:v>
      </x:c>
      <x:c r="P5" s="13" t="s">
        <x:v>37</x:v>
      </x:c>
      <x:c r="R5" s="13">
        <x:v>7</x:v>
      </x:c>
      <x:c r="S5" s="13" t="s">
        <x:v>38</x:v>
      </x:c>
      <x:c r="T5" s="13" t="s">
        <x:v>39</x:v>
      </x:c>
      <x:c r="U5" s="13">
        <x:v>7</x:v>
      </x:c>
      <x:c r="W5" s="13" t="s">
        <x:v>40</x:v>
      </x:c>
      <x:c r="X5" s="284" t="str">
        <x:v>Oracle Primavera Cloud SaaS</x:v>
      </x:c>
      <x:c r="Y5" s="285"/>
      <x:c r="Z5" s="284"/>
      <x:c r="AA5" s="13"/>
      <x:c r="AB5" s="286"/>
    </x:row>
    <x:row r="6" ht="22.5">
      <x:c r="A6" s="275" t="e">
        <x:f>_xlfn.XLOOKUP(Matriz[[#This Row],[Categoría]],Categoría[Categoría],Categoría[Cat],"NA",0)</x:f>
        <x:v>#NAME?</x:v>
      </x:c>
      <x:c r="B6" s="165" t="s">
        <x:v>31</x:v>
      </x:c>
      <x:c r="C6" s="288" t="e">
        <x:f>_xlfn.XLOOKUP(Matriz[[#This Row],[Parámetro]],Parámetro[Parámetro],Parámetro[Par],0,0)</x:f>
        <x:v>#NAME?</x:v>
      </x:c>
      <x:c r="D6" s="165" t="s">
        <x:v>34</x:v>
      </x:c>
      <x:c r="E6" s="165" t="e">
        <x:f>Matriz[[#This Row],[Cat]]&amp;IF(Matriz[[#This Row],[Par]]=0,"","."&amp;Matriz[[#This Row],[Par]]&amp;"."&amp;TEXT(COUNTIFS(A$2:A6,Matriz[[#This Row],[Cat]],C$2:C6,Matriz[[#This Row],[Par]]),"000"))</x:f>
        <x:v>#NAME?</x:v>
      </x:c>
      <x:c r="F6" s="289" t="e">
        <x:f>IF(LEN(Matriz[[#This Row],[EDT]])=1,COUNTIF(Matriz[EDT],"?????????*"),IF(LEN(Matriz[[#This Row],[EDT]])=2,COUNTIF(Matriz[EDT],Matriz[[#This Row],[Cat]]&amp;"*")-1,0))</x:f>
        <x:v>#NAME?</x:v>
      </x:c>
      <x:c r="G6" s="165" t="e">
        <x:f>IF(Matriz[[#This Row],['# reque-rimientos]]&gt;0,"Sí","No")</x:f>
        <x:v>#REF!</x:v>
      </x:c>
      <x:c r="H6" s="165" t="e">
        <x:f>IF(Matriz[[#This Row],[Cat]]="0",0,IF(Matriz[[#This Row],[Par]]=0,1,LEN(Matriz[[#This Row],[EDT]])-LEN(SUBSTITUTE(Matriz[[#This Row],[EDT]],".",""))))</x:f>
        <x:v>#NAME?</x:v>
      </x:c>
      <x:c r="I6" s="165" t="s">
        <x:v>41</x:v>
      </x:c>
      <x:c r="J6" s="165"/>
      <x:c r="K6" s="165"/>
      <x:c r="L6" s="165"/>
      <x:c r="M6" s="165" t="s">
        <x:v>32</x:v>
      </x:c>
      <x:c r="N6" s="165" t="s">
        <x:v>42</x:v>
      </x:c>
      <x:c r="O6" s="165">
        <x:v>1</x:v>
      </x:c>
      <x:c r="P6" s="13" t="s">
        <x:v>37</x:v>
      </x:c>
      <x:c r="R6" s="13">
        <x:v>7</x:v>
      </x:c>
      <x:c r="S6" s="13" t="s">
        <x:v>38</x:v>
      </x:c>
      <x:c r="T6" s="13" t="s">
        <x:v>39</x:v>
      </x:c>
      <x:c r="U6" s="13">
        <x:v>7</x:v>
      </x:c>
      <x:c r="X6" s="284" t="str">
        <x:v>Oracle Primavera Cloud SaaS</x:v>
      </x:c>
      <x:c r="Y6" s="285"/>
      <x:c r="Z6" s="284"/>
      <x:c r="AA6" s="13"/>
      <x:c r="AB6" s="286"/>
    </x:row>
    <x:row r="7" ht="22.5">
      <x:c r="A7" s="275" t="e">
        <x:f>_xlfn.XLOOKUP(Matriz[[#This Row],[Categoría]],Categoría[Categoría],Categoría[Cat],"NA",0)</x:f>
        <x:v>#NAME?</x:v>
      </x:c>
      <x:c r="B7" s="165" t="s">
        <x:v>31</x:v>
      </x:c>
      <x:c r="C7" s="288" t="e">
        <x:f>_xlfn.XLOOKUP(Matriz[[#This Row],[Parámetro]],Parámetro[Parámetro],Parámetro[Par],0,0)</x:f>
        <x:v>#NAME?</x:v>
      </x:c>
      <x:c r="D7" s="165" t="s">
        <x:v>34</x:v>
      </x:c>
      <x:c r="E7" s="165" t="e">
        <x:f>Matriz[[#This Row],[Cat]]&amp;IF(Matriz[[#This Row],[Par]]=0,"","."&amp;Matriz[[#This Row],[Par]]&amp;"."&amp;TEXT(COUNTIFS(A$2:A7,Matriz[[#This Row],[Cat]],C$2:C7,Matriz[[#This Row],[Par]]),"000"))</x:f>
        <x:v>#NAME?</x:v>
      </x:c>
      <x:c r="F7" s="289" t="e">
        <x:f>IF(LEN(Matriz[[#This Row],[EDT]])=1,COUNTIF(Matriz[EDT],"?????????*"),IF(LEN(Matriz[[#This Row],[EDT]])=2,COUNTIF(Matriz[EDT],Matriz[[#This Row],[Cat]]&amp;"*")-1,0))</x:f>
        <x:v>#NAME?</x:v>
      </x:c>
      <x:c r="G7" s="165" t="e">
        <x:f>IF(Matriz[[#This Row],['# reque-rimientos]]&gt;0,"Sí","No")</x:f>
        <x:v>#REF!</x:v>
      </x:c>
      <x:c r="H7" s="165" t="e">
        <x:f>IF(Matriz[[#This Row],[Cat]]="0",0,IF(Matriz[[#This Row],[Par]]=0,1,LEN(Matriz[[#This Row],[EDT]])-LEN(SUBSTITUTE(Matriz[[#This Row],[EDT]],".",""))))</x:f>
        <x:v>#NAME?</x:v>
      </x:c>
      <x:c r="I7" s="165" t="s">
        <x:v>43</x:v>
      </x:c>
      <x:c r="J7" s="165"/>
      <x:c r="K7" s="165"/>
      <x:c r="L7" s="165"/>
      <x:c r="M7" s="165" t="s">
        <x:v>32</x:v>
      </x:c>
      <x:c r="N7" s="165" t="s">
        <x:v>44</x:v>
      </x:c>
      <x:c r="O7" s="165">
        <x:v>1</x:v>
      </x:c>
      <x:c r="P7" s="13" t="s">
        <x:v>37</x:v>
      </x:c>
      <x:c r="R7" s="13">
        <x:v>8</x:v>
      </x:c>
      <x:c r="S7" s="13" t="s">
        <x:v>38</x:v>
      </x:c>
      <x:c r="T7" s="13" t="s">
        <x:v>39</x:v>
      </x:c>
      <x:c r="U7" s="13">
        <x:v>7</x:v>
      </x:c>
      <x:c r="X7" s="284" t="str">
        <x:v>Oracle Primavera Cloud SaaS</x:v>
      </x:c>
      <x:c r="Y7" s="285"/>
      <x:c r="Z7" s="284"/>
      <x:c r="AA7" s="13"/>
      <x:c r="AB7" s="286"/>
    </x:row>
    <x:row r="8" ht="22.5" hidden="1">
      <x:c r="A8" s="275" t="e">
        <x:f>_xlfn.XLOOKUP(Matriz[[#This Row],[Categoría]],Categoría[Categoría],Categoría[Cat],"NA",0)</x:f>
        <x:v>#NAME?</x:v>
      </x:c>
      <x:c r="B8" s="165" t="s">
        <x:v>31</x:v>
      </x:c>
      <x:c r="C8" s="288" t="e">
        <x:f>_xlfn.XLOOKUP(Matriz[[#This Row],[Parámetro]],Parámetro[Parámetro],Parámetro[Par],0,0)</x:f>
        <x:v>#NAME?</x:v>
      </x:c>
      <x:c r="D8" s="165" t="s">
        <x:v>34</x:v>
      </x:c>
      <x:c r="E8" s="165" t="e">
        <x:f>Matriz[[#This Row],[Cat]]&amp;IF(Matriz[[#This Row],[Par]]=0,"","."&amp;Matriz[[#This Row],[Par]]&amp;"."&amp;TEXT(COUNTIFS(A$2:A8,Matriz[[#This Row],[Cat]],C$2:C8,Matriz[[#This Row],[Par]]),"000"))</x:f>
        <x:v>#NAME?</x:v>
      </x:c>
      <x:c r="F8" s="289" t="e">
        <x:f>IF(LEN(Matriz[[#This Row],[EDT]])=1,COUNTIF(Matriz[EDT],"?????????*"),IF(LEN(Matriz[[#This Row],[EDT]])=2,COUNTIF(Matriz[EDT],Matriz[[#This Row],[Cat]]&amp;"*")-1,0))</x:f>
        <x:v>#NAME?</x:v>
      </x:c>
      <x:c r="G8" s="165" t="e">
        <x:f>IF(Matriz[[#This Row],['# reque-rimientos]]&gt;0,"Sí","No")</x:f>
        <x:v>#REF!</x:v>
      </x:c>
      <x:c r="H8" s="165" t="e">
        <x:f>IF(Matriz[[#This Row],[Cat]]="0",0,IF(Matriz[[#This Row],[Par]]=0,1,LEN(Matriz[[#This Row],[EDT]])-LEN(SUBSTITUTE(Matriz[[#This Row],[EDT]],".",""))))</x:f>
        <x:v>#NAME?</x:v>
      </x:c>
      <x:c r="I8" s="165" t="s">
        <x:v>45</x:v>
      </x:c>
      <x:c r="J8" s="165"/>
      <x:c r="K8" s="165"/>
      <x:c r="L8" s="165"/>
      <x:c r="M8" s="165" t="s">
        <x:v>32</x:v>
      </x:c>
      <x:c r="N8" s="165" t="s">
        <x:v>46</x:v>
      </x:c>
      <x:c r="O8" s="165">
        <x:v>2</x:v>
      </x:c>
      <x:c r="P8" s="13" t="s">
        <x:v>37</x:v>
      </x:c>
      <x:c r="R8" s="13">
        <x:v>7</x:v>
      </x:c>
      <x:c r="S8" s="13" t="s">
        <x:v>38</x:v>
      </x:c>
      <x:c r="T8" s="13" t="s">
        <x:v>39</x:v>
      </x:c>
      <x:c r="U8" s="13">
        <x:v>7</x:v>
      </x:c>
      <x:c r="X8" s="284" t="str">
        <x:v>Oracle Primavera Cloud SaaS</x:v>
      </x:c>
      <x:c r="Y8" s="285"/>
      <x:c r="Z8" s="284"/>
      <x:c r="AA8" s="13"/>
      <x:c r="AB8" s="286"/>
    </x:row>
    <x:row r="9">
      <x:c r="A9" s="275" t="e">
        <x:f>_xlfn.XLOOKUP(Matriz[[#This Row],[Categoría]],Categoría[Categoría],Categoría[Cat],"NA",0)</x:f>
        <x:v>#NAME?</x:v>
      </x:c>
      <x:c r="B9" s="165" t="s">
        <x:v>31</x:v>
      </x:c>
      <x:c r="C9" s="288" t="e">
        <x:f>_xlfn.XLOOKUP(Matriz[[#This Row],[Parámetro]],Parámetro[Parámetro],Parámetro[Par],0,0)</x:f>
        <x:v>#NAME?</x:v>
      </x:c>
      <x:c r="D9" s="165" t="s">
        <x:v>34</x:v>
      </x:c>
      <x:c r="E9" s="165" t="e">
        <x:f>Matriz[[#This Row],[Cat]]&amp;IF(Matriz[[#This Row],[Par]]=0,"","."&amp;Matriz[[#This Row],[Par]]&amp;"."&amp;TEXT(COUNTIFS(A$2:A9,Matriz[[#This Row],[Cat]],C$2:C9,Matriz[[#This Row],[Par]]),"000"))</x:f>
        <x:v>#NAME?</x:v>
      </x:c>
      <x:c r="F9" s="289" t="e">
        <x:f>IF(LEN(Matriz[[#This Row],[EDT]])=1,COUNTIF(Matriz[EDT],"?????????*"),IF(LEN(Matriz[[#This Row],[EDT]])=2,COUNTIF(Matriz[EDT],Matriz[[#This Row],[Cat]]&amp;"*")-1,0))</x:f>
        <x:v>#NAME?</x:v>
      </x:c>
      <x:c r="G9" s="165" t="e">
        <x:f>IF(Matriz[[#This Row],['# reque-rimientos]]&gt;0,"Sí","No")</x:f>
        <x:v>#REF!</x:v>
      </x:c>
      <x:c r="H9" s="165" t="e">
        <x:f>IF(Matriz[[#This Row],[Cat]]="0",0,IF(Matriz[[#This Row],[Par]]=0,1,LEN(Matriz[[#This Row],[EDT]])-LEN(SUBSTITUTE(Matriz[[#This Row],[EDT]],".",""))))</x:f>
        <x:v>#NAME?</x:v>
      </x:c>
      <x:c r="I9" s="165" t="s">
        <x:v>47</x:v>
      </x:c>
      <x:c r="J9" s="165"/>
      <x:c r="K9" s="165"/>
      <x:c r="L9" s="165"/>
      <x:c r="M9" s="165" t="s">
        <x:v>32</x:v>
      </x:c>
      <x:c r="N9" s="165" t="s">
        <x:v>48</x:v>
      </x:c>
      <x:c r="O9" s="165">
        <x:v>1</x:v>
      </x:c>
      <x:c r="R9" s="13">
        <x:v>7</x:v>
      </x:c>
      <x:c r="S9" s="13" t="s">
        <x:v>38</x:v>
      </x:c>
      <x:c r="X9" s="284" t="str">
        <x:v>Oracle Primavera Cloud SaaS</x:v>
      </x:c>
      <x:c r="Y9" s="285"/>
      <x:c r="Z9" s="284"/>
      <x:c r="AA9" s="13"/>
      <x:c r="AB9" s="286"/>
    </x:row>
    <x:row r="10" ht="33.75">
      <x:c r="A10" s="275" t="e">
        <x:f>_xlfn.XLOOKUP(Matriz[[#This Row],[Categoría]],Categoría[Categoría],Categoría[Cat],"NA",0)</x:f>
        <x:v>#NAME?</x:v>
      </x:c>
      <x:c r="B10" s="165" t="s">
        <x:v>31</x:v>
      </x:c>
      <x:c r="C10" s="288" t="e">
        <x:f>_xlfn.XLOOKUP(Matriz[[#This Row],[Parámetro]],Parámetro[Parámetro],Parámetro[Par],0,0)</x:f>
        <x:v>#NAME?</x:v>
      </x:c>
      <x:c r="D10" s="165" t="s">
        <x:v>34</x:v>
      </x:c>
      <x:c r="E10" s="165" t="e">
        <x:f>Matriz[[#This Row],[Cat]]&amp;IF(Matriz[[#This Row],[Par]]=0,"","."&amp;Matriz[[#This Row],[Par]]&amp;"."&amp;TEXT(COUNTIFS(A$2:A10,Matriz[[#This Row],[Cat]],C$2:C10,Matriz[[#This Row],[Par]]),"000"))</x:f>
        <x:v>#NAME?</x:v>
      </x:c>
      <x:c r="F10" s="289" t="e">
        <x:f>IF(LEN(Matriz[[#This Row],[EDT]])=1,COUNTIF(Matriz[EDT],"?????????*"),IF(LEN(Matriz[[#This Row],[EDT]])=2,COUNTIF(Matriz[EDT],Matriz[[#This Row],[Cat]]&amp;"*")-1,0))</x:f>
        <x:v>#NAME?</x:v>
      </x:c>
      <x:c r="G10" s="165" t="e">
        <x:f>IF(Matriz[[#This Row],['# reque-rimientos]]&gt;0,"Sí","No")</x:f>
        <x:v>#REF!</x:v>
      </x:c>
      <x:c r="H10" s="165" t="e">
        <x:f>IF(Matriz[[#This Row],[Cat]]="0",0,IF(Matriz[[#This Row],[Par]]=0,1,LEN(Matriz[[#This Row],[EDT]])-LEN(SUBSTITUTE(Matriz[[#This Row],[EDT]],".",""))))</x:f>
        <x:v>#NAME?</x:v>
      </x:c>
      <x:c r="I10" s="165" t="s">
        <x:v>49</x:v>
      </x:c>
      <x:c r="J10" s="165"/>
      <x:c r="K10" s="165"/>
      <x:c r="L10" s="165"/>
      <x:c r="M10" s="165" t="s">
        <x:v>32</x:v>
      </x:c>
      <x:c r="N10" s="165" t="s">
        <x:v>50</x:v>
      </x:c>
      <x:c r="O10" s="165">
        <x:v>1</x:v>
      </x:c>
      <x:c r="R10" s="13">
        <x:v>7</x:v>
      </x:c>
      <x:c r="S10" s="13" t="s">
        <x:v>38</x:v>
      </x:c>
      <x:c r="T10" s="13" t="s">
        <x:v>39</x:v>
      </x:c>
      <x:c r="U10" s="13">
        <x:v>7</x:v>
      </x:c>
      <x:c r="X10" s="284" t="str">
        <x:v>Oracle Primavera Cloud SaaS</x:v>
      </x:c>
      <x:c r="Y10" s="285"/>
      <x:c r="Z10" s="284"/>
      <x:c r="AA10" s="13"/>
      <x:c r="AB10" s="286"/>
    </x:row>
    <x:row r="11">
      <x:c r="A11" s="290" t="e">
        <x:f>_xlfn.XLOOKUP(Matriz[[#This Row],[Categoría]],Categoría[Categoría],Categoría[Cat],"NA",0)</x:f>
        <x:v>#NAME?</x:v>
      </x:c>
      <x:c r="B11" s="165" t="s">
        <x:v>31</x:v>
      </x:c>
      <x:c r="C11" s="288" t="e">
        <x:f>_xlfn.XLOOKUP(Matriz[[#This Row],[Parámetro]],Parámetro[Parámetro],Parámetro[Par],0,0)</x:f>
        <x:v>#NAME?</x:v>
      </x:c>
      <x:c r="D11" s="165" t="s">
        <x:v>34</x:v>
      </x:c>
      <x:c r="E11" s="165" t="e">
        <x:f>Matriz[[#This Row],[Cat]]&amp;IF(Matriz[[#This Row],[Par]]=0,"","."&amp;Matriz[[#This Row],[Par]]&amp;"."&amp;TEXT(COUNTIFS(A$2:A11,Matriz[[#This Row],[Cat]],C$2:C11,Matriz[[#This Row],[Par]]),"000"))</x:f>
        <x:v>#NAME?</x:v>
      </x:c>
      <x:c r="F11" s="289" t="e">
        <x:f>IF(LEN(Matriz[[#This Row],[EDT]])=1,COUNTIF(Matriz[EDT],"?????????*"),IF(LEN(Matriz[[#This Row],[EDT]])=2,COUNTIF(Matriz[EDT],Matriz[[#This Row],[Cat]]&amp;"*")-1,0))</x:f>
        <x:v>#NAME?</x:v>
      </x:c>
      <x:c r="G11" s="165" t="e">
        <x:f>IF(Matriz[[#This Row],['# reque-rimientos]]&gt;0,"Sí","No")</x:f>
        <x:v>#REF!</x:v>
      </x:c>
      <x:c r="H11" s="165" t="e">
        <x:f>IF(Matriz[[#This Row],[Cat]]="0",0,IF(Matriz[[#This Row],[Par]]=0,1,LEN(Matriz[[#This Row],[EDT]])-LEN(SUBSTITUTE(Matriz[[#This Row],[EDT]],".",""))))</x:f>
        <x:v>#NAME?</x:v>
      </x:c>
      <x:c r="I11" s="165" t="s">
        <x:v>51</x:v>
      </x:c>
      <x:c r="J11" s="165"/>
      <x:c r="K11" s="165"/>
      <x:c r="L11" s="165"/>
      <x:c r="M11" s="165" t="s">
        <x:v>32</x:v>
      </x:c>
      <x:c r="N11" s="165"/>
      <x:c r="O11" s="165">
        <x:v>1</x:v>
      </x:c>
      <x:c r="P11" s="13" t="s">
        <x:v>37</x:v>
      </x:c>
      <x:c r="R11" s="13">
        <x:v>7</x:v>
      </x:c>
      <x:c r="S11" s="13" t="s">
        <x:v>52</x:v>
      </x:c>
      <x:c r="T11" s="13" t="s">
        <x:v>39</x:v>
      </x:c>
      <x:c r="U11" s="13">
        <x:v>7</x:v>
      </x:c>
      <x:c r="X11" s="284" t="str">
        <x:v>OPC Resource Management + Administration</x:v>
      </x:c>
      <x:c r="Y11" s="285"/>
      <x:c r="Z11" s="284"/>
      <x:c r="AA11" s="13"/>
      <x:c r="AB11" s="286"/>
    </x:row>
    <x:row r="12">
      <x:c r="A12" s="290" t="e">
        <x:f>_xlfn.XLOOKUP(Matriz[[#This Row],[Categoría]],Categoría[Categoría],Categoría[Cat],"NA",0)</x:f>
        <x:v>#NAME?</x:v>
      </x:c>
      <x:c r="B12" s="165" t="s">
        <x:v>31</x:v>
      </x:c>
      <x:c r="C12" s="288" t="e">
        <x:f>_xlfn.XLOOKUP(Matriz[[#This Row],[Parámetro]],Parámetro[Parámetro],Parámetro[Par],0,0)</x:f>
        <x:v>#NAME?</x:v>
      </x:c>
      <x:c r="D12" s="165" t="s">
        <x:v>34</x:v>
      </x:c>
      <x:c r="E12" s="165" t="e">
        <x:f>Matriz[[#This Row],[Cat]]&amp;IF(Matriz[[#This Row],[Par]]=0,"","."&amp;Matriz[[#This Row],[Par]]&amp;"."&amp;TEXT(COUNTIFS(A$2:A12,Matriz[[#This Row],[Cat]],C$2:C12,Matriz[[#This Row],[Par]]),"000"))</x:f>
        <x:v>#NAME?</x:v>
      </x:c>
      <x:c r="F12" s="289" t="e">
        <x:f>IF(LEN(Matriz[[#This Row],[EDT]])=1,COUNTIF(Matriz[EDT],"?????????*"),IF(LEN(Matriz[[#This Row],[EDT]])=2,COUNTIF(Matriz[EDT],Matriz[[#This Row],[Cat]]&amp;"*")-1,0))</x:f>
        <x:v>#NAME?</x:v>
      </x:c>
      <x:c r="G12" s="165" t="e">
        <x:f>IF(Matriz[[#This Row],['# reque-rimientos]]&gt;0,"Sí","No")</x:f>
        <x:v>#REF!</x:v>
      </x:c>
      <x:c r="H12" s="165" t="e">
        <x:f>IF(Matriz[[#This Row],[Cat]]="0",0,IF(Matriz[[#This Row],[Par]]=0,1,LEN(Matriz[[#This Row],[EDT]])-LEN(SUBSTITUTE(Matriz[[#This Row],[EDT]],".",""))))</x:f>
        <x:v>#NAME?</x:v>
      </x:c>
      <x:c r="I12" s="165" t="s">
        <x:v>53</x:v>
      </x:c>
      <x:c r="J12" s="165"/>
      <x:c r="K12" s="165"/>
      <x:c r="L12" s="165"/>
      <x:c r="M12" s="165" t="s">
        <x:v>32</x:v>
      </x:c>
      <x:c r="N12" s="165"/>
      <x:c r="O12" s="165">
        <x:v>1</x:v>
      </x:c>
      <x:c r="R12" s="13">
        <x:v>8</x:v>
      </x:c>
      <x:c r="S12" s="13" t="s">
        <x:v>38</x:v>
      </x:c>
      <x:c r="X12" s="284" t="str">
        <x:v>OPC Resource Management + Administration</x:v>
      </x:c>
      <x:c r="Y12" s="285"/>
      <x:c r="Z12" s="284"/>
      <x:c r="AA12" s="13"/>
      <x:c r="AB12" s="286"/>
    </x:row>
    <x:row r="13" ht="22.5">
      <x:c r="A13" s="290" t="e">
        <x:f>_xlfn.XLOOKUP(Matriz[[#This Row],[Categoría]],Categoría[Categoría],Categoría[Cat],"NA",0)</x:f>
        <x:v>#NAME?</x:v>
      </x:c>
      <x:c r="B13" s="165" t="s">
        <x:v>31</x:v>
      </x:c>
      <x:c r="C13" s="288" t="e">
        <x:f>_xlfn.XLOOKUP(Matriz[[#This Row],[Parámetro]],Parámetro[Parámetro],Parámetro[Par],0,0)</x:f>
        <x:v>#NAME?</x:v>
      </x:c>
      <x:c r="D13" s="165" t="s">
        <x:v>34</x:v>
      </x:c>
      <x:c r="E13" s="165" t="e">
        <x:f>Matriz[[#This Row],[Cat]]&amp;IF(Matriz[[#This Row],[Par]]=0,"","."&amp;Matriz[[#This Row],[Par]]&amp;"."&amp;TEXT(COUNTIFS(A$2:A13,Matriz[[#This Row],[Cat]],C$2:C13,Matriz[[#This Row],[Par]]),"000"))</x:f>
        <x:v>#NAME?</x:v>
      </x:c>
      <x:c r="F13" s="289" t="e">
        <x:f>IF(LEN(Matriz[[#This Row],[EDT]])=1,COUNTIF(Matriz[EDT],"?????????*"),IF(LEN(Matriz[[#This Row],[EDT]])=2,COUNTIF(Matriz[EDT],Matriz[[#This Row],[Cat]]&amp;"*")-1,0))</x:f>
        <x:v>#NAME?</x:v>
      </x:c>
      <x:c r="G13" s="165" t="e">
        <x:f>IF(Matriz[[#This Row],['# reque-rimientos]]&gt;0,"Sí","No")</x:f>
        <x:v>#REF!</x:v>
      </x:c>
      <x:c r="H13" s="165" t="e">
        <x:f>IF(Matriz[[#This Row],[Cat]]="0",0,IF(Matriz[[#This Row],[Par]]=0,1,LEN(Matriz[[#This Row],[EDT]])-LEN(SUBSTITUTE(Matriz[[#This Row],[EDT]],".",""))))</x:f>
        <x:v>#NAME?</x:v>
      </x:c>
      <x:c r="I13" s="165" t="s">
        <x:v>54</x:v>
      </x:c>
      <x:c r="J13" s="165"/>
      <x:c r="K13" s="291" t="s">
        <x:v>55</x:v>
      </x:c>
      <x:c r="L13" s="165"/>
      <x:c r="M13" s="165" t="s">
        <x:v>32</x:v>
      </x:c>
      <x:c r="N13" s="165" t="s">
        <x:v>56</x:v>
      </x:c>
      <x:c r="O13" s="165">
        <x:v>1</x:v>
      </x:c>
      <x:c r="R13" s="13">
        <x:v>8</x:v>
      </x:c>
      <x:c r="S13" s="13" t="s">
        <x:v>57</x:v>
      </x:c>
      <x:c r="W13" s="13" t="s">
        <x:v>58</x:v>
      </x:c>
      <x:c r="X13" s="284" t="str">
        <x:v>Oracle Primavera Cloud SaaS</x:v>
      </x:c>
      <x:c r="Y13" s="285"/>
      <x:c r="Z13" s="284"/>
      <x:c r="AA13" s="13"/>
      <x:c r="AB13" s="286"/>
    </x:row>
    <x:row r="14">
      <x:c r="A14" s="290" t="e">
        <x:f>_xlfn.XLOOKUP(Matriz[[#This Row],[Categoría]],Categoría[Categoría],Categoría[Cat],"NA",0)</x:f>
        <x:v>#NAME?</x:v>
      </x:c>
      <x:c r="B14" s="165" t="s">
        <x:v>31</x:v>
      </x:c>
      <x:c r="C14" s="288" t="e">
        <x:f>_xlfn.XLOOKUP(Matriz[[#This Row],[Parámetro]],Parámetro[Parámetro],Parámetro[Par],0,0)</x:f>
        <x:v>#NAME?</x:v>
      </x:c>
      <x:c r="D14" s="165" t="s">
        <x:v>34</x:v>
      </x:c>
      <x:c r="E14" s="165" t="e">
        <x:f>Matriz[[#This Row],[Cat]]&amp;IF(Matriz[[#This Row],[Par]]=0,"","."&amp;Matriz[[#This Row],[Par]]&amp;"."&amp;TEXT(COUNTIFS(A$2:A14,Matriz[[#This Row],[Cat]],C$2:C14,Matriz[[#This Row],[Par]]),"000"))</x:f>
        <x:v>#NAME?</x:v>
      </x:c>
      <x:c r="F14" s="289" t="e">
        <x:f>IF(LEN(Matriz[[#This Row],[EDT]])=1,COUNTIF(Matriz[EDT],"?????????*"),IF(LEN(Matriz[[#This Row],[EDT]])=2,COUNTIF(Matriz[EDT],Matriz[[#This Row],[Cat]]&amp;"*")-1,0))</x:f>
        <x:v>#NAME?</x:v>
      </x:c>
      <x:c r="G14" s="165" t="e">
        <x:f>IF(Matriz[[#This Row],['# reque-rimientos]]&gt;0,"Sí","No")</x:f>
        <x:v>#REF!</x:v>
      </x:c>
      <x:c r="H14" s="165" t="e">
        <x:f>IF(Matriz[[#This Row],[Cat]]="0",0,IF(Matriz[[#This Row],[Par]]=0,1,LEN(Matriz[[#This Row],[EDT]])-LEN(SUBSTITUTE(Matriz[[#This Row],[EDT]],".",""))))</x:f>
        <x:v>#NAME?</x:v>
      </x:c>
      <x:c r="I14" s="165" t="s">
        <x:v>59</x:v>
      </x:c>
      <x:c r="J14" s="165"/>
      <x:c r="K14" s="165"/>
      <x:c r="L14" s="165"/>
      <x:c r="M14" s="165" t="s">
        <x:v>32</x:v>
      </x:c>
      <x:c r="N14" s="165" t="s">
        <x:v>60</x:v>
      </x:c>
      <x:c r="O14" s="165">
        <x:v>1</x:v>
      </x:c>
      <x:c r="R14" s="13">
        <x:v>7</x:v>
      </x:c>
      <x:c r="S14" s="13" t="s">
        <x:v>38</x:v>
      </x:c>
      <x:c r="X14" s="284" t="str">
        <x:v>Oracle Primavera Cloud SaaS</x:v>
      </x:c>
      <x:c r="Y14" s="285"/>
      <x:c r="Z14" s="284"/>
      <x:c r="AA14" s="13"/>
      <x:c r="AB14" s="286"/>
    </x:row>
    <x:row r="15" ht="22.5">
      <x:c r="A15" s="290" t="e">
        <x:f>_xlfn.XLOOKUP(Matriz[[#This Row],[Categoría]],Categoría[Categoría],Categoría[Cat],"NA",0)</x:f>
        <x:v>#NAME?</x:v>
      </x:c>
      <x:c r="B15" s="165" t="s">
        <x:v>31</x:v>
      </x:c>
      <x:c r="C15" s="288" t="e">
        <x:f>_xlfn.XLOOKUP(Matriz[[#This Row],[Parámetro]],Parámetro[Parámetro],Parámetro[Par],0,0)</x:f>
        <x:v>#NAME?</x:v>
      </x:c>
      <x:c r="D15" s="165" t="s">
        <x:v>34</x:v>
      </x:c>
      <x:c r="E15" s="165" t="e">
        <x:f>Matriz[[#This Row],[Cat]]&amp;IF(Matriz[[#This Row],[Par]]=0,"","."&amp;Matriz[[#This Row],[Par]]&amp;"."&amp;TEXT(COUNTIFS(A$2:A15,Matriz[[#This Row],[Cat]],C$2:C15,Matriz[[#This Row],[Par]]),"000"))</x:f>
        <x:v>#NAME?</x:v>
      </x:c>
      <x:c r="F15" s="289" t="e">
        <x:f>IF(LEN(Matriz[[#This Row],[EDT]])=1,COUNTIF(Matriz[EDT],"?????????*"),IF(LEN(Matriz[[#This Row],[EDT]])=2,COUNTIF(Matriz[EDT],Matriz[[#This Row],[Cat]]&amp;"*")-1,0))</x:f>
        <x:v>#NAME?</x:v>
      </x:c>
      <x:c r="G15" s="165" t="e">
        <x:f>IF(Matriz[[#This Row],['# reque-rimientos]]&gt;0,"Sí","No")</x:f>
        <x:v>#REF!</x:v>
      </x:c>
      <x:c r="H15" s="165" t="e">
        <x:f>IF(Matriz[[#This Row],[Cat]]="0",0,IF(Matriz[[#This Row],[Par]]=0,1,LEN(Matriz[[#This Row],[EDT]])-LEN(SUBSTITUTE(Matriz[[#This Row],[EDT]],".",""))))</x:f>
        <x:v>#NAME?</x:v>
      </x:c>
      <x:c r="I15" s="165" t="s">
        <x:v>61</x:v>
      </x:c>
      <x:c r="J15" s="165"/>
      <x:c r="K15" s="165"/>
      <x:c r="L15" s="165"/>
      <x:c r="M15" s="165" t="s">
        <x:v>32</x:v>
      </x:c>
      <x:c r="N15" s="165" t="s">
        <x:v>62</x:v>
      </x:c>
      <x:c r="O15" s="165">
        <x:v>1</x:v>
      </x:c>
      <x:c r="R15" s="13">
        <x:v>7</x:v>
      </x:c>
      <x:c r="S15" s="13" t="s">
        <x:v>38</x:v>
      </x:c>
      <x:c r="X15" s="284" t="str">
        <x:v>Oracle Primavera Cloud SaaS</x:v>
      </x:c>
      <x:c r="Y15" s="285"/>
      <x:c r="Z15" s="284"/>
      <x:c r="AA15" s="13"/>
      <x:c r="AB15" s="286"/>
    </x:row>
    <x:row r="16" ht="33.75">
      <x:c r="A16" s="290" t="e">
        <x:f>_xlfn.XLOOKUP(Matriz[[#This Row],[Categoría]],Categoría[Categoría],Categoría[Cat],"NA",0)</x:f>
        <x:v>#NAME?</x:v>
      </x:c>
      <x:c r="B16" s="165" t="s">
        <x:v>31</x:v>
      </x:c>
      <x:c r="C16" s="288" t="e">
        <x:f>_xlfn.XLOOKUP(Matriz[[#This Row],[Parámetro]],Parámetro[Parámetro],Parámetro[Par],0,0)</x:f>
        <x:v>#NAME?</x:v>
      </x:c>
      <x:c r="D16" s="165" t="s">
        <x:v>34</x:v>
      </x:c>
      <x:c r="E16" s="165" t="e">
        <x:f>Matriz[[#This Row],[Cat]]&amp;IF(Matriz[[#This Row],[Par]]=0,"","."&amp;Matriz[[#This Row],[Par]]&amp;"."&amp;TEXT(COUNTIFS(A$2:A16,Matriz[[#This Row],[Cat]],C$2:C16,Matriz[[#This Row],[Par]]),"000"))</x:f>
        <x:v>#NAME?</x:v>
      </x:c>
      <x:c r="F16" s="289" t="e">
        <x:f>IF(LEN(Matriz[[#This Row],[EDT]])=1,COUNTIF(Matriz[EDT],"?????????*"),IF(LEN(Matriz[[#This Row],[EDT]])=2,COUNTIF(Matriz[EDT],Matriz[[#This Row],[Cat]]&amp;"*")-1,0))</x:f>
        <x:v>#NAME?</x:v>
      </x:c>
      <x:c r="G16" s="165" t="e">
        <x:f>IF(Matriz[[#This Row],['# reque-rimientos]]&gt;0,"Sí","No")</x:f>
        <x:v>#REF!</x:v>
      </x:c>
      <x:c r="H16" s="165" t="e">
        <x:f>IF(Matriz[[#This Row],[Cat]]="0",0,IF(Matriz[[#This Row],[Par]]=0,1,LEN(Matriz[[#This Row],[EDT]])-LEN(SUBSTITUTE(Matriz[[#This Row],[EDT]],".",""))))</x:f>
        <x:v>#NAME?</x:v>
      </x:c>
      <x:c r="I16" s="165" t="s">
        <x:v>63</x:v>
      </x:c>
      <x:c r="J16" s="165"/>
      <x:c r="K16" s="165"/>
      <x:c r="L16" s="165"/>
      <x:c r="M16" s="165" t="s">
        <x:v>32</x:v>
      </x:c>
      <x:c r="N16" s="165" t="s">
        <x:v>64</x:v>
      </x:c>
      <x:c r="O16" s="165">
        <x:v>1</x:v>
      </x:c>
      <x:c r="R16" s="13">
        <x:v>9</x:v>
      </x:c>
      <x:c r="S16" s="13" t="s">
        <x:v>38</x:v>
      </x:c>
      <x:c r="X16" s="284" t="str">
        <x:v>OPC Cost/Funds + Oracle Primavera Unifier</x:v>
      </x:c>
      <x:c r="Y16" s="285"/>
      <x:c r="Z16" s="284"/>
      <x:c r="AA16" s="13"/>
      <x:c r="AB16" s="286"/>
    </x:row>
    <x:row r="17">
      <x:c r="A17" s="290" t="e">
        <x:f>_xlfn.XLOOKUP(Matriz[[#This Row],[Categoría]],Categoría[Categoría],Categoría[Cat],"NA",0)</x:f>
        <x:v>#NAME?</x:v>
      </x:c>
      <x:c r="B17" s="165" t="s">
        <x:v>31</x:v>
      </x:c>
      <x:c r="C17" s="288" t="e">
        <x:f>_xlfn.XLOOKUP(Matriz[[#This Row],[Parámetro]],Parámetro[Parámetro],Parámetro[Par],0,0)</x:f>
        <x:v>#NAME?</x:v>
      </x:c>
      <x:c r="D17" s="165" t="s">
        <x:v>34</x:v>
      </x:c>
      <x:c r="E17" s="165" t="e">
        <x:f>Matriz[[#This Row],[Cat]]&amp;IF(Matriz[[#This Row],[Par]]=0,"","."&amp;Matriz[[#This Row],[Par]]&amp;"."&amp;TEXT(COUNTIFS(A$2:A17,Matriz[[#This Row],[Cat]],C$2:C17,Matriz[[#This Row],[Par]]),"000"))</x:f>
        <x:v>#NAME?</x:v>
      </x:c>
      <x:c r="F17" s="289" t="e">
        <x:f>IF(LEN(Matriz[[#This Row],[EDT]])=1,COUNTIF(Matriz[EDT],"?????????*"),IF(LEN(Matriz[[#This Row],[EDT]])=2,COUNTIF(Matriz[EDT],Matriz[[#This Row],[Cat]]&amp;"*")-1,0))</x:f>
        <x:v>#NAME?</x:v>
      </x:c>
      <x:c r="G17" s="165" t="e">
        <x:f>IF(Matriz[[#This Row],['# reque-rimientos]]&gt;0,"Sí","No")</x:f>
        <x:v>#REF!</x:v>
      </x:c>
      <x:c r="H17" s="165" t="e">
        <x:f>IF(Matriz[[#This Row],[Cat]]="0",0,IF(Matriz[[#This Row],[Par]]=0,1,LEN(Matriz[[#This Row],[EDT]])-LEN(SUBSTITUTE(Matriz[[#This Row],[EDT]],".",""))))</x:f>
        <x:v>#NAME?</x:v>
      </x:c>
      <x:c r="I17" s="165" t="s">
        <x:v>65</x:v>
      </x:c>
      <x:c r="J17" s="165" t="s">
        <x:v>66</x:v>
      </x:c>
      <x:c r="K17" s="165"/>
      <x:c r="L17" s="165"/>
      <x:c r="M17" s="165" t="s">
        <x:v>32</x:v>
      </x:c>
      <x:c r="N17" s="165"/>
      <x:c r="O17" s="165">
        <x:v>1</x:v>
      </x:c>
      <x:c r="R17" s="13">
        <x:v>9</x:v>
      </x:c>
      <x:c r="S17" s="13" t="s">
        <x:v>67</x:v>
      </x:c>
      <x:c r="T17" s="13" t="s">
        <x:v>39</x:v>
      </x:c>
      <x:c r="U17" s="13">
        <x:v>50</x:v>
      </x:c>
      <x:c r="X17" s="284" t="str">
        <x:v>Oracle Primavera Cloud SaaS</x:v>
      </x:c>
      <x:c r="Y17" s="285"/>
      <x:c r="Z17" s="284"/>
      <x:c r="AA17" s="13"/>
      <x:c r="AB17" s="286"/>
    </x:row>
    <x:row r="18">
      <x:c r="A18" s="290" t="e">
        <x:f>_xlfn.XLOOKUP(Matriz[[#This Row],[Categoría]],Categoría[Categoría],Categoría[Cat],"NA",0)</x:f>
        <x:v>#NAME?</x:v>
      </x:c>
      <x:c r="B18" s="165" t="s">
        <x:v>31</x:v>
      </x:c>
      <x:c r="C18" s="288" t="e">
        <x:f>_xlfn.XLOOKUP(Matriz[[#This Row],[Parámetro]],Parámetro[Parámetro],Parámetro[Par],0,0)</x:f>
        <x:v>#NAME?</x:v>
      </x:c>
      <x:c r="D18" s="165" t="s">
        <x:v>34</x:v>
      </x:c>
      <x:c r="E18" s="165" t="e">
        <x:f>Matriz[[#This Row],[Cat]]&amp;IF(Matriz[[#This Row],[Par]]=0,"","."&amp;Matriz[[#This Row],[Par]]&amp;"."&amp;TEXT(COUNTIFS(A$2:A18,Matriz[[#This Row],[Cat]],C$2:C18,Matriz[[#This Row],[Par]]),"000"))</x:f>
        <x:v>#NAME?</x:v>
      </x:c>
      <x:c r="F18" s="289" t="e">
        <x:f>IF(LEN(Matriz[[#This Row],[EDT]])=1,COUNTIF(Matriz[EDT],"?????????*"),IF(LEN(Matriz[[#This Row],[EDT]])=2,COUNTIF(Matriz[EDT],Matriz[[#This Row],[Cat]]&amp;"*")-1,0))</x:f>
        <x:v>#NAME?</x:v>
      </x:c>
      <x:c r="G18" s="165" t="e">
        <x:f>IF(Matriz[[#This Row],['# reque-rimientos]]&gt;0,"Sí","No")</x:f>
        <x:v>#REF!</x:v>
      </x:c>
      <x:c r="H18" s="165" t="e">
        <x:f>IF(Matriz[[#This Row],[Cat]]="0",0,IF(Matriz[[#This Row],[Par]]=0,1,LEN(Matriz[[#This Row],[EDT]])-LEN(SUBSTITUTE(Matriz[[#This Row],[EDT]],".",""))))</x:f>
        <x:v>#NAME?</x:v>
      </x:c>
      <x:c r="I18" s="165" t="s">
        <x:v>68</x:v>
      </x:c>
      <x:c r="J18" s="165" t="s">
        <x:v>66</x:v>
      </x:c>
      <x:c r="K18" s="165"/>
      <x:c r="L18" s="165"/>
      <x:c r="M18" s="165" t="s">
        <x:v>32</x:v>
      </x:c>
      <x:c r="N18" s="165" t="s">
        <x:v>69</x:v>
      </x:c>
      <x:c r="O18" s="165">
        <x:v>1</x:v>
      </x:c>
      <x:c r="R18" s="13">
        <x:v>9</x:v>
      </x:c>
      <x:c r="S18" s="13" t="s">
        <x:v>67</x:v>
      </x:c>
      <x:c r="T18" s="13" t="s">
        <x:v>39</x:v>
      </x:c>
      <x:c r="U18" s="13">
        <x:v>100</x:v>
      </x:c>
      <x:c r="X18" s="284" t="str">
        <x:v>OPC Resource Management + Administration</x:v>
      </x:c>
      <x:c r="Y18" s="285"/>
      <x:c r="Z18" s="284"/>
      <x:c r="AA18" s="13"/>
      <x:c r="AB18" s="286"/>
    </x:row>
    <x:row r="19">
      <x:c r="A19" s="290" t="e">
        <x:f>_xlfn.XLOOKUP(Matriz[[#This Row],[Categoría]],Categoría[Categoría],Categoría[Cat],"NA",0)</x:f>
        <x:v>#NAME?</x:v>
      </x:c>
      <x:c r="B19" s="165" t="s">
        <x:v>31</x:v>
      </x:c>
      <x:c r="C19" s="288" t="e">
        <x:f>_xlfn.XLOOKUP(Matriz[[#This Row],[Parámetro]],Parámetro[Parámetro],Parámetro[Par],0,0)</x:f>
        <x:v>#NAME?</x:v>
      </x:c>
      <x:c r="D19" s="165" t="s">
        <x:v>34</x:v>
      </x:c>
      <x:c r="E19" s="165" t="e">
        <x:f>Matriz[[#This Row],[Cat]]&amp;IF(Matriz[[#This Row],[Par]]=0,"","."&amp;Matriz[[#This Row],[Par]]&amp;"."&amp;TEXT(COUNTIFS(A$2:A19,Matriz[[#This Row],[Cat]],C$2:C19,Matriz[[#This Row],[Par]]),"000"))</x:f>
        <x:v>#NAME?</x:v>
      </x:c>
      <x:c r="F19" s="289" t="e">
        <x:f>IF(LEN(Matriz[[#This Row],[EDT]])=1,COUNTIF(Matriz[EDT],"?????????*"),IF(LEN(Matriz[[#This Row],[EDT]])=2,COUNTIF(Matriz[EDT],Matriz[[#This Row],[Cat]]&amp;"*")-1,0))</x:f>
        <x:v>#NAME?</x:v>
      </x:c>
      <x:c r="G19" s="165" t="e">
        <x:f>IF(Matriz[[#This Row],['# reque-rimientos]]&gt;0,"Sí","No")</x:f>
        <x:v>#REF!</x:v>
      </x:c>
      <x:c r="H19" s="165" t="e">
        <x:f>IF(Matriz[[#This Row],[Cat]]="0",0,IF(Matriz[[#This Row],[Par]]=0,1,LEN(Matriz[[#This Row],[EDT]])-LEN(SUBSTITUTE(Matriz[[#This Row],[EDT]],".",""))))</x:f>
        <x:v>#NAME?</x:v>
      </x:c>
      <x:c r="I19" s="165" t="s">
        <x:v>70</x:v>
      </x:c>
      <x:c r="J19" s="165" t="s">
        <x:v>66</x:v>
      </x:c>
      <x:c r="K19" s="165"/>
      <x:c r="L19" s="165"/>
      <x:c r="M19" s="165" t="s">
        <x:v>32</x:v>
      </x:c>
      <x:c r="N19" s="165" t="s">
        <x:v>71</x:v>
      </x:c>
      <x:c r="O19" s="165">
        <x:v>1</x:v>
      </x:c>
      <x:c r="R19" s="13">
        <x:v>7</x:v>
      </x:c>
      <x:c r="S19" s="13" t="s">
        <x:v>67</x:v>
      </x:c>
      <x:c r="T19" s="13" t="s">
        <x:v>39</x:v>
      </x:c>
      <x:c r="X19" s="284" t="str">
        <x:v>OPC Resource Management + Administration</x:v>
      </x:c>
      <x:c r="Y19" s="285"/>
      <x:c r="Z19" s="284"/>
      <x:c r="AA19" s="13"/>
      <x:c r="AB19" s="286"/>
    </x:row>
    <x:row r="20">
      <x:c r="A20" s="290" t="e">
        <x:f>_xlfn.XLOOKUP(Matriz[[#This Row],[Categoría]],Categoría[Categoría],Categoría[Cat],"NA",0)</x:f>
        <x:v>#NAME?</x:v>
      </x:c>
      <x:c r="B20" s="165" t="s">
        <x:v>31</x:v>
      </x:c>
      <x:c r="C20" s="288" t="e">
        <x:f>_xlfn.XLOOKUP(Matriz[[#This Row],[Parámetro]],Parámetro[Parámetro],Parámetro[Par],0,0)</x:f>
        <x:v>#NAME?</x:v>
      </x:c>
      <x:c r="D20" s="165" t="s">
        <x:v>34</x:v>
      </x:c>
      <x:c r="E20" s="165" t="e">
        <x:f>Matriz[[#This Row],[Cat]]&amp;IF(Matriz[[#This Row],[Par]]=0,"","."&amp;Matriz[[#This Row],[Par]]&amp;"."&amp;TEXT(COUNTIFS(A$2:A20,Matriz[[#This Row],[Cat]],C$2:C20,Matriz[[#This Row],[Par]]),"000"))</x:f>
        <x:v>#NAME?</x:v>
      </x:c>
      <x:c r="F20" s="289" t="e">
        <x:f>IF(LEN(Matriz[[#This Row],[EDT]])=1,COUNTIF(Matriz[EDT],"?????????*"),IF(LEN(Matriz[[#This Row],[EDT]])=2,COUNTIF(Matriz[EDT],Matriz[[#This Row],[Cat]]&amp;"*")-1,0))</x:f>
        <x:v>#NAME?</x:v>
      </x:c>
      <x:c r="G20" s="165" t="e">
        <x:f>IF(Matriz[[#This Row],['# reque-rimientos]]&gt;0,"Sí","No")</x:f>
        <x:v>#REF!</x:v>
      </x:c>
      <x:c r="H20" s="165" t="e">
        <x:f>IF(Matriz[[#This Row],[Cat]]="0",0,IF(Matriz[[#This Row],[Par]]=0,1,LEN(Matriz[[#This Row],[EDT]])-LEN(SUBSTITUTE(Matriz[[#This Row],[EDT]],".",""))))</x:f>
        <x:v>#NAME?</x:v>
      </x:c>
      <x:c r="I20" s="165" t="s">
        <x:v>72</x:v>
      </x:c>
      <x:c r="J20" s="165" t="s">
        <x:v>66</x:v>
      </x:c>
      <x:c r="K20" s="165"/>
      <x:c r="L20" s="165"/>
      <x:c r="M20" s="165" t="s">
        <x:v>32</x:v>
      </x:c>
      <x:c r="N20" s="165" t="s">
        <x:v>73</x:v>
      </x:c>
      <x:c r="O20" s="165">
        <x:v>1</x:v>
      </x:c>
      <x:c r="R20" s="13">
        <x:v>7</x:v>
      </x:c>
      <x:c r="S20" s="13" t="s">
        <x:v>67</x:v>
      </x:c>
      <x:c r="T20" s="13" t="s">
        <x:v>39</x:v>
      </x:c>
      <x:c r="U20" s="13">
        <x:v>3</x:v>
      </x:c>
      <x:c r="X20" s="284" t="str">
        <x:v>OPC Resource Management + Administration</x:v>
      </x:c>
      <x:c r="Y20" s="285"/>
      <x:c r="Z20" s="284"/>
      <x:c r="AA20" s="13"/>
      <x:c r="AB20" s="286"/>
    </x:row>
    <x:row r="21" ht="22.5">
      <x:c r="A21" s="290" t="e">
        <x:f>_xlfn.XLOOKUP(Matriz[[#This Row],[Categoría]],Categoría[Categoría],Categoría[Cat],"NA",0)</x:f>
        <x:v>#NAME?</x:v>
      </x:c>
      <x:c r="B21" s="165" t="s">
        <x:v>31</x:v>
      </x:c>
      <x:c r="C21" s="288" t="e">
        <x:f>_xlfn.XLOOKUP(Matriz[[#This Row],[Parámetro]],Parámetro[Parámetro],Parámetro[Par],0,0)</x:f>
        <x:v>#NAME?</x:v>
      </x:c>
      <x:c r="D21" s="165" t="s">
        <x:v>34</x:v>
      </x:c>
      <x:c r="E21" s="165" t="e">
        <x:f>Matriz[[#This Row],[Cat]]&amp;IF(Matriz[[#This Row],[Par]]=0,"","."&amp;Matriz[[#This Row],[Par]]&amp;"."&amp;TEXT(COUNTIFS(A$2:A21,Matriz[[#This Row],[Cat]],C$2:C21,Matriz[[#This Row],[Par]]),"000"))</x:f>
        <x:v>#NAME?</x:v>
      </x:c>
      <x:c r="F21" s="289" t="e">
        <x:f>IF(LEN(Matriz[[#This Row],[EDT]])=1,COUNTIF(Matriz[EDT],"?????????*"),IF(LEN(Matriz[[#This Row],[EDT]])=2,COUNTIF(Matriz[EDT],Matriz[[#This Row],[Cat]]&amp;"*")-1,0))</x:f>
        <x:v>#NAME?</x:v>
      </x:c>
      <x:c r="G21" s="165" t="e">
        <x:f>IF(Matriz[[#This Row],['# reque-rimientos]]&gt;0,"Sí","No")</x:f>
        <x:v>#REF!</x:v>
      </x:c>
      <x:c r="H21" s="165" t="e">
        <x:f>IF(Matriz[[#This Row],[Cat]]="0",0,IF(Matriz[[#This Row],[Par]]=0,1,LEN(Matriz[[#This Row],[EDT]])-LEN(SUBSTITUTE(Matriz[[#This Row],[EDT]],".",""))))</x:f>
        <x:v>#NAME?</x:v>
      </x:c>
      <x:c r="I21" s="165" t="s">
        <x:v>74</x:v>
      </x:c>
      <x:c r="J21" s="165"/>
      <x:c r="K21" s="165"/>
      <x:c r="L21" s="165"/>
      <x:c r="M21" s="165" t="s">
        <x:v>32</x:v>
      </x:c>
      <x:c r="N21" s="165" t="s">
        <x:v>75</x:v>
      </x:c>
      <x:c r="O21" s="165">
        <x:v>1</x:v>
      </x:c>
      <x:c r="R21" s="13">
        <x:v>9</x:v>
      </x:c>
      <x:c r="S21" s="13" t="s">
        <x:v>33</x:v>
      </x:c>
      <x:c r="T21" s="292" t="s">
        <x:v>39</x:v>
      </x:c>
      <x:c r="U21" s="292">
        <x:v>6</x:v>
      </x:c>
      <x:c r="X21" s="284" t="str">
        <x:v>OPC Cost/Funds + Oracle Primavera Unifier</x:v>
      </x:c>
      <x:c r="Y21" s="285"/>
      <x:c r="Z21" s="284"/>
      <x:c r="AA21" s="13"/>
      <x:c r="AB21" s="286"/>
    </x:row>
    <x:row r="22" ht="33.75" hidden="1">
      <x:c r="A22" s="290" t="e">
        <x:f>_xlfn.XLOOKUP(Matriz[[#This Row],[Categoría]],Categoría[Categoría],Categoría[Cat],"NA",0)</x:f>
        <x:v>#NAME?</x:v>
      </x:c>
      <x:c r="B22" s="165" t="s">
        <x:v>31</x:v>
      </x:c>
      <x:c r="C22" s="288" t="e">
        <x:f>_xlfn.XLOOKUP(Matriz[[#This Row],[Parámetro]],Parámetro[Parámetro],Parámetro[Par],0,0)</x:f>
        <x:v>#NAME?</x:v>
      </x:c>
      <x:c r="D22" s="165" t="s">
        <x:v>34</x:v>
      </x:c>
      <x:c r="E22" s="165" t="e">
        <x:f>Matriz[[#This Row],[Cat]]&amp;IF(Matriz[[#This Row],[Par]]=0,"","."&amp;Matriz[[#This Row],[Par]]&amp;"."&amp;TEXT(COUNTIFS(A$2:A22,Matriz[[#This Row],[Cat]],C$2:C22,Matriz[[#This Row],[Par]]),"000"))</x:f>
        <x:v>#NAME?</x:v>
      </x:c>
      <x:c r="F22" s="289" t="e">
        <x:f>IF(LEN(Matriz[[#This Row],[EDT]])=1,COUNTIF(Matriz[EDT],"?????????*"),IF(LEN(Matriz[[#This Row],[EDT]])=2,COUNTIF(Matriz[EDT],Matriz[[#This Row],[Cat]]&amp;"*")-1,0))</x:f>
        <x:v>#NAME?</x:v>
      </x:c>
      <x:c r="G22" s="165" t="e">
        <x:f>IF(Matriz[[#This Row],['# reque-rimientos]]&gt;0,"Sí","No")</x:f>
        <x:v>#REF!</x:v>
      </x:c>
      <x:c r="H22" s="165" t="e">
        <x:f>IF(Matriz[[#This Row],[Cat]]="0",0,IF(Matriz[[#This Row],[Par]]=0,1,LEN(Matriz[[#This Row],[EDT]])-LEN(SUBSTITUTE(Matriz[[#This Row],[EDT]],".",""))))</x:f>
        <x:v>#NAME?</x:v>
      </x:c>
      <x:c r="I22" s="165" t="s">
        <x:v>76</x:v>
      </x:c>
      <x:c r="J22" s="165"/>
      <x:c r="K22" s="291" t="s">
        <x:v>77</x:v>
      </x:c>
      <x:c r="L22" s="165"/>
      <x:c r="M22" s="165" t="s">
        <x:v>32</x:v>
      </x:c>
      <x:c r="N22" s="165" t="s">
        <x:v>78</x:v>
      </x:c>
      <x:c r="O22" s="165">
        <x:v>3</x:v>
      </x:c>
      <x:c r="R22" s="13">
        <x:v>10</x:v>
      </x:c>
      <x:c r="S22" s="13" t="s">
        <x:v>38</x:v>
      </x:c>
      <x:c r="X22" s="284" t="str">
        <x:v>Oracle Analytics + OCI AI / solución complementaria</x:v>
      </x:c>
      <x:c r="Y22" s="285"/>
      <x:c r="Z22" s="284"/>
      <x:c r="AA22" s="13"/>
      <x:c r="AB22" s="286"/>
    </x:row>
    <x:row r="23" ht="67.5" hidden="1">
      <x:c r="A23" s="290" t="e">
        <x:f>_xlfn.XLOOKUP(Matriz[[#This Row],[Categoría]],Categoría[Categoría],Categoría[Cat],"NA",0)</x:f>
        <x:v>#NAME?</x:v>
      </x:c>
      <x:c r="B23" s="165" t="s">
        <x:v>31</x:v>
      </x:c>
      <x:c r="C23" s="288" t="e">
        <x:f>_xlfn.XLOOKUP(Matriz[[#This Row],[Parámetro]],Parámetro[Parámetro],Parámetro[Par],0,0)</x:f>
        <x:v>#NAME?</x:v>
      </x:c>
      <x:c r="D23" s="165" t="s">
        <x:v>79</x:v>
      </x:c>
      <x:c r="E23" s="165" t="e">
        <x:f>Matriz[[#This Row],[Cat]]&amp;IF(Matriz[[#This Row],[Par]]=0,"","."&amp;Matriz[[#This Row],[Par]]&amp;"."&amp;TEXT(COUNTIFS(A$2:A23,Matriz[[#This Row],[Cat]],C$2:C23,Matriz[[#This Row],[Par]]),"000"))</x:f>
        <x:v>#NAME?</x:v>
      </x:c>
      <x:c r="F23" s="289" t="e">
        <x:f>IF(LEN(Matriz[[#This Row],[EDT]])=1,COUNTIF(Matriz[EDT],"?????????*"),IF(LEN(Matriz[[#This Row],[EDT]])=2,COUNTIF(Matriz[EDT],Matriz[[#This Row],[Cat]]&amp;"*")-1,0))</x:f>
        <x:v>#NAME?</x:v>
      </x:c>
      <x:c r="G23" s="165" t="e">
        <x:f>IF(Matriz[[#This Row],['# reque-rimientos]]&gt;0,"Sí","No")</x:f>
        <x:v>#REF!</x:v>
      </x:c>
      <x:c r="H23" s="165" t="e">
        <x:f>IF(Matriz[[#This Row],[Cat]]="0",0,IF(Matriz[[#This Row],[Par]]=0,1,LEN(Matriz[[#This Row],[EDT]])-LEN(SUBSTITUTE(Matriz[[#This Row],[EDT]],".",""))))</x:f>
        <x:v>#NAME?</x:v>
      </x:c>
      <x:c r="I23" s="165" t="s">
        <x:v>80</x:v>
      </x:c>
      <x:c r="J23" s="165"/>
      <x:c r="K23" s="291" t="s">
        <x:v>81</x:v>
      </x:c>
      <x:c r="L23" s="291"/>
      <x:c r="M23" s="165" t="s">
        <x:v>32</x:v>
      </x:c>
      <x:c r="N23" s="165" t="s">
        <x:v>82</x:v>
      </x:c>
      <x:c r="O23" s="165">
        <x:v>2</x:v>
      </x:c>
      <x:c r="P23" s="291"/>
      <x:c r="Q23" s="291"/>
      <x:c r="R23" s="13">
        <x:v>7</x:v>
      </x:c>
      <x:c r="S23" s="13" t="s">
        <x:v>83</x:v>
      </x:c>
      <x:c r="X23" s="284" t="str">
        <x:v>Integración OPC/Unifier ↔ SAP vía API/ETL/middleware</x:v>
      </x:c>
      <x:c r="Y23" s="285"/>
      <x:c r="Z23" s="284"/>
      <x:c r="AA23" s="13"/>
      <x:c r="AB23" s="286"/>
    </x:row>
    <x:row r="24" ht="33.75">
      <x:c r="A24" s="290" t="e">
        <x:f>_xlfn.XLOOKUP(Matriz[[#This Row],[Categoría]],Categoría[Categoría],Categoría[Cat],"NA",0)</x:f>
        <x:v>#NAME?</x:v>
      </x:c>
      <x:c r="B24" s="165" t="s">
        <x:v>31</x:v>
      </x:c>
      <x:c r="C24" s="288" t="e">
        <x:f>_xlfn.XLOOKUP(Matriz[[#This Row],[Parámetro]],Parámetro[Parámetro],Parámetro[Par],0,0)</x:f>
        <x:v>#NAME?</x:v>
      </x:c>
      <x:c r="D24" s="165" t="s">
        <x:v>79</x:v>
      </x:c>
      <x:c r="E24" s="165" t="e">
        <x:f>Matriz[[#This Row],[Cat]]&amp;IF(Matriz[[#This Row],[Par]]=0,"","."&amp;Matriz[[#This Row],[Par]]&amp;"."&amp;TEXT(COUNTIFS(A$2:A24,Matriz[[#This Row],[Cat]],C$2:C24,Matriz[[#This Row],[Par]]),"000"))</x:f>
        <x:v>#NAME?</x:v>
      </x:c>
      <x:c r="F24" s="289" t="e">
        <x:f>IF(LEN(Matriz[[#This Row],[EDT]])=1,COUNTIF(Matriz[EDT],"?????????*"),IF(LEN(Matriz[[#This Row],[EDT]])=2,COUNTIF(Matriz[EDT],Matriz[[#This Row],[Cat]]&amp;"*")-1,0))</x:f>
        <x:v>#NAME?</x:v>
      </x:c>
      <x:c r="G24" s="165" t="e">
        <x:f>IF(Matriz[[#This Row],['# reque-rimientos]]&gt;0,"Sí","No")</x:f>
        <x:v>#REF!</x:v>
      </x:c>
      <x:c r="H24" s="165" t="e">
        <x:f>IF(Matriz[[#This Row],[Cat]]="0",0,IF(Matriz[[#This Row],[Par]]=0,1,LEN(Matriz[[#This Row],[EDT]])-LEN(SUBSTITUTE(Matriz[[#This Row],[EDT]],".",""))))</x:f>
        <x:v>#NAME?</x:v>
      </x:c>
      <x:c r="I24" s="165" t="s">
        <x:v>84</x:v>
      </x:c>
      <x:c r="J24" s="165"/>
      <x:c r="K24" s="165"/>
      <x:c r="L24" s="291"/>
      <x:c r="M24" s="165" t="s">
        <x:v>32</x:v>
      </x:c>
      <x:c r="N24" s="165" t="s">
        <x:v>85</x:v>
      </x:c>
      <x:c r="O24" s="165">
        <x:v>1</x:v>
      </x:c>
      <x:c r="P24" s="291"/>
      <x:c r="Q24" s="291"/>
      <x:c r="R24" s="13">
        <x:v>10</x:v>
      </x:c>
      <x:c r="S24" s="13" t="s">
        <x:v>83</x:v>
      </x:c>
      <x:c r="X24" s="284" t="str">
        <x:v>Oracle Primavera Cloud Schedule + Integration app / APIs para migración desde Microsoft Project Online</x:v>
      </x:c>
      <x:c r="Y24" s="285"/>
      <x:c r="Z24" s="284"/>
      <x:c r="AA24" s="13"/>
      <x:c r="AB24" s="286"/>
    </x:row>
    <x:row r="25" ht="33.75">
      <x:c r="A25" s="290" t="e">
        <x:f>_xlfn.XLOOKUP(Matriz[[#This Row],[Categoría]],Categoría[Categoría],Categoría[Cat],"NA",0)</x:f>
        <x:v>#NAME?</x:v>
      </x:c>
      <x:c r="B25" s="165" t="s">
        <x:v>31</x:v>
      </x:c>
      <x:c r="C25" s="288" t="e">
        <x:f>_xlfn.XLOOKUP(Matriz[[#This Row],[Parámetro]],Parámetro[Parámetro],Parámetro[Par],0,0)</x:f>
        <x:v>#NAME?</x:v>
      </x:c>
      <x:c r="D25" s="165" t="s">
        <x:v>79</x:v>
      </x:c>
      <x:c r="E25" s="165" t="e">
        <x:f>Matriz[[#This Row],[Cat]]&amp;IF(Matriz[[#This Row],[Par]]=0,"","."&amp;Matriz[[#This Row],[Par]]&amp;"."&amp;TEXT(COUNTIFS(A$2:A25,Matriz[[#This Row],[Cat]],C$2:C25,Matriz[[#This Row],[Par]]),"000"))</x:f>
        <x:v>#NAME?</x:v>
      </x:c>
      <x:c r="F25" s="289" t="e">
        <x:f>IF(LEN(Matriz[[#This Row],[EDT]])=1,COUNTIF(Matriz[EDT],"?????????*"),IF(LEN(Matriz[[#This Row],[EDT]])=2,COUNTIF(Matriz[EDT],Matriz[[#This Row],[Cat]]&amp;"*")-1,0))</x:f>
        <x:v>#NAME?</x:v>
      </x:c>
      <x:c r="G25" s="165" t="e">
        <x:f>IF(Matriz[[#This Row],['# reque-rimientos]]&gt;0,"Sí","No")</x:f>
        <x:v>#REF!</x:v>
      </x:c>
      <x:c r="H25" s="165" t="e">
        <x:f>IF(Matriz[[#This Row],[Cat]]="0",0,IF(Matriz[[#This Row],[Par]]=0,1,LEN(Matriz[[#This Row],[EDT]])-LEN(SUBSTITUTE(Matriz[[#This Row],[EDT]],".",""))))</x:f>
        <x:v>#NAME?</x:v>
      </x:c>
      <x:c r="I25" s="165" t="s">
        <x:v>86</x:v>
      </x:c>
      <x:c r="J25" s="165"/>
      <x:c r="K25" s="291"/>
      <x:c r="L25" s="291"/>
      <x:c r="M25" s="165" t="s">
        <x:v>30</x:v>
      </x:c>
      <x:c r="N25" s="165" t="s">
        <x:v>87</x:v>
      </x:c>
      <x:c r="O25" s="165">
        <x:v>1</x:v>
      </x:c>
      <x:c r="P25" s="291"/>
      <x:c r="Q25" s="291"/>
      <x:c r="R25" s="13">
        <x:v>9</x:v>
      </x:c>
      <x:c r="S25" s="13" t="s">
        <x:v>83</x:v>
      </x:c>
      <x:c r="X25" s="284" t="str">
        <x:v>Oracle Primavera Cloud + Unifier + Aconex + APIs/Gateway/ETL</x:v>
      </x:c>
      <x:c r="Y25" s="285"/>
      <x:c r="Z25" s="284"/>
      <x:c r="AA25" s="13"/>
      <x:c r="AB25" s="286"/>
    </x:row>
    <x:row r="26" ht="22.5" hidden="1">
      <x:c r="A26" s="290" t="e">
        <x:f>_xlfn.XLOOKUP(Matriz[[#This Row],[Categoría]],Categoría[Categoría],Categoría[Cat],"NA",0)</x:f>
        <x:v>#NAME?</x:v>
      </x:c>
      <x:c r="B26" s="165" t="s">
        <x:v>31</x:v>
      </x:c>
      <x:c r="C26" s="288" t="e">
        <x:f>_xlfn.XLOOKUP(Matriz[[#This Row],[Parámetro]],Parámetro[Parámetro],Parámetro[Par],0,0)</x:f>
        <x:v>#NAME?</x:v>
      </x:c>
      <x:c r="D26" s="165" t="s">
        <x:v>79</x:v>
      </x:c>
      <x:c r="E26" s="165" t="e">
        <x:f>Matriz[[#This Row],[Cat]]&amp;IF(Matriz[[#This Row],[Par]]=0,"","."&amp;Matriz[[#This Row],[Par]]&amp;"."&amp;TEXT(COUNTIFS(A$2:A26,Matriz[[#This Row],[Cat]],C$2:C26,Matriz[[#This Row],[Par]]),"000"))</x:f>
        <x:v>#NAME?</x:v>
      </x:c>
      <x:c r="F26" s="289" t="e">
        <x:f>IF(LEN(Matriz[[#This Row],[EDT]])=1,COUNTIF(Matriz[EDT],"?????????*"),IF(LEN(Matriz[[#This Row],[EDT]])=2,COUNTIF(Matriz[EDT],Matriz[[#This Row],[Cat]]&amp;"*")-1,0))</x:f>
        <x:v>#NAME?</x:v>
      </x:c>
      <x:c r="G26" s="165" t="e">
        <x:f>IF(Matriz[[#This Row],['# reque-rimientos]]&gt;0,"Sí","No")</x:f>
        <x:v>#REF!</x:v>
      </x:c>
      <x:c r="H26" s="165" t="e">
        <x:f>IF(Matriz[[#This Row],[Cat]]="0",0,IF(Matriz[[#This Row],[Par]]=0,1,LEN(Matriz[[#This Row],[EDT]])-LEN(SUBSTITUTE(Matriz[[#This Row],[EDT]],".",""))))</x:f>
        <x:v>#NAME?</x:v>
      </x:c>
      <x:c r="I26" s="165" t="s">
        <x:v>88</x:v>
      </x:c>
      <x:c r="J26" s="165"/>
      <x:c r="K26" s="291"/>
      <x:c r="L26" s="291"/>
      <x:c r="M26" s="165" t="s">
        <x:v>30</x:v>
      </x:c>
      <x:c r="N26" s="165" t="s">
        <x:v>89</x:v>
      </x:c>
      <x:c r="O26" s="165">
        <x:v>2</x:v>
      </x:c>
      <x:c r="P26" s="291"/>
      <x:c r="Q26" s="291"/>
      <x:c r="R26" s="13">
        <x:v>7</x:v>
      </x:c>
      <x:c r="S26" s="13" t="s">
        <x:v>83</x:v>
      </x:c>
      <x:c r="X26" s="284" t="str">
        <x:v>Oracle Primavera Cloud + Unifier + Aconex + APIs/Gateway/ETL</x:v>
      </x:c>
      <x:c r="Y26" s="285"/>
      <x:c r="Z26" s="284"/>
      <x:c r="AA26" s="13"/>
      <x:c r="AB26" s="286"/>
    </x:row>
    <x:row r="27" ht="112.5">
      <x:c r="A27" s="290" t="e">
        <x:f>_xlfn.XLOOKUP(Matriz[[#This Row],[Categoría]],Categoría[Categoría],Categoría[Cat],"NA",0)</x:f>
        <x:v>#NAME?</x:v>
      </x:c>
      <x:c r="B27" s="165" t="s">
        <x:v>31</x:v>
      </x:c>
      <x:c r="C27" s="288" t="e">
        <x:f>_xlfn.XLOOKUP(Matriz[[#This Row],[Parámetro]],Parámetro[Parámetro],Parámetro[Par],0,0)</x:f>
        <x:v>#NAME?</x:v>
      </x:c>
      <x:c r="D27" s="165" t="s">
        <x:v>79</x:v>
      </x:c>
      <x:c r="E27" s="165" t="e">
        <x:f>Matriz[[#This Row],[Cat]]&amp;IF(Matriz[[#This Row],[Par]]=0,"","."&amp;Matriz[[#This Row],[Par]]&amp;"."&amp;TEXT(COUNTIFS(A$2:A27,Matriz[[#This Row],[Cat]],C$2:C27,Matriz[[#This Row],[Par]]),"000"))</x:f>
        <x:v>#NAME?</x:v>
      </x:c>
      <x:c r="F27" s="289" t="e">
        <x:f>IF(LEN(Matriz[[#This Row],[EDT]])=1,COUNTIF(Matriz[EDT],"?????????*"),IF(LEN(Matriz[[#This Row],[EDT]])=2,COUNTIF(Matriz[EDT],Matriz[[#This Row],[Cat]]&amp;"*")-1,0))</x:f>
        <x:v>#NAME?</x:v>
      </x:c>
      <x:c r="G27" s="165" t="e">
        <x:f>IF(Matriz[[#This Row],['# reque-rimientos]]&gt;0,"Sí","No")</x:f>
        <x:v>#REF!</x:v>
      </x:c>
      <x:c r="H27" s="165" t="e">
        <x:f>IF(Matriz[[#This Row],[Cat]]="0",0,IF(Matriz[[#This Row],[Par]]=0,1,LEN(Matriz[[#This Row],[EDT]])-LEN(SUBSTITUTE(Matriz[[#This Row],[EDT]],".",""))))</x:f>
        <x:v>#NAME?</x:v>
      </x:c>
      <x:c r="I27" s="165" t="s">
        <x:v>90</x:v>
      </x:c>
      <x:c r="J27" s="165"/>
      <x:c r="K27" s="291"/>
      <x:c r="L27" s="291"/>
      <x:c r="M27" s="165" t="s">
        <x:v>30</x:v>
      </x:c>
      <x:c r="N27" s="165" t="s">
        <x:v>91</x:v>
      </x:c>
      <x:c r="O27" s="165">
        <x:v>1</x:v>
      </x:c>
      <x:c r="P27" s="291"/>
      <x:c r="Q27" s="291"/>
      <x:c r="R27" s="13">
        <x:v>5</x:v>
      </x:c>
      <x:c r="S27" s="13" t="s">
        <x:v>83</x:v>
      </x:c>
      <x:c r="X27" s="284" t="str">
        <x:v>Oracle Primavera Cloud + Unifier + Aconex + APIs/Gateway/ETL</x:v>
      </x:c>
      <x:c r="Y27" s="285"/>
      <x:c r="Z27" s="284"/>
      <x:c r="AA27" s="13"/>
      <x:c r="AB27" s="286"/>
    </x:row>
    <x:row r="28">
      <x:c r="A28" s="290" t="e">
        <x:f>_xlfn.XLOOKUP(Matriz[[#This Row],[Categoría]],Categoría[Categoría],Categoría[Cat],"NA",0)</x:f>
        <x:v>#NAME?</x:v>
      </x:c>
      <x:c r="B28" s="165" t="s">
        <x:v>31</x:v>
      </x:c>
      <x:c r="C28" s="288" t="e">
        <x:f>_xlfn.XLOOKUP(Matriz[[#This Row],[Parámetro]],Parámetro[Parámetro],Parámetro[Par],0,0)</x:f>
        <x:v>#NAME?</x:v>
      </x:c>
      <x:c r="D28" s="165" t="s">
        <x:v>79</x:v>
      </x:c>
      <x:c r="E28" s="165" t="e">
        <x:f>Matriz[[#This Row],[Cat]]&amp;IF(Matriz[[#This Row],[Par]]=0,"","."&amp;Matriz[[#This Row],[Par]]&amp;"."&amp;TEXT(COUNTIFS(A$2:A28,Matriz[[#This Row],[Cat]],C$2:C28,Matriz[[#This Row],[Par]]),"000"))</x:f>
        <x:v>#NAME?</x:v>
      </x:c>
      <x:c r="F28" s="289" t="e">
        <x:f>IF(LEN(Matriz[[#This Row],[EDT]])=1,COUNTIF(Matriz[EDT],"?????????*"),IF(LEN(Matriz[[#This Row],[EDT]])=2,COUNTIF(Matriz[EDT],Matriz[[#This Row],[Cat]]&amp;"*")-1,0))</x:f>
        <x:v>#NAME?</x:v>
      </x:c>
      <x:c r="G28" s="165" t="e">
        <x:f>IF(Matriz[[#This Row],['# reque-rimientos]]&gt;0,"Sí","No")</x:f>
        <x:v>#REF!</x:v>
      </x:c>
      <x:c r="H28" s="165" t="e">
        <x:f>IF(Matriz[[#This Row],[Cat]]="0",0,IF(Matriz[[#This Row],[Par]]=0,1,LEN(Matriz[[#This Row],[EDT]])-LEN(SUBSTITUTE(Matriz[[#This Row],[EDT]],".",""))))</x:f>
        <x:v>#NAME?</x:v>
      </x:c>
      <x:c r="I28" s="165" t="s">
        <x:v>92</x:v>
      </x:c>
      <x:c r="J28" s="165"/>
      <x:c r="K28" s="291"/>
      <x:c r="L28" s="291"/>
      <x:c r="M28" s="165" t="s">
        <x:v>30</x:v>
      </x:c>
      <x:c r="N28" s="165"/>
      <x:c r="O28" s="165">
        <x:v>1</x:v>
      </x:c>
      <x:c r="P28" s="291"/>
      <x:c r="Q28" s="291"/>
      <x:c r="R28" s="13">
        <x:v>6</x:v>
      </x:c>
      <x:c r="S28" s="13" t="s">
        <x:v>83</x:v>
      </x:c>
      <x:c r="X28" s="284" t="str">
        <x:v>Oracle Aconex + Oracle Primavera Cloud/Unifier</x:v>
      </x:c>
      <x:c r="Y28" s="285"/>
      <x:c r="Z28" s="284"/>
      <x:c r="AA28" s="13"/>
      <x:c r="AB28" s="286"/>
    </x:row>
    <x:row r="29">
      <x:c r="A29" s="290" t="e">
        <x:f>_xlfn.XLOOKUP(Matriz[[#This Row],[Categoría]],Categoría[Categoría],Categoría[Cat],"NA",0)</x:f>
        <x:v>#NAME?</x:v>
      </x:c>
      <x:c r="B29" s="165" t="s">
        <x:v>31</x:v>
      </x:c>
      <x:c r="C29" s="288" t="e">
        <x:f>_xlfn.XLOOKUP(Matriz[[#This Row],[Parámetro]],Parámetro[Parámetro],Parámetro[Par],0,0)</x:f>
        <x:v>#NAME?</x:v>
      </x:c>
      <x:c r="D29" s="165" t="s">
        <x:v>79</x:v>
      </x:c>
      <x:c r="E29" s="165" t="e">
        <x:f>Matriz[[#This Row],[Cat]]&amp;IF(Matriz[[#This Row],[Par]]=0,"","."&amp;Matriz[[#This Row],[Par]]&amp;"."&amp;TEXT(COUNTIFS(A$2:A29,Matriz[[#This Row],[Cat]],C$2:C29,Matriz[[#This Row],[Par]]),"000"))</x:f>
        <x:v>#NAME?</x:v>
      </x:c>
      <x:c r="F29" s="289" t="e">
        <x:f>IF(LEN(Matriz[[#This Row],[EDT]])=1,COUNTIF(Matriz[EDT],"?????????*"),IF(LEN(Matriz[[#This Row],[EDT]])=2,COUNTIF(Matriz[EDT],Matriz[[#This Row],[Cat]]&amp;"*")-1,0))</x:f>
        <x:v>#NAME?</x:v>
      </x:c>
      <x:c r="G29" s="165" t="e">
        <x:f>IF(Matriz[[#This Row],['# reque-rimientos]]&gt;0,"Sí","No")</x:f>
        <x:v>#REF!</x:v>
      </x:c>
      <x:c r="H29" s="165" t="e">
        <x:f>IF(Matriz[[#This Row],[Cat]]="0",0,IF(Matriz[[#This Row],[Par]]=0,1,LEN(Matriz[[#This Row],[EDT]])-LEN(SUBSTITUTE(Matriz[[#This Row],[EDT]],".",""))))</x:f>
        <x:v>#NAME?</x:v>
      </x:c>
      <x:c r="I29" s="165" t="s">
        <x:v>93</x:v>
      </x:c>
      <x:c r="J29" s="165"/>
      <x:c r="K29" s="291"/>
      <x:c r="L29" s="291"/>
      <x:c r="M29" s="165" t="s">
        <x:v>30</x:v>
      </x:c>
      <x:c r="N29" s="165"/>
      <x:c r="O29" s="165">
        <x:v>1</x:v>
      </x:c>
      <x:c r="P29" s="291"/>
      <x:c r="Q29" s="291"/>
      <x:c r="R29" s="13">
        <x:v>8</x:v>
      </x:c>
      <x:c r="S29" s="13" t="s">
        <x:v>83</x:v>
      </x:c>
      <x:c r="X29" s="284" t="str">
        <x:v>Oracle Analytics / Power BI vía dataset, API o exportación controlada</x:v>
      </x:c>
      <x:c r="Y29" s="285"/>
      <x:c r="Z29" s="284"/>
      <x:c r="AA29" s="13"/>
      <x:c r="AB29" s="286"/>
    </x:row>
    <x:row r="30" hidden="1">
      <x:c r="A30" s="290" t="e">
        <x:f>_xlfn.XLOOKUP(Matriz[[#This Row],[Categoría]],Categoría[Categoría],Categoría[Cat],"NA",0)</x:f>
        <x:v>#NAME?</x:v>
      </x:c>
      <x:c r="B30" s="165" t="s">
        <x:v>31</x:v>
      </x:c>
      <x:c r="C30" s="288" t="e">
        <x:f>_xlfn.XLOOKUP(Matriz[[#This Row],[Parámetro]],Parámetro[Parámetro],Parámetro[Par],0,0)</x:f>
        <x:v>#NAME?</x:v>
      </x:c>
      <x:c r="D30" s="165" t="s">
        <x:v>79</x:v>
      </x:c>
      <x:c r="E30" s="165" t="e">
        <x:f>Matriz[[#This Row],[Cat]]&amp;IF(Matriz[[#This Row],[Par]]=0,"","."&amp;Matriz[[#This Row],[Par]]&amp;"."&amp;TEXT(COUNTIFS(A$2:A30,Matriz[[#This Row],[Cat]],C$2:C30,Matriz[[#This Row],[Par]]),"000"))</x:f>
        <x:v>#NAME?</x:v>
      </x:c>
      <x:c r="F30" s="289" t="e">
        <x:f>IF(LEN(Matriz[[#This Row],[EDT]])=1,COUNTIF(Matriz[EDT],"?????????*"),IF(LEN(Matriz[[#This Row],[EDT]])=2,COUNTIF(Matriz[EDT],Matriz[[#This Row],[Cat]]&amp;"*")-1,0))</x:f>
        <x:v>#NAME?</x:v>
      </x:c>
      <x:c r="G30" s="165" t="e">
        <x:f>IF(Matriz[[#This Row],['# reque-rimientos]]&gt;0,"Sí","No")</x:f>
        <x:v>#REF!</x:v>
      </x:c>
      <x:c r="H30" s="165" t="e">
        <x:f>IF(Matriz[[#This Row],[Cat]]="0",0,IF(Matriz[[#This Row],[Par]]=0,1,LEN(Matriz[[#This Row],[EDT]])-LEN(SUBSTITUTE(Matriz[[#This Row],[EDT]],".",""))))</x:f>
        <x:v>#NAME?</x:v>
      </x:c>
      <x:c r="I30" s="165" t="s">
        <x:v>94</x:v>
      </x:c>
      <x:c r="J30" s="165"/>
      <x:c r="K30" s="291"/>
      <x:c r="L30" s="291"/>
      <x:c r="M30" s="165" t="s">
        <x:v>30</x:v>
      </x:c>
      <x:c r="N30" s="165"/>
      <x:c r="O30" s="165">
        <x:v>4</x:v>
      </x:c>
      <x:c r="P30" s="291"/>
      <x:c r="Q30" s="291"/>
      <x:c r="R30" s="13">
        <x:v>7</x:v>
      </x:c>
      <x:c r="S30" s="13" t="s">
        <x:v>83</x:v>
      </x:c>
      <x:c r="X30" s="284" t="str">
        <x:v>Integración BIM/Autodesk + OPC Scope/Unifier/Analytics</x:v>
      </x:c>
      <x:c r="Y30" s="285"/>
      <x:c r="Z30" s="284"/>
      <x:c r="AA30" s="13"/>
      <x:c r="AB30" s="286"/>
    </x:row>
    <x:row r="31" hidden="1">
      <x:c r="A31" s="290" t="e">
        <x:f>_xlfn.XLOOKUP(Matriz[[#This Row],[Categoría]],Categoría[Categoría],Categoría[Cat],"NA",0)</x:f>
        <x:v>#NAME?</x:v>
      </x:c>
      <x:c r="B31" s="165" t="s">
        <x:v>31</x:v>
      </x:c>
      <x:c r="C31" s="288" t="e">
        <x:f>_xlfn.XLOOKUP(Matriz[[#This Row],[Parámetro]],Parámetro[Parámetro],Parámetro[Par],0,0)</x:f>
        <x:v>#NAME?</x:v>
      </x:c>
      <x:c r="D31" s="165" t="s">
        <x:v>79</x:v>
      </x:c>
      <x:c r="E31" s="165" t="e">
        <x:f>Matriz[[#This Row],[Cat]]&amp;IF(Matriz[[#This Row],[Par]]=0,"","."&amp;Matriz[[#This Row],[Par]]&amp;"."&amp;TEXT(COUNTIFS(A$2:A31,Matriz[[#This Row],[Cat]],C$2:C31,Matriz[[#This Row],[Par]]),"000"))</x:f>
        <x:v>#NAME?</x:v>
      </x:c>
      <x:c r="F31" s="289" t="e">
        <x:f>IF(LEN(Matriz[[#This Row],[EDT]])=1,COUNTIF(Matriz[EDT],"?????????*"),IF(LEN(Matriz[[#This Row],[EDT]])=2,COUNTIF(Matriz[EDT],Matriz[[#This Row],[Cat]]&amp;"*")-1,0))</x:f>
        <x:v>#NAME?</x:v>
      </x:c>
      <x:c r="G31" s="165" t="e">
        <x:f>IF(Matriz[[#This Row],['# reque-rimientos]]&gt;0,"Sí","No")</x:f>
        <x:v>#REF!</x:v>
      </x:c>
      <x:c r="H31" s="165" t="e">
        <x:f>IF(Matriz[[#This Row],[Cat]]="0",0,IF(Matriz[[#This Row],[Par]]=0,1,LEN(Matriz[[#This Row],[EDT]])-LEN(SUBSTITUTE(Matriz[[#This Row],[EDT]],".",""))))</x:f>
        <x:v>#NAME?</x:v>
      </x:c>
      <x:c r="I31" s="165" t="s">
        <x:v>95</x:v>
      </x:c>
      <x:c r="J31" s="165"/>
      <x:c r="K31" s="291"/>
      <x:c r="L31" s="291"/>
      <x:c r="M31" s="165" t="s">
        <x:v>30</x:v>
      </x:c>
      <x:c r="N31" s="165"/>
      <x:c r="O31" s="165">
        <x:v>4</x:v>
      </x:c>
      <x:c r="P31" s="291"/>
      <x:c r="Q31" s="291"/>
      <x:c r="R31" s="13">
        <x:v>6</x:v>
      </x:c>
      <x:c r="S31" s="13" t="s">
        <x:v>38</x:v>
      </x:c>
      <x:c r="X31" s="284" t="str">
        <x:v>Oracle Primavera Cloud + Unifier + Aconex + APIs/Gateway/ETL</x:v>
      </x:c>
      <x:c r="Y31" s="285"/>
      <x:c r="Z31" s="284"/>
      <x:c r="AA31" s="13"/>
      <x:c r="AB31" s="286"/>
    </x:row>
    <x:row r="32" ht="22.5">
      <x:c r="A32" s="290" t="e">
        <x:f>_xlfn.XLOOKUP(Matriz[[#This Row],[Categoría]],Categoría[Categoría],Categoría[Cat],"NA",0)</x:f>
        <x:v>#NAME?</x:v>
      </x:c>
      <x:c r="B32" s="165" t="s">
        <x:v>31</x:v>
      </x:c>
      <x:c r="C32" s="288" t="e">
        <x:f>_xlfn.XLOOKUP(Matriz[[#This Row],[Parámetro]],Parámetro[Parámetro],Parámetro[Par],0,0)</x:f>
        <x:v>#NAME?</x:v>
      </x:c>
      <x:c r="D32" s="165" t="s">
        <x:v>79</x:v>
      </x:c>
      <x:c r="E32" s="165" t="e">
        <x:f>Matriz[[#This Row],[Cat]]&amp;IF(Matriz[[#This Row],[Par]]=0,"","."&amp;Matriz[[#This Row],[Par]]&amp;"."&amp;TEXT(COUNTIFS(A$2:A32,Matriz[[#This Row],[Cat]],C$2:C32,Matriz[[#This Row],[Par]]),"000"))</x:f>
        <x:v>#NAME?</x:v>
      </x:c>
      <x:c r="F32" s="289" t="e">
        <x:f>IF(LEN(Matriz[[#This Row],[EDT]])=1,COUNTIF(Matriz[EDT],"?????????*"),IF(LEN(Matriz[[#This Row],[EDT]])=2,COUNTIF(Matriz[EDT],Matriz[[#This Row],[Cat]]&amp;"*")-1,0))</x:f>
        <x:v>#NAME?</x:v>
      </x:c>
      <x:c r="G32" s="165" t="e">
        <x:f>IF(Matriz[[#This Row],['# reque-rimientos]]&gt;0,"Sí","No")</x:f>
        <x:v>#REF!</x:v>
      </x:c>
      <x:c r="H32" s="165" t="e">
        <x:f>IF(Matriz[[#This Row],[Cat]]="0",0,IF(Matriz[[#This Row],[Par]]=0,1,LEN(Matriz[[#This Row],[EDT]])-LEN(SUBSTITUTE(Matriz[[#This Row],[EDT]],".",""))))</x:f>
        <x:v>#NAME?</x:v>
      </x:c>
      <x:c r="I32" s="166" t="s">
        <x:v>96</x:v>
      </x:c>
      <x:c r="J32" s="165"/>
      <x:c r="K32" s="291" t="s">
        <x:v>97</x:v>
      </x:c>
      <x:c r="L32" s="291"/>
      <x:c r="M32" s="165" t="s">
        <x:v>32</x:v>
      </x:c>
      <x:c r="N32" s="165" t="s">
        <x:v>98</x:v>
      </x:c>
      <x:c r="O32" s="165">
        <x:v>1</x:v>
      </x:c>
      <x:c r="R32" s="13">
        <x:v>10</x:v>
      </x:c>
      <x:c r="S32" s="13" t="s">
        <x:v>38</x:v>
      </x:c>
      <x:c r="X32" s="284" t="str">
        <x:v>Oracle Primavera Cloud + Unifier + Aconex + APIs/Gateway/ETL</x:v>
      </x:c>
      <x:c r="Y32" s="285"/>
      <x:c r="Z32" s="284"/>
      <x:c r="AA32" s="13"/>
      <x:c r="AB32" s="286"/>
    </x:row>
    <x:row r="33" ht="33.75">
      <x:c r="A33" s="290" t="e">
        <x:f>_xlfn.XLOOKUP(Matriz[[#This Row],[Categoría]],Categoría[Categoría],Categoría[Cat],"NA",0)</x:f>
        <x:v>#NAME?</x:v>
      </x:c>
      <x:c r="B33" s="165" t="s">
        <x:v>31</x:v>
      </x:c>
      <x:c r="C33" s="288" t="e">
        <x:f>_xlfn.XLOOKUP(Matriz[[#This Row],[Parámetro]],Parámetro[Parámetro],Parámetro[Par],0,0)</x:f>
        <x:v>#NAME?</x:v>
      </x:c>
      <x:c r="D33" s="165" t="s">
        <x:v>99</x:v>
      </x:c>
      <x:c r="E33" s="165" t="e">
        <x:f>Matriz[[#This Row],[Cat]]&amp;IF(Matriz[[#This Row],[Par]]=0,"","."&amp;Matriz[[#This Row],[Par]]&amp;"."&amp;TEXT(COUNTIFS(A$2:A33,Matriz[[#This Row],[Cat]],C$2:C33,Matriz[[#This Row],[Par]]),"000"))</x:f>
        <x:v>#NAME?</x:v>
      </x:c>
      <x:c r="F33" s="289" t="e">
        <x:f>IF(LEN(Matriz[[#This Row],[EDT]])=1,COUNTIF(Matriz[EDT],"?????????*"),IF(LEN(Matriz[[#This Row],[EDT]])=2,COUNTIF(Matriz[EDT],Matriz[[#This Row],[Cat]]&amp;"*")-1,0))</x:f>
        <x:v>#NAME?</x:v>
      </x:c>
      <x:c r="G33" s="165" t="e">
        <x:f>IF(Matriz[[#This Row],['# reque-rimientos]]&gt;0,"Sí","No")</x:f>
        <x:v>#REF!</x:v>
      </x:c>
      <x:c r="H33" s="165" t="e">
        <x:f>IF(Matriz[[#This Row],[Cat]]="0",0,IF(Matriz[[#This Row],[Par]]=0,1,LEN(Matriz[[#This Row],[EDT]])-LEN(SUBSTITUTE(Matriz[[#This Row],[EDT]],".",""))))</x:f>
        <x:v>#NAME?</x:v>
      </x:c>
      <x:c r="I33" s="166" t="s">
        <x:v>100</x:v>
      </x:c>
      <x:c r="J33" s="165"/>
      <x:c r="K33" s="165"/>
      <x:c r="L33" s="165"/>
      <x:c r="M33" s="165" t="s">
        <x:v>32</x:v>
      </x:c>
      <x:c r="N33" s="165" t="s">
        <x:v>101</x:v>
      </x:c>
      <x:c r="O33" s="165">
        <x:v>1</x:v>
      </x:c>
      <x:c r="P33" s="13" t="s">
        <x:v>37</x:v>
      </x:c>
      <x:c r="R33" s="13">
        <x:v>8</x:v>
      </x:c>
      <x:c r="S33" s="13" t="s">
        <x:v>102</x:v>
      </x:c>
      <x:c r="W33" s="13" t="s">
        <x:v>103</x:v>
      </x:c>
      <x:c r="X33" s="284" t="str">
        <x:v>OPC Cost/Funds + Oracle Primavera Unifier</x:v>
      </x:c>
      <x:c r="Y33" s="285"/>
      <x:c r="Z33" s="284"/>
      <x:c r="AA33" s="13"/>
      <x:c r="AB33" s="286"/>
    </x:row>
    <x:row r="34" ht="56.25">
      <x:c r="A34" s="290" t="e">
        <x:f>_xlfn.XLOOKUP(Matriz[[#This Row],[Categoría]],Categoría[Categoría],Categoría[Cat],"NA",0)</x:f>
        <x:v>#NAME?</x:v>
      </x:c>
      <x:c r="B34" s="165" t="s">
        <x:v>31</x:v>
      </x:c>
      <x:c r="C34" s="288" t="e">
        <x:f>_xlfn.XLOOKUP(Matriz[[#This Row],[Parámetro]],Parámetro[Parámetro],Parámetro[Par],0,0)</x:f>
        <x:v>#NAME?</x:v>
      </x:c>
      <x:c r="D34" s="165" t="s">
        <x:v>99</x:v>
      </x:c>
      <x:c r="E34" s="165" t="e">
        <x:f>Matriz[[#This Row],[Cat]]&amp;IF(Matriz[[#This Row],[Par]]=0,"","."&amp;Matriz[[#This Row],[Par]]&amp;"."&amp;TEXT(COUNTIFS(A$2:A34,Matriz[[#This Row],[Cat]],C$2:C34,Matriz[[#This Row],[Par]]),"000"))</x:f>
        <x:v>#NAME?</x:v>
      </x:c>
      <x:c r="F34" s="289" t="e">
        <x:f>IF(LEN(Matriz[[#This Row],[EDT]])=1,COUNTIF(Matriz[EDT],"?????????*"),IF(LEN(Matriz[[#This Row],[EDT]])=2,COUNTIF(Matriz[EDT],Matriz[[#This Row],[Cat]]&amp;"*")-1,0))</x:f>
        <x:v>#NAME?</x:v>
      </x:c>
      <x:c r="G34" s="165" t="e">
        <x:f>IF(Matriz[[#This Row],['# reque-rimientos]]&gt;0,"Sí","No")</x:f>
        <x:v>#REF!</x:v>
      </x:c>
      <x:c r="H34" s="165" t="e">
        <x:f>IF(Matriz[[#This Row],[Cat]]="0",0,IF(Matriz[[#This Row],[Par]]=0,1,LEN(Matriz[[#This Row],[EDT]])-LEN(SUBSTITUTE(Matriz[[#This Row],[EDT]],".",""))))</x:f>
        <x:v>#NAME?</x:v>
      </x:c>
      <x:c r="I34" s="165" t="s">
        <x:v>104</x:v>
      </x:c>
      <x:c r="J34" s="165" t="s">
        <x:v>105</x:v>
      </x:c>
      <x:c r="K34" s="291" t="s">
        <x:v>106</x:v>
      </x:c>
      <x:c r="L34" s="291"/>
      <x:c r="M34" s="165" t="s">
        <x:v>32</x:v>
      </x:c>
      <x:c r="N34" s="165" t="s">
        <x:v>107</x:v>
      </x:c>
      <x:c r="O34" s="165">
        <x:v>1</x:v>
      </x:c>
      <x:c r="R34" s="13">
        <x:v>7</x:v>
      </x:c>
      <x:c r="S34" s="13" t="s">
        <x:v>108</x:v>
      </x:c>
      <x:c r="T34" s="13" t="s">
        <x:v>109</x:v>
      </x:c>
      <x:c r="U34" s="165">
        <x:v>12</x:v>
      </x:c>
      <x:c r="W34" s="13" t="s">
        <x:v>110</x:v>
      </x:c>
      <x:c r="X34" s="284" t="str">
        <x:v>Oracle Primavera Cloud SaaS</x:v>
      </x:c>
      <x:c r="Y34" s="285"/>
      <x:c r="Z34" s="284"/>
      <x:c r="AA34" s="13"/>
      <x:c r="AB34" s="286"/>
    </x:row>
    <x:row r="35" s="165" customFormat="1" ht="22.5">
      <x:c r="A35" s="290" t="e">
        <x:f>_xlfn.XLOOKUP(Matriz[[#This Row],[Categoría]],Categoría[Categoría],Categoría[Cat],"NA",0)</x:f>
        <x:v>#NAME?</x:v>
      </x:c>
      <x:c r="B35" s="165" t="s">
        <x:v>31</x:v>
      </x:c>
      <x:c r="C35" s="288" t="e">
        <x:f>_xlfn.XLOOKUP(Matriz[[#This Row],[Parámetro]],Parámetro[Parámetro],Parámetro[Par],0,0)</x:f>
        <x:v>#NAME?</x:v>
      </x:c>
      <x:c r="D35" s="165" t="s">
        <x:v>99</x:v>
      </x:c>
      <x:c r="E35" s="165" t="e">
        <x:f>Matriz[[#This Row],[Cat]]&amp;IF(Matriz[[#This Row],[Par]]=0,"","."&amp;Matriz[[#This Row],[Par]]&amp;"."&amp;TEXT(COUNTIFS(A$2:A35,Matriz[[#This Row],[Cat]],C$2:C35,Matriz[[#This Row],[Par]]),"000"))</x:f>
        <x:v>#NAME?</x:v>
      </x:c>
      <x:c r="F35" s="289" t="e">
        <x:f>IF(LEN(Matriz[[#This Row],[EDT]])=1,COUNTIF(Matriz[EDT],"?????????*"),IF(LEN(Matriz[[#This Row],[EDT]])=2,COUNTIF(Matriz[EDT],Matriz[[#This Row],[Cat]]&amp;"*")-1,0))</x:f>
        <x:v>#NAME?</x:v>
      </x:c>
      <x:c r="G35" s="165" t="e">
        <x:f>IF(Matriz[[#This Row],['# reque-rimientos]]&gt;0,"Sí","No")</x:f>
        <x:v>#REF!</x:v>
      </x:c>
      <x:c r="H35" s="165" t="e">
        <x:f>IF(Matriz[[#This Row],[Cat]]="0",0,IF(Matriz[[#This Row],[Par]]=0,1,LEN(Matriz[[#This Row],[EDT]])-LEN(SUBSTITUTE(Matriz[[#This Row],[EDT]],".",""))))</x:f>
        <x:v>#NAME?</x:v>
      </x:c>
      <x:c r="I35" s="165" t="s">
        <x:v>111</x:v>
      </x:c>
      <x:c r="J35" s="291"/>
      <x:c r="K35" s="291"/>
      <x:c r="L35" s="291"/>
      <x:c r="M35" s="165" t="s">
        <x:v>32</x:v>
      </x:c>
      <x:c r="N35" s="165" t="s">
        <x:v>112</x:v>
      </x:c>
      <x:c r="O35" s="165">
        <x:v>1</x:v>
      </x:c>
      <x:c r="P35" s="13"/>
      <x:c r="Q35" s="13"/>
      <x:c r="R35" s="13">
        <x:v>7</x:v>
      </x:c>
      <x:c r="S35" s="13" t="s">
        <x:v>113</x:v>
      </x:c>
      <x:c r="T35" s="13"/>
      <x:c r="U35" s="13"/>
      <x:c r="V35" s="13"/>
      <x:c r="W35" s="13" t="s">
        <x:v>114</x:v>
      </x:c>
      <x:c r="X35" s="284" t="str">
        <x:v>Oracle Primavera Cloud SaaS</x:v>
      </x:c>
      <x:c r="Y35" s="285"/>
      <x:c r="Z35" s="284"/>
      <x:c r="AA35" s="13"/>
      <x:c r="AB35" s="286"/>
    </x:row>
    <x:row r="36">
      <x:c r="A36" s="290" t="e">
        <x:f>_xlfn.XLOOKUP(Matriz[[#This Row],[Categoría]],Categoría[Categoría],Categoría[Cat],"NA",0)</x:f>
        <x:v>#NAME?</x:v>
      </x:c>
      <x:c r="B36" s="165" t="s">
        <x:v>31</x:v>
      </x:c>
      <x:c r="C36" s="288" t="e">
        <x:f>_xlfn.XLOOKUP(Matriz[[#This Row],[Parámetro]],Parámetro[Parámetro],Parámetro[Par],0,0)</x:f>
        <x:v>#NAME?</x:v>
      </x:c>
      <x:c r="D36" s="165" t="s">
        <x:v>115</x:v>
      </x:c>
      <x:c r="E36" s="165" t="e">
        <x:f>Matriz[[#This Row],[Cat]]&amp;IF(Matriz[[#This Row],[Par]]=0,"","."&amp;Matriz[[#This Row],[Par]]&amp;"."&amp;TEXT(COUNTIFS(A$2:A36,Matriz[[#This Row],[Cat]],C$2:C36,Matriz[[#This Row],[Par]]),"000"))</x:f>
        <x:v>#NAME?</x:v>
      </x:c>
      <x:c r="F36" s="289" t="e">
        <x:f>IF(LEN(Matriz[[#This Row],[EDT]])=1,COUNTIF(Matriz[EDT],"?????????*"),IF(LEN(Matriz[[#This Row],[EDT]])=2,COUNTIF(Matriz[EDT],Matriz[[#This Row],[Cat]]&amp;"*")-1,0))</x:f>
        <x:v>#NAME?</x:v>
      </x:c>
      <x:c r="G36" s="165" t="e">
        <x:f>IF(Matriz[[#This Row],['# reque-rimientos]]&gt;0,"Sí","No")</x:f>
        <x:v>#REF!</x:v>
      </x:c>
      <x:c r="H36" s="165" t="e">
        <x:f>IF(Matriz[[#This Row],[Cat]]="0",0,IF(Matriz[[#This Row],[Par]]=0,1,LEN(Matriz[[#This Row],[EDT]])-LEN(SUBSTITUTE(Matriz[[#This Row],[EDT]],".",""))))</x:f>
        <x:v>#NAME?</x:v>
      </x:c>
      <x:c r="I36" s="165" t="s">
        <x:v>116</x:v>
      </x:c>
      <x:c r="J36" s="165"/>
      <x:c r="K36" s="165"/>
      <x:c r="L36" s="165"/>
      <x:c r="M36" s="165" t="s">
        <x:v>32</x:v>
      </x:c>
      <x:c r="N36" s="165" t="s">
        <x:v>117</x:v>
      </x:c>
      <x:c r="O36" s="165">
        <x:v>1</x:v>
      </x:c>
      <x:c r="R36" s="13">
        <x:v>8</x:v>
      </x:c>
      <x:c r="S36" s="13" t="s">
        <x:v>118</x:v>
      </x:c>
      <x:c r="X36" s="284" t="str">
        <x:v>OPC Resource Management + Administration</x:v>
      </x:c>
      <x:c r="Y36" s="285"/>
      <x:c r="Z36" s="284"/>
      <x:c r="AA36" s="13"/>
      <x:c r="AB36" s="286"/>
    </x:row>
    <x:row r="37" ht="22.5">
      <x:c r="A37" s="279" t="e">
        <x:f>_xlfn.XLOOKUP(Matriz[[#This Row],[Categoría]],Categoría[Categoría],Categoría[Cat],"NA",0)</x:f>
        <x:v>#NAME?</x:v>
      </x:c>
      <x:c r="B37" s="280" t="s">
        <x:v>119</x:v>
      </x:c>
      <x:c r="C37" s="281" t="e">
        <x:f>_xlfn.XLOOKUP(Matriz[[#This Row],[Parámetro]],Parámetro[Parámetro],Parámetro[Par],0,0)</x:f>
        <x:v>#NAME?</x:v>
      </x:c>
      <x:c r="D37" s="167"/>
      <x:c r="E37" s="167" t="e">
        <x:f>Matriz[[#This Row],[Cat]]&amp;IF(Matriz[[#This Row],[Par]]=0,"","."&amp;Matriz[[#This Row],[Par]]&amp;"."&amp;TEXT(COUNTIFS(A$2:A37,Matriz[[#This Row],[Cat]],C$2:C37,Matriz[[#This Row],[Par]]),"000"))</x:f>
        <x:v>#NAME?</x:v>
      </x:c>
      <x:c r="F37" s="293" t="e">
        <x:f>IF(LEN(Matriz[[#This Row],[EDT]])=1,COUNTIF(Matriz[EDT],"?????????*"),IF(LEN(Matriz[[#This Row],[EDT]])=2,COUNTIF(Matriz[EDT],Matriz[[#This Row],[Cat]]&amp;"*")-1,0))</x:f>
        <x:v>#NAME?</x:v>
      </x:c>
      <x:c r="G37" s="167" t="e">
        <x:f>IF(Matriz[[#This Row],['# reque-rimientos]]&gt;0,"Sí","No")</x:f>
        <x:v>#REF!</x:v>
      </x:c>
      <x:c r="H37" s="167" t="e">
        <x:f>IF(Matriz[[#This Row],[Cat]]="0",0,IF(Matriz[[#This Row],[Par]]=0,1,LEN(Matriz[[#This Row],[EDT]])-LEN(SUBSTITUTE(Matriz[[#This Row],[EDT]],".",""))))</x:f>
        <x:v>#NAME?</x:v>
      </x:c>
      <x:c r="I37" s="167"/>
      <x:c r="J37" s="167"/>
      <x:c r="K37" s="167"/>
      <x:c r="L37" s="167"/>
      <x:c r="M37" s="167" t="s">
        <x:v>120</x:v>
      </x:c>
      <x:c r="N37" s="167" t="s">
        <x:v>121</x:v>
      </x:c>
      <x:c r="O37" s="167">
        <x:v>1</x:v>
      </x:c>
      <x:c r="P37" s="167"/>
      <x:c r="Q37" s="167"/>
      <x:c r="R37" s="287" t="e">
        <x:f>_xlfn.XLOOKUP(Matriz[[#This Row],[Cat]],Categoría[Cat],Categoría[IMP],"NA",0)</x:f>
        <x:v>#NAME?</x:v>
      </x:c>
      <x:c r="S37" s="167" t="s">
        <x:v>122</x:v>
      </x:c>
      <x:c r="T37" s="167"/>
      <x:c r="U37" s="167"/>
      <x:c r="V37" s="167"/>
      <x:c r="W37" s="167"/>
      <x:c r="X37" s="284"/>
      <x:c r="Y37" s="285"/>
      <x:c r="Z37" s="284"/>
      <x:c r="AA37" s="167"/>
      <x:c r="AB37" s="286"/>
    </x:row>
    <x:row r="38">
      <x:c r="A38" s="275" t="e">
        <x:f>_xlfn.XLOOKUP(Matriz[[#This Row],[Categoría]],Categoría[Categoría],Categoría[Cat],"NA",0)</x:f>
        <x:v>#NAME?</x:v>
      </x:c>
      <x:c r="B38" s="165" t="s">
        <x:v>119</x:v>
      </x:c>
      <x:c r="C38" s="288" t="e">
        <x:f>_xlfn.XLOOKUP(Matriz[[#This Row],[Parámetro]],Parámetro[Parámetro],Parámetro[Par],0,0)</x:f>
        <x:v>#NAME?</x:v>
      </x:c>
      <x:c r="D38" s="165" t="s">
        <x:v>123</x:v>
      </x:c>
      <x:c r="E38" s="165" t="e">
        <x:f>Matriz[[#This Row],[Cat]]&amp;IF(Matriz[[#This Row],[Par]]=0,"","."&amp;Matriz[[#This Row],[Par]]&amp;"."&amp;TEXT(COUNTIFS(A$2:A38,Matriz[[#This Row],[Cat]],C$2:C38,Matriz[[#This Row],[Par]]),"000"))</x:f>
        <x:v>#NAME?</x:v>
      </x:c>
      <x:c r="F38" s="289" t="e">
        <x:f>IF(LEN(Matriz[[#This Row],[EDT]])=1,COUNTIF(Matriz[EDT],"?????????*"),IF(LEN(Matriz[[#This Row],[EDT]])=2,COUNTIF(Matriz[EDT],Matriz[[#This Row],[Cat]]&amp;"*")-1,0))</x:f>
        <x:v>#NAME?</x:v>
      </x:c>
      <x:c r="G38" s="165" t="e">
        <x:f>IF(Matriz[[#This Row],['# reque-rimientos]]&gt;0,"Sí","No")</x:f>
        <x:v>#REF!</x:v>
      </x:c>
      <x:c r="H38" s="165" t="e">
        <x:f>IF(Matriz[[#This Row],[Cat]]="0",0,IF(Matriz[[#This Row],[Par]]=0,1,LEN(Matriz[[#This Row],[EDT]])-LEN(SUBSTITUTE(Matriz[[#This Row],[EDT]],".",""))))</x:f>
        <x:v>#NAME?</x:v>
      </x:c>
      <x:c r="I38" s="13" t="s">
        <x:v>124</x:v>
      </x:c>
      <x:c r="J38" s="13" t="s">
        <x:v>125</x:v>
      </x:c>
      <x:c r="M38" s="165" t="s">
        <x:v>32</x:v>
      </x:c>
      <x:c r="N38" s="13" t="s">
        <x:v>126</x:v>
      </x:c>
      <x:c r="O38" s="165">
        <x:v>1</x:v>
      </x:c>
      <x:c r="R38" s="13">
        <x:v>6</x:v>
      </x:c>
      <x:c r="S38" s="13" t="s">
        <x:v>67</x:v>
      </x:c>
      <x:c r="T38" s="13" t="s">
        <x:v>39</x:v>
      </x:c>
      <x:c r="U38" s="13">
        <x:v>10</x:v>
      </x:c>
      <x:c r="X38" s="284"/>
      <x:c r="Y38" s="285"/>
      <x:c r="Z38" s="284"/>
      <x:c r="AA38" s="13"/>
      <x:c r="AB38" s="286"/>
    </x:row>
    <x:row r="39">
      <x:c r="A39" s="275" t="e">
        <x:f>_xlfn.XLOOKUP(Matriz[[#This Row],[Categoría]],Categoría[Categoría],Categoría[Cat],"NA",0)</x:f>
        <x:v>#NAME?</x:v>
      </x:c>
      <x:c r="B39" s="165" t="s">
        <x:v>119</x:v>
      </x:c>
      <x:c r="C39" s="288" t="e">
        <x:f>_xlfn.XLOOKUP(Matriz[[#This Row],[Parámetro]],Parámetro[Parámetro],Parámetro[Par],0,0)</x:f>
        <x:v>#NAME?</x:v>
      </x:c>
      <x:c r="D39" s="165" t="s">
        <x:v>123</x:v>
      </x:c>
      <x:c r="E39" s="165" t="e">
        <x:f>Matriz[[#This Row],[Cat]]&amp;IF(Matriz[[#This Row],[Par]]=0,"","."&amp;Matriz[[#This Row],[Par]]&amp;"."&amp;TEXT(COUNTIFS(A$2:A39,Matriz[[#This Row],[Cat]],C$2:C39,Matriz[[#This Row],[Par]]),"000"))</x:f>
        <x:v>#NAME?</x:v>
      </x:c>
      <x:c r="F39" s="289" t="e">
        <x:f>IF(LEN(Matriz[[#This Row],[EDT]])=1,COUNTIF(Matriz[EDT],"?????????*"),IF(LEN(Matriz[[#This Row],[EDT]])=2,COUNTIF(Matriz[EDT],Matriz[[#This Row],[Cat]]&amp;"*")-1,0))</x:f>
        <x:v>#NAME?</x:v>
      </x:c>
      <x:c r="G39" s="165" t="e">
        <x:f>IF(Matriz[[#This Row],['# reque-rimientos]]&gt;0,"Sí","No")</x:f>
        <x:v>#REF!</x:v>
      </x:c>
      <x:c r="H39" s="165" t="e">
        <x:f>IF(Matriz[[#This Row],[Cat]]="0",0,IF(Matriz[[#This Row],[Par]]=0,1,LEN(Matriz[[#This Row],[EDT]])-LEN(SUBSTITUTE(Matriz[[#This Row],[EDT]],".",""))))</x:f>
        <x:v>#NAME?</x:v>
      </x:c>
      <x:c r="I39" s="13" t="s">
        <x:v>127</x:v>
      </x:c>
      <x:c r="J39" s="13" t="s">
        <x:v>125</x:v>
      </x:c>
      <x:c r="M39" s="165" t="s">
        <x:v>120</x:v>
      </x:c>
      <x:c r="N39" s="13" t="s">
        <x:v>126</x:v>
      </x:c>
      <x:c r="O39" s="165">
        <x:v>1</x:v>
      </x:c>
      <x:c r="P39" s="277"/>
      <x:c r="Q39" s="277"/>
      <x:c r="R39" s="13">
        <x:v>4</x:v>
      </x:c>
      <x:c r="S39" s="13" t="s">
        <x:v>67</x:v>
      </x:c>
      <x:c r="T39" s="13" t="s">
        <x:v>39</x:v>
      </x:c>
      <x:c r="U39" s="13">
        <x:v>5</x:v>
      </x:c>
      <x:c r="W39" s="13" t="s">
        <x:v>128</x:v>
      </x:c>
      <x:c r="X39" s="284"/>
      <x:c r="Y39" s="285"/>
      <x:c r="Z39" s="284"/>
      <x:c r="AA39" s="13"/>
      <x:c r="AB39" s="286"/>
    </x:row>
    <x:row r="40" ht="22.5">
      <x:c r="A40" s="275" t="e">
        <x:f>_xlfn.XLOOKUP(Matriz[[#This Row],[Categoría]],Categoría[Categoría],Categoría[Cat],"NA",0)</x:f>
        <x:v>#NAME?</x:v>
      </x:c>
      <x:c r="B40" s="165" t="s">
        <x:v>119</x:v>
      </x:c>
      <x:c r="C40" s="288" t="e">
        <x:f>_xlfn.XLOOKUP(Matriz[[#This Row],[Parámetro]],Parámetro[Parámetro],Parámetro[Par],0,0)</x:f>
        <x:v>#NAME?</x:v>
      </x:c>
      <x:c r="D40" s="165" t="s">
        <x:v>123</x:v>
      </x:c>
      <x:c r="E40" s="165" t="e">
        <x:f>Matriz[[#This Row],[Cat]]&amp;IF(Matriz[[#This Row],[Par]]=0,"","."&amp;Matriz[[#This Row],[Par]]&amp;"."&amp;TEXT(COUNTIFS(A$2:A40,Matriz[[#This Row],[Cat]],C$2:C40,Matriz[[#This Row],[Par]]),"000"))</x:f>
        <x:v>#NAME?</x:v>
      </x:c>
      <x:c r="F40" s="289" t="e">
        <x:f>IF(LEN(Matriz[[#This Row],[EDT]])=1,COUNTIF(Matriz[EDT],"?????????*"),IF(LEN(Matriz[[#This Row],[EDT]])=2,COUNTIF(Matriz[EDT],Matriz[[#This Row],[Cat]]&amp;"*")-1,0))</x:f>
        <x:v>#NAME?</x:v>
      </x:c>
      <x:c r="G40" s="165" t="e">
        <x:f>IF(Matriz[[#This Row],['# reque-rimientos]]&gt;0,"Sí","No")</x:f>
        <x:v>#REF!</x:v>
      </x:c>
      <x:c r="H40" s="165" t="e">
        <x:f>IF(Matriz[[#This Row],[Cat]]="0",0,IF(Matriz[[#This Row],[Par]]=0,1,LEN(Matriz[[#This Row],[EDT]])-LEN(SUBSTITUTE(Matriz[[#This Row],[EDT]],".",""))))</x:f>
        <x:v>#NAME?</x:v>
      </x:c>
      <x:c r="I40" s="13" t="s">
        <x:v>129</x:v>
      </x:c>
      <x:c r="J40" s="13" t="s">
        <x:v>125</x:v>
      </x:c>
      <x:c r="M40" s="165" t="s">
        <x:v>120</x:v>
      </x:c>
      <x:c r="N40" s="13" t="s">
        <x:v>126</x:v>
      </x:c>
      <x:c r="O40" s="165">
        <x:v>1</x:v>
      </x:c>
      <x:c r="R40" s="13">
        <x:v>6</x:v>
      </x:c>
      <x:c r="S40" s="13" t="s">
        <x:v>67</x:v>
      </x:c>
      <x:c r="T40" s="13" t="s">
        <x:v>39</x:v>
      </x:c>
      <x:c r="U40" s="13">
        <x:v>5</x:v>
      </x:c>
      <x:c r="X40" s="284"/>
      <x:c r="Y40" s="285"/>
      <x:c r="Z40" s="284"/>
      <x:c r="AA40" s="13"/>
      <x:c r="AB40" s="286"/>
    </x:row>
    <x:row r="41" ht="22.5">
      <x:c r="A41" s="275" t="e">
        <x:f>_xlfn.XLOOKUP(Matriz[[#This Row],[Categoría]],Categoría[Categoría],Categoría[Cat],"NA",0)</x:f>
        <x:v>#NAME?</x:v>
      </x:c>
      <x:c r="B41" s="165" t="s">
        <x:v>119</x:v>
      </x:c>
      <x:c r="C41" s="288" t="e">
        <x:f>_xlfn.XLOOKUP(Matriz[[#This Row],[Parámetro]],Parámetro[Parámetro],Parámetro[Par],0,0)</x:f>
        <x:v>#NAME?</x:v>
      </x:c>
      <x:c r="D41" s="165" t="s">
        <x:v>123</x:v>
      </x:c>
      <x:c r="E41" s="165" t="e">
        <x:f>Matriz[[#This Row],[Cat]]&amp;IF(Matriz[[#This Row],[Par]]=0,"","."&amp;Matriz[[#This Row],[Par]]&amp;"."&amp;TEXT(COUNTIFS(A$2:A41,Matriz[[#This Row],[Cat]],C$2:C41,Matriz[[#This Row],[Par]]),"000"))</x:f>
        <x:v>#NAME?</x:v>
      </x:c>
      <x:c r="F41" s="289" t="e">
        <x:f>IF(LEN(Matriz[[#This Row],[EDT]])=1,COUNTIF(Matriz[EDT],"?????????*"),IF(LEN(Matriz[[#This Row],[EDT]])=2,COUNTIF(Matriz[EDT],Matriz[[#This Row],[Cat]]&amp;"*")-1,0))</x:f>
        <x:v>#NAME?</x:v>
      </x:c>
      <x:c r="G41" s="165" t="e">
        <x:f>IF(Matriz[[#This Row],['# reque-rimientos]]&gt;0,"Sí","No")</x:f>
        <x:v>#REF!</x:v>
      </x:c>
      <x:c r="H41" s="165" t="e">
        <x:f>IF(Matriz[[#This Row],[Cat]]="0",0,IF(Matriz[[#This Row],[Par]]=0,1,LEN(Matriz[[#This Row],[EDT]])-LEN(SUBSTITUTE(Matriz[[#This Row],[EDT]],".",""))))</x:f>
        <x:v>#NAME?</x:v>
      </x:c>
      <x:c r="I41" s="168" t="s">
        <x:v>130</x:v>
      </x:c>
      <x:c r="J41" s="13" t="s">
        <x:v>66</x:v>
      </x:c>
      <x:c r="M41" s="165" t="s">
        <x:v>120</x:v>
      </x:c>
      <x:c r="N41" s="13" t="s">
        <x:v>126</x:v>
      </x:c>
      <x:c r="O41" s="165">
        <x:v>1</x:v>
      </x:c>
      <x:c r="P41" s="277"/>
      <x:c r="Q41" s="277"/>
      <x:c r="R41" s="13">
        <x:v>7</x:v>
      </x:c>
      <x:c r="S41" s="13" t="s">
        <x:v>67</x:v>
      </x:c>
      <x:c r="T41" s="13" t="s">
        <x:v>39</x:v>
      </x:c>
      <x:c r="U41" s="13">
        <x:v>2</x:v>
      </x:c>
      <x:c r="X41" s="284"/>
      <x:c r="Y41" s="285"/>
      <x:c r="Z41" s="284"/>
      <x:c r="AA41" s="13"/>
      <x:c r="AB41" s="286"/>
    </x:row>
    <x:row r="42" ht="22.5">
      <x:c r="A42" s="275" t="e">
        <x:f>_xlfn.XLOOKUP(Matriz[[#This Row],[Categoría]],Categoría[Categoría],Categoría[Cat],"NA",0)</x:f>
        <x:v>#NAME?</x:v>
      </x:c>
      <x:c r="B42" s="165" t="s">
        <x:v>119</x:v>
      </x:c>
      <x:c r="C42" s="288" t="e">
        <x:f>_xlfn.XLOOKUP(Matriz[[#This Row],[Parámetro]],Parámetro[Parámetro],Parámetro[Par],0,0)</x:f>
        <x:v>#NAME?</x:v>
      </x:c>
      <x:c r="D42" s="165" t="s">
        <x:v>123</x:v>
      </x:c>
      <x:c r="E42" s="165" t="e">
        <x:f>Matriz[[#This Row],[Cat]]&amp;IF(Matriz[[#This Row],[Par]]=0,"","."&amp;Matriz[[#This Row],[Par]]&amp;"."&amp;TEXT(COUNTIFS(A$2:A42,Matriz[[#This Row],[Cat]],C$2:C42,Matriz[[#This Row],[Par]]),"000"))</x:f>
        <x:v>#NAME?</x:v>
      </x:c>
      <x:c r="F42" s="289" t="e">
        <x:f>IF(LEN(Matriz[[#This Row],[EDT]])=1,COUNTIF(Matriz[EDT],"?????????*"),IF(LEN(Matriz[[#This Row],[EDT]])=2,COUNTIF(Matriz[EDT],Matriz[[#This Row],[Cat]]&amp;"*")-1,0))</x:f>
        <x:v>#NAME?</x:v>
      </x:c>
      <x:c r="G42" s="165" t="e">
        <x:f>IF(Matriz[[#This Row],['# reque-rimientos]]&gt;0,"Sí","No")</x:f>
        <x:v>#REF!</x:v>
      </x:c>
      <x:c r="H42" s="165" t="e">
        <x:f>IF(Matriz[[#This Row],[Cat]]="0",0,IF(Matriz[[#This Row],[Par]]=0,1,LEN(Matriz[[#This Row],[EDT]])-LEN(SUBSTITUTE(Matriz[[#This Row],[EDT]],".",""))))</x:f>
        <x:v>#NAME?</x:v>
      </x:c>
      <x:c r="I42" s="168" t="s">
        <x:v>131</x:v>
      </x:c>
      <x:c r="J42" s="13" t="s">
        <x:v>125</x:v>
      </x:c>
      <x:c r="M42" s="165" t="s">
        <x:v>120</x:v>
      </x:c>
      <x:c r="N42" s="13" t="s">
        <x:v>126</x:v>
      </x:c>
      <x:c r="O42" s="165">
        <x:v>1</x:v>
      </x:c>
      <x:c r="R42" s="13">
        <x:v>7</x:v>
      </x:c>
      <x:c r="S42" s="13" t="s">
        <x:v>67</x:v>
      </x:c>
      <x:c r="T42" s="13" t="s">
        <x:v>39</x:v>
      </x:c>
      <x:c r="U42" s="13">
        <x:v>3</x:v>
      </x:c>
      <x:c r="X42" s="284"/>
      <x:c r="Y42" s="285"/>
      <x:c r="Z42" s="284"/>
      <x:c r="AA42" s="13"/>
      <x:c r="AB42" s="286"/>
    </x:row>
    <x:row r="43" s="170" customFormat="1" ht="22.5">
      <x:c r="A43" s="275" t="e">
        <x:f>_xlfn.XLOOKUP(Matriz[[#This Row],[Categoría]],Categoría[Categoría],Categoría[Cat],"NA",0)</x:f>
        <x:v>#NAME?</x:v>
      </x:c>
      <x:c r="B43" s="165" t="s">
        <x:v>119</x:v>
      </x:c>
      <x:c r="C43" s="288" t="e">
        <x:f>_xlfn.XLOOKUP(Matriz[[#This Row],[Parámetro]],Parámetro[Parámetro],Parámetro[Par],0,0)</x:f>
        <x:v>#NAME?</x:v>
      </x:c>
      <x:c r="D43" s="165" t="s">
        <x:v>123</x:v>
      </x:c>
      <x:c r="E43" s="165" t="e">
        <x:f>Matriz[[#This Row],[Cat]]&amp;IF(Matriz[[#This Row],[Par]]=0,"","."&amp;Matriz[[#This Row],[Par]]&amp;"."&amp;TEXT(COUNTIFS(A$2:A43,Matriz[[#This Row],[Cat]],C$2:C43,Matriz[[#This Row],[Par]]),"000"))</x:f>
        <x:v>#NAME?</x:v>
      </x:c>
      <x:c r="F43" s="289" t="e">
        <x:f>IF(LEN(Matriz[[#This Row],[EDT]])=1,COUNTIF(Matriz[EDT],"?????????*"),IF(LEN(Matriz[[#This Row],[EDT]])=2,COUNTIF(Matriz[EDT],Matriz[[#This Row],[Cat]]&amp;"*")-1,0))</x:f>
        <x:v>#NAME?</x:v>
      </x:c>
      <x:c r="G43" s="165" t="e">
        <x:f>IF(Matriz[[#This Row],['# reque-rimientos]]&gt;0,"Sí","No")</x:f>
        <x:v>#REF!</x:v>
      </x:c>
      <x:c r="H43" s="165" t="e">
        <x:f>IF(Matriz[[#This Row],[Cat]]="0",0,IF(Matriz[[#This Row],[Par]]=0,1,LEN(Matriz[[#This Row],[EDT]])-LEN(SUBSTITUTE(Matriz[[#This Row],[EDT]],".",""))))</x:f>
        <x:v>#NAME?</x:v>
      </x:c>
      <x:c r="I43" s="168" t="s">
        <x:v>132</x:v>
      </x:c>
      <x:c r="J43" s="13" t="s">
        <x:v>66</x:v>
      </x:c>
      <x:c r="K43" s="13"/>
      <x:c r="L43" s="13"/>
      <x:c r="M43" s="165" t="s">
        <x:v>120</x:v>
      </x:c>
      <x:c r="N43" s="13" t="s">
        <x:v>126</x:v>
      </x:c>
      <x:c r="O43" s="165">
        <x:v>1</x:v>
      </x:c>
      <x:c r="P43" s="13"/>
      <x:c r="Q43" s="13"/>
      <x:c r="R43" s="13">
        <x:v>7</x:v>
      </x:c>
      <x:c r="S43" s="13" t="s">
        <x:v>67</x:v>
      </x:c>
      <x:c r="T43" s="13" t="s">
        <x:v>39</x:v>
      </x:c>
      <x:c r="U43" s="13">
        <x:v>1</x:v>
      </x:c>
      <x:c r="V43" s="13"/>
      <x:c r="W43" s="13"/>
      <x:c r="X43" s="284"/>
      <x:c r="Y43" s="285"/>
      <x:c r="Z43" s="284"/>
      <x:c r="AA43" s="13"/>
      <x:c r="AB43" s="286"/>
    </x:row>
    <x:row r="44" ht="22.5">
      <x:c r="A44" s="275" t="e">
        <x:f>_xlfn.XLOOKUP(Matriz[[#This Row],[Categoría]],Categoría[Categoría],Categoría[Cat],"NA",0)</x:f>
        <x:v>#NAME?</x:v>
      </x:c>
      <x:c r="B44" s="165" t="s">
        <x:v>119</x:v>
      </x:c>
      <x:c r="C44" s="288" t="e">
        <x:f>_xlfn.XLOOKUP(Matriz[[#This Row],[Parámetro]],Parámetro[Parámetro],Parámetro[Par],0,0)</x:f>
        <x:v>#NAME?</x:v>
      </x:c>
      <x:c r="D44" s="165" t="s">
        <x:v>123</x:v>
      </x:c>
      <x:c r="E44" s="165" t="e">
        <x:f>Matriz[[#This Row],[Cat]]&amp;IF(Matriz[[#This Row],[Par]]=0,"","."&amp;Matriz[[#This Row],[Par]]&amp;"."&amp;TEXT(COUNTIFS(A$2:A44,Matriz[[#This Row],[Cat]],C$2:C44,Matriz[[#This Row],[Par]]),"000"))</x:f>
        <x:v>#NAME?</x:v>
      </x:c>
      <x:c r="F44" s="289" t="e">
        <x:f>IF(LEN(Matriz[[#This Row],[EDT]])=1,COUNTIF(Matriz[EDT],"?????????*"),IF(LEN(Matriz[[#This Row],[EDT]])=2,COUNTIF(Matriz[EDT],Matriz[[#This Row],[Cat]]&amp;"*")-1,0))</x:f>
        <x:v>#NAME?</x:v>
      </x:c>
      <x:c r="G44" s="165" t="e">
        <x:f>IF(Matriz[[#This Row],['# reque-rimientos]]&gt;0,"Sí","No")</x:f>
        <x:v>#REF!</x:v>
      </x:c>
      <x:c r="H44" s="165" t="e">
        <x:f>IF(Matriz[[#This Row],[Cat]]="0",0,IF(Matriz[[#This Row],[Par]]=0,1,LEN(Matriz[[#This Row],[EDT]])-LEN(SUBSTITUTE(Matriz[[#This Row],[EDT]],".",""))))</x:f>
        <x:v>#NAME?</x:v>
      </x:c>
      <x:c r="I44" s="13" t="s">
        <x:v>133</x:v>
      </x:c>
      <x:c r="J44" s="13" t="s">
        <x:v>134</x:v>
      </x:c>
      <x:c r="M44" s="165" t="s">
        <x:v>30</x:v>
      </x:c>
      <x:c r="N44" s="13" t="s">
        <x:v>135</x:v>
      </x:c>
      <x:c r="O44" s="165">
        <x:v>1</x:v>
      </x:c>
      <x:c r="R44" s="13">
        <x:v>6</x:v>
      </x:c>
      <x:c r="S44" s="13" t="s">
        <x:v>67</x:v>
      </x:c>
      <x:c r="T44" s="13" t="s">
        <x:v>39</x:v>
      </x:c>
      <x:c r="X44" s="284"/>
      <x:c r="Y44" s="285"/>
      <x:c r="Z44" s="284"/>
      <x:c r="AA44" s="13"/>
      <x:c r="AB44" s="286"/>
    </x:row>
    <x:row r="45" ht="45">
      <x:c r="A45" s="275" t="e">
        <x:f>_xlfn.XLOOKUP(Matriz[[#This Row],[Categoría]],Categoría[Categoría],Categoría[Cat],"NA",0)</x:f>
        <x:v>#NAME?</x:v>
      </x:c>
      <x:c r="B45" s="165" t="s">
        <x:v>119</x:v>
      </x:c>
      <x:c r="C45" s="288" t="e">
        <x:f>_xlfn.XLOOKUP(Matriz[[#This Row],[Parámetro]],Parámetro[Parámetro],Parámetro[Par],0,0)</x:f>
        <x:v>#NAME?</x:v>
      </x:c>
      <x:c r="D45" s="165" t="s">
        <x:v>136</x:v>
      </x:c>
      <x:c r="E45" s="165" t="e">
        <x:f>Matriz[[#This Row],[Cat]]&amp;IF(Matriz[[#This Row],[Par]]=0,"","."&amp;Matriz[[#This Row],[Par]]&amp;"."&amp;TEXT(COUNTIFS(A$2:A45,Matriz[[#This Row],[Cat]],C$2:C45,Matriz[[#This Row],[Par]]),"000"))</x:f>
        <x:v>#NAME?</x:v>
      </x:c>
      <x:c r="F45" s="289" t="e">
        <x:f>IF(LEN(Matriz[[#This Row],[EDT]])=1,COUNTIF(Matriz[EDT],"?????????*"),IF(LEN(Matriz[[#This Row],[EDT]])=2,COUNTIF(Matriz[EDT],Matriz[[#This Row],[Cat]]&amp;"*")-1,0))</x:f>
        <x:v>#NAME?</x:v>
      </x:c>
      <x:c r="G45" s="165" t="e">
        <x:f>IF(Matriz[[#This Row],['# reque-rimientos]]&gt;0,"Sí","No")</x:f>
        <x:v>#REF!</x:v>
      </x:c>
      <x:c r="H45" s="165" t="e">
        <x:f>IF(Matriz[[#This Row],[Cat]]="0",0,IF(Matriz[[#This Row],[Par]]=0,1,LEN(Matriz[[#This Row],[EDT]])-LEN(SUBSTITUTE(Matriz[[#This Row],[EDT]],".",""))))</x:f>
        <x:v>#NAME?</x:v>
      </x:c>
      <x:c r="I45" s="82" t="s">
        <x:v>137</x:v>
      </x:c>
      <x:c r="M45" s="13" t="s">
        <x:v>32</x:v>
      </x:c>
      <x:c r="N45" s="13" t="s">
        <x:v>138</x:v>
      </x:c>
      <x:c r="O45" s="165">
        <x:v>1</x:v>
      </x:c>
      <x:c r="R45" s="13">
        <x:v>9</x:v>
      </x:c>
      <x:c r="S45" s="13" t="s">
        <x:v>139</x:v>
      </x:c>
      <x:c r="X45" s="284"/>
      <x:c r="Y45" s="285"/>
      <x:c r="Z45" s="284"/>
      <x:c r="AA45" s="13"/>
      <x:c r="AB45" s="286"/>
    </x:row>
    <x:row r="46" ht="22.5">
      <x:c r="A46" s="275" t="e">
        <x:f>_xlfn.XLOOKUP(Matriz[[#This Row],[Categoría]],Categoría[Categoría],Categoría[Cat],"NA",0)</x:f>
        <x:v>#NAME?</x:v>
      </x:c>
      <x:c r="B46" s="165" t="s">
        <x:v>119</x:v>
      </x:c>
      <x:c r="C46" s="288" t="e">
        <x:f>_xlfn.XLOOKUP(Matriz[[#This Row],[Parámetro]],Parámetro[Parámetro],Parámetro[Par],0,0)</x:f>
        <x:v>#NAME?</x:v>
      </x:c>
      <x:c r="D46" s="165" t="s">
        <x:v>136</x:v>
      </x:c>
      <x:c r="E46" s="165" t="e">
        <x:f>Matriz[[#This Row],[Cat]]&amp;IF(Matriz[[#This Row],[Par]]=0,"","."&amp;Matriz[[#This Row],[Par]]&amp;"."&amp;TEXT(COUNTIFS(A$2:A46,Matriz[[#This Row],[Cat]],C$2:C46,Matriz[[#This Row],[Par]]),"000"))</x:f>
        <x:v>#NAME?</x:v>
      </x:c>
      <x:c r="F46" s="289" t="e">
        <x:f>IF(LEN(Matriz[[#This Row],[EDT]])=1,COUNTIF(Matriz[EDT],"?????????*"),IF(LEN(Matriz[[#This Row],[EDT]])=2,COUNTIF(Matriz[EDT],Matriz[[#This Row],[Cat]]&amp;"*")-1,0))</x:f>
        <x:v>#NAME?</x:v>
      </x:c>
      <x:c r="G46" s="165" t="e">
        <x:f>IF(Matriz[[#This Row],['# reque-rimientos]]&gt;0,"Sí","No")</x:f>
        <x:v>#REF!</x:v>
      </x:c>
      <x:c r="H46" s="165" t="e">
        <x:f>IF(Matriz[[#This Row],[Cat]]="0",0,IF(Matriz[[#This Row],[Par]]=0,1,LEN(Matriz[[#This Row],[EDT]])-LEN(SUBSTITUTE(Matriz[[#This Row],[EDT]],".",""))))</x:f>
        <x:v>#NAME?</x:v>
      </x:c>
      <x:c r="I46" s="13" t="s">
        <x:v>140</x:v>
      </x:c>
      <x:c r="M46" s="13" t="s">
        <x:v>120</x:v>
      </x:c>
      <x:c r="O46" s="165">
        <x:v>1</x:v>
      </x:c>
      <x:c r="R46" s="13">
        <x:v>9</x:v>
      </x:c>
      <x:c r="S46" s="13" t="s">
        <x:v>139</x:v>
      </x:c>
      <x:c r="X46" s="284"/>
      <x:c r="Y46" s="285"/>
      <x:c r="Z46" s="284"/>
      <x:c r="AA46" s="13"/>
      <x:c r="AB46" s="286"/>
    </x:row>
    <x:row r="47" ht="22.5">
      <x:c r="A47" s="275" t="e">
        <x:f>_xlfn.XLOOKUP(Matriz[[#This Row],[Categoría]],Categoría[Categoría],Categoría[Cat],"NA",0)</x:f>
        <x:v>#NAME?</x:v>
      </x:c>
      <x:c r="B47" s="165" t="s">
        <x:v>119</x:v>
      </x:c>
      <x:c r="C47" s="288" t="e">
        <x:f>_xlfn.XLOOKUP(Matriz[[#This Row],[Parámetro]],Parámetro[Parámetro],Parámetro[Par],0,0)</x:f>
        <x:v>#NAME?</x:v>
      </x:c>
      <x:c r="D47" s="165" t="s">
        <x:v>136</x:v>
      </x:c>
      <x:c r="E47" s="165" t="e">
        <x:f>Matriz[[#This Row],[Cat]]&amp;IF(Matriz[[#This Row],[Par]]=0,"","."&amp;Matriz[[#This Row],[Par]]&amp;"."&amp;TEXT(COUNTIFS(A$2:A47,Matriz[[#This Row],[Cat]],C$2:C47,Matriz[[#This Row],[Par]]),"000"))</x:f>
        <x:v>#NAME?</x:v>
      </x:c>
      <x:c r="F47" s="289" t="e">
        <x:f>IF(LEN(Matriz[[#This Row],[EDT]])=1,COUNTIF(Matriz[EDT],"?????????*"),IF(LEN(Matriz[[#This Row],[EDT]])=2,COUNTIF(Matriz[EDT],Matriz[[#This Row],[Cat]]&amp;"*")-1,0))</x:f>
        <x:v>#NAME?</x:v>
      </x:c>
      <x:c r="G47" s="165" t="e">
        <x:f>IF(Matriz[[#This Row],['# reque-rimientos]]&gt;0,"Sí","No")</x:f>
        <x:v>#REF!</x:v>
      </x:c>
      <x:c r="H47" s="165" t="e">
        <x:f>IF(Matriz[[#This Row],[Cat]]="0",0,IF(Matriz[[#This Row],[Par]]=0,1,LEN(Matriz[[#This Row],[EDT]])-LEN(SUBSTITUTE(Matriz[[#This Row],[EDT]],".",""))))</x:f>
        <x:v>#NAME?</x:v>
      </x:c>
      <x:c r="I47" s="13" t="s">
        <x:v>141</x:v>
      </x:c>
      <x:c r="J47" s="13" t="s">
        <x:v>142</x:v>
      </x:c>
      <x:c r="M47" s="13" t="s">
        <x:v>120</x:v>
      </x:c>
      <x:c r="O47" s="165">
        <x:v>1</x:v>
      </x:c>
      <x:c r="R47" s="13">
        <x:v>6</x:v>
      </x:c>
      <x:c r="S47" s="13" t="s">
        <x:v>108</x:v>
      </x:c>
      <x:c r="T47" s="13" t="s">
        <x:v>109</x:v>
      </x:c>
      <x:c r="U47" s="13">
        <x:v>40</x:v>
      </x:c>
      <x:c r="X47" s="284"/>
      <x:c r="Y47" s="285"/>
      <x:c r="Z47" s="284"/>
      <x:c r="AA47" s="13"/>
      <x:c r="AB47" s="286"/>
    </x:row>
    <x:row r="48" ht="22.5">
      <x:c r="A48" s="275" t="e">
        <x:f>_xlfn.XLOOKUP(Matriz[[#This Row],[Categoría]],Categoría[Categoría],Categoría[Cat],"NA",0)</x:f>
        <x:v>#NAME?</x:v>
      </x:c>
      <x:c r="B48" s="165" t="s">
        <x:v>119</x:v>
      </x:c>
      <x:c r="C48" s="288" t="e">
        <x:f>_xlfn.XLOOKUP(Matriz[[#This Row],[Parámetro]],Parámetro[Parámetro],Parámetro[Par],0,0)</x:f>
        <x:v>#NAME?</x:v>
      </x:c>
      <x:c r="D48" s="165" t="s">
        <x:v>136</x:v>
      </x:c>
      <x:c r="E48" s="165" t="e">
        <x:f>Matriz[[#This Row],[Cat]]&amp;IF(Matriz[[#This Row],[Par]]=0,"","."&amp;Matriz[[#This Row],[Par]]&amp;"."&amp;TEXT(COUNTIFS(A$2:A48,Matriz[[#This Row],[Cat]],C$2:C48,Matriz[[#This Row],[Par]]),"000"))</x:f>
        <x:v>#NAME?</x:v>
      </x:c>
      <x:c r="F48" s="289" t="e">
        <x:f>IF(LEN(Matriz[[#This Row],[EDT]])=1,COUNTIF(Matriz[EDT],"?????????*"),IF(LEN(Matriz[[#This Row],[EDT]])=2,COUNTIF(Matriz[EDT],Matriz[[#This Row],[Cat]]&amp;"*")-1,0))</x:f>
        <x:v>#NAME?</x:v>
      </x:c>
      <x:c r="G48" s="165" t="e">
        <x:f>IF(Matriz[[#This Row],['# reque-rimientos]]&gt;0,"Sí","No")</x:f>
        <x:v>#REF!</x:v>
      </x:c>
      <x:c r="H48" s="165" t="e">
        <x:f>IF(Matriz[[#This Row],[Cat]]="0",0,IF(Matriz[[#This Row],[Par]]=0,1,LEN(Matriz[[#This Row],[EDT]])-LEN(SUBSTITUTE(Matriz[[#This Row],[EDT]],".",""))))</x:f>
        <x:v>#NAME?</x:v>
      </x:c>
      <x:c r="I48" s="13" t="s">
        <x:v>143</x:v>
      </x:c>
      <x:c r="J48" s="13" t="s">
        <x:v>144</x:v>
      </x:c>
      <x:c r="M48" s="13" t="s">
        <x:v>120</x:v>
      </x:c>
      <x:c r="O48" s="165">
        <x:v>1</x:v>
      </x:c>
      <x:c r="R48" s="13">
        <x:v>6</x:v>
      </x:c>
      <x:c r="S48" s="13" t="s">
        <x:v>108</x:v>
      </x:c>
      <x:c r="T48" s="13" t="s">
        <x:v>109</x:v>
      </x:c>
      <x:c r="X48" s="284"/>
      <x:c r="Y48" s="285"/>
      <x:c r="Z48" s="284"/>
      <x:c r="AA48" s="13"/>
      <x:c r="AB48" s="286"/>
    </x:row>
    <x:row r="49" ht="23.25">
      <x:c r="A49" s="275" t="e">
        <x:f>_xlfn.XLOOKUP(Matriz[[#This Row],[Categoría]],Categoría[Categoría],Categoría[Cat],"NA",0)</x:f>
        <x:v>#NAME?</x:v>
      </x:c>
      <x:c r="B49" s="165" t="s">
        <x:v>119</x:v>
      </x:c>
      <x:c r="C49" s="288" t="e">
        <x:f>_xlfn.XLOOKUP(Matriz[[#This Row],[Parámetro]],Parámetro[Parámetro],Parámetro[Par],0,0)</x:f>
        <x:v>#NAME?</x:v>
      </x:c>
      <x:c r="D49" s="165" t="s">
        <x:v>136</x:v>
      </x:c>
      <x:c r="E49" s="165" t="e">
        <x:f>Matriz[[#This Row],[Cat]]&amp;IF(Matriz[[#This Row],[Par]]=0,"","."&amp;Matriz[[#This Row],[Par]]&amp;"."&amp;TEXT(COUNTIFS(A$2:A49,Matriz[[#This Row],[Cat]],C$2:C49,Matriz[[#This Row],[Par]]),"000"))</x:f>
        <x:v>#NAME?</x:v>
      </x:c>
      <x:c r="F49" s="289" t="e">
        <x:f>IF(LEN(Matriz[[#This Row],[EDT]])=1,COUNTIF(Matriz[EDT],"?????????*"),IF(LEN(Matriz[[#This Row],[EDT]])=2,COUNTIF(Matriz[EDT],Matriz[[#This Row],[Cat]]&amp;"*")-1,0))</x:f>
        <x:v>#NAME?</x:v>
      </x:c>
      <x:c r="G49" s="165" t="e">
        <x:f>IF(Matriz[[#This Row],['# reque-rimientos]]&gt;0,"Sí","No")</x:f>
        <x:v>#REF!</x:v>
      </x:c>
      <x:c r="H49" s="165" t="e">
        <x:f>IF(Matriz[[#This Row],[Cat]]="0",0,IF(Matriz[[#This Row],[Par]]=0,1,LEN(Matriz[[#This Row],[EDT]])-LEN(SUBSTITUTE(Matriz[[#This Row],[EDT]],".",""))))</x:f>
        <x:v>#NAME?</x:v>
      </x:c>
      <x:c r="I49" s="13" t="s">
        <x:v>145</x:v>
      </x:c>
      <x:c r="J49" s="13" t="s">
        <x:v>105</x:v>
      </x:c>
      <x:c r="M49" s="13" t="s">
        <x:v>120</x:v>
      </x:c>
      <x:c r="O49" s="165">
        <x:v>1</x:v>
      </x:c>
      <x:c r="R49" s="13">
        <x:v>6</x:v>
      </x:c>
      <x:c r="S49" s="13" t="s">
        <x:v>108</x:v>
      </x:c>
      <x:c r="T49" s="13" t="s">
        <x:v>109</x:v>
      </x:c>
      <x:c r="X49" s="284"/>
      <x:c r="Y49" s="285"/>
      <x:c r="Z49" s="284"/>
      <x:c r="AA49" s="13"/>
      <x:c r="AB49" s="286"/>
    </x:row>
    <x:row r="50">
      <x:c r="A50" s="275" t="e">
        <x:f>_xlfn.XLOOKUP(Matriz[[#This Row],[Categoría]],Categoría[Categoría],Categoría[Cat],"NA",0)</x:f>
        <x:v>#NAME?</x:v>
      </x:c>
      <x:c r="B50" s="165" t="s">
        <x:v>119</x:v>
      </x:c>
      <x:c r="C50" s="288" t="e">
        <x:f>_xlfn.XLOOKUP(Matriz[[#This Row],[Parámetro]],Parámetro[Parámetro],Parámetro[Par],0,0)</x:f>
        <x:v>#NAME?</x:v>
      </x:c>
      <x:c r="D50" s="165" t="s">
        <x:v>136</x:v>
      </x:c>
      <x:c r="E50" s="165" t="e">
        <x:f>Matriz[[#This Row],[Cat]]&amp;IF(Matriz[[#This Row],[Par]]=0,"","."&amp;Matriz[[#This Row],[Par]]&amp;"."&amp;TEXT(COUNTIFS(A$2:A50,Matriz[[#This Row],[Cat]],C$2:C50,Matriz[[#This Row],[Par]]),"000"))</x:f>
        <x:v>#NAME?</x:v>
      </x:c>
      <x:c r="F50" s="289" t="e">
        <x:f>IF(LEN(Matriz[[#This Row],[EDT]])=1,COUNTIF(Matriz[EDT],"?????????*"),IF(LEN(Matriz[[#This Row],[EDT]])=2,COUNTIF(Matriz[EDT],Matriz[[#This Row],[Cat]]&amp;"*")-1,0))</x:f>
        <x:v>#NAME?</x:v>
      </x:c>
      <x:c r="G50" s="165" t="e">
        <x:f>IF(Matriz[[#This Row],['# reque-rimientos]]&gt;0,"Sí","No")</x:f>
        <x:v>#REF!</x:v>
      </x:c>
      <x:c r="H50" s="165" t="e">
        <x:f>IF(Matriz[[#This Row],[Cat]]="0",0,IF(Matriz[[#This Row],[Par]]=0,1,LEN(Matriz[[#This Row],[EDT]])-LEN(SUBSTITUTE(Matriz[[#This Row],[EDT]],".",""))))</x:f>
        <x:v>#NAME?</x:v>
      </x:c>
      <x:c r="I50" s="13" t="s">
        <x:v>146</x:v>
      </x:c>
      <x:c r="M50" s="13" t="s">
        <x:v>120</x:v>
      </x:c>
      <x:c r="O50" s="165">
        <x:v>1</x:v>
      </x:c>
      <x:c r="R50" s="13">
        <x:v>4</x:v>
      </x:c>
      <x:c r="S50" s="13" t="s">
        <x:v>57</x:v>
      </x:c>
      <x:c r="X50" s="284"/>
      <x:c r="Y50" s="285"/>
      <x:c r="Z50" s="284"/>
      <x:c r="AA50" s="13"/>
      <x:c r="AB50" s="286"/>
    </x:row>
    <x:row r="51" ht="22.5">
      <x:c r="A51" s="275" t="e">
        <x:f>_xlfn.XLOOKUP(Matriz[[#This Row],[Categoría]],Categoría[Categoría],Categoría[Cat],"NA",0)</x:f>
        <x:v>#NAME?</x:v>
      </x:c>
      <x:c r="B51" s="165" t="s">
        <x:v>119</x:v>
      </x:c>
      <x:c r="C51" s="288" t="e">
        <x:f>_xlfn.XLOOKUP(Matriz[[#This Row],[Parámetro]],Parámetro[Parámetro],Parámetro[Par],0,0)</x:f>
        <x:v>#NAME?</x:v>
      </x:c>
      <x:c r="D51" s="165" t="s">
        <x:v>136</x:v>
      </x:c>
      <x:c r="E51" s="165" t="e">
        <x:f>Matriz[[#This Row],[Cat]]&amp;IF(Matriz[[#This Row],[Par]]=0,"","."&amp;Matriz[[#This Row],[Par]]&amp;"."&amp;TEXT(COUNTIFS(A$2:A51,Matriz[[#This Row],[Cat]],C$2:C51,Matriz[[#This Row],[Par]]),"000"))</x:f>
        <x:v>#NAME?</x:v>
      </x:c>
      <x:c r="F51" s="289" t="e">
        <x:f>IF(LEN(Matriz[[#This Row],[EDT]])=1,COUNTIF(Matriz[EDT],"?????????*"),IF(LEN(Matriz[[#This Row],[EDT]])=2,COUNTIF(Matriz[EDT],Matriz[[#This Row],[Cat]]&amp;"*")-1,0))</x:f>
        <x:v>#NAME?</x:v>
      </x:c>
      <x:c r="G51" s="165" t="e">
        <x:f>IF(Matriz[[#This Row],['# reque-rimientos]]&gt;0,"Sí","No")</x:f>
        <x:v>#REF!</x:v>
      </x:c>
      <x:c r="H51" s="165" t="e">
        <x:f>IF(Matriz[[#This Row],[Cat]]="0",0,IF(Matriz[[#This Row],[Par]]=0,1,LEN(Matriz[[#This Row],[EDT]])-LEN(SUBSTITUTE(Matriz[[#This Row],[EDT]],".",""))))</x:f>
        <x:v>#NAME?</x:v>
      </x:c>
      <x:c r="I51" s="13" t="s">
        <x:v>147</x:v>
      </x:c>
      <x:c r="M51" s="13" t="s">
        <x:v>120</x:v>
      </x:c>
      <x:c r="O51" s="165">
        <x:v>1</x:v>
      </x:c>
      <x:c r="R51" s="13">
        <x:v>6</x:v>
      </x:c>
      <x:c r="S51" s="13" t="s">
        <x:v>108</x:v>
      </x:c>
      <x:c r="T51" s="13" t="s">
        <x:v>109</x:v>
      </x:c>
      <x:c r="X51" s="284"/>
      <x:c r="Y51" s="285"/>
      <x:c r="Z51" s="284"/>
      <x:c r="AA51" s="13"/>
      <x:c r="AB51" s="286"/>
    </x:row>
    <x:row r="52" ht="56.25">
      <x:c r="A52" s="275" t="e">
        <x:f>_xlfn.XLOOKUP(Matriz[[#This Row],[Categoría]],Categoría[Categoría],Categoría[Cat],"NA",0)</x:f>
        <x:v>#NAME?</x:v>
      </x:c>
      <x:c r="B52" s="165" t="s">
        <x:v>119</x:v>
      </x:c>
      <x:c r="C52" s="288" t="e">
        <x:f>_xlfn.XLOOKUP(Matriz[[#This Row],[Parámetro]],Parámetro[Parámetro],Parámetro[Par],0,0)</x:f>
        <x:v>#NAME?</x:v>
      </x:c>
      <x:c r="D52" s="165" t="s">
        <x:v>136</x:v>
      </x:c>
      <x:c r="E52" s="165" t="e">
        <x:f>Matriz[[#This Row],[Cat]]&amp;IF(Matriz[[#This Row],[Par]]=0,"","."&amp;Matriz[[#This Row],[Par]]&amp;"."&amp;TEXT(COUNTIFS(A$2:A52,Matriz[[#This Row],[Cat]],C$2:C52,Matriz[[#This Row],[Par]]),"000"))</x:f>
        <x:v>#NAME?</x:v>
      </x:c>
      <x:c r="F52" s="289" t="e">
        <x:f>IF(LEN(Matriz[[#This Row],[EDT]])=1,COUNTIF(Matriz[EDT],"?????????*"),IF(LEN(Matriz[[#This Row],[EDT]])=2,COUNTIF(Matriz[EDT],Matriz[[#This Row],[Cat]]&amp;"*")-1,0))</x:f>
        <x:v>#NAME?</x:v>
      </x:c>
      <x:c r="G52" s="165" t="e">
        <x:f>IF(Matriz[[#This Row],['# reque-rimientos]]&gt;0,"Sí","No")</x:f>
        <x:v>#REF!</x:v>
      </x:c>
      <x:c r="H52" s="165" t="e">
        <x:f>IF(Matriz[[#This Row],[Cat]]="0",0,IF(Matriz[[#This Row],[Par]]=0,1,LEN(Matriz[[#This Row],[EDT]])-LEN(SUBSTITUTE(Matriz[[#This Row],[EDT]],".",""))))</x:f>
        <x:v>#NAME?</x:v>
      </x:c>
      <x:c r="I52" s="13" t="s">
        <x:v>148</x:v>
      </x:c>
      <x:c r="J52" s="13" t="s">
        <x:v>105</x:v>
      </x:c>
      <x:c r="K52" s="165" t="s">
        <x:v>149</x:v>
      </x:c>
      <x:c r="L52" s="291"/>
      <x:c r="M52" s="13" t="s">
        <x:v>120</x:v>
      </x:c>
      <x:c r="N52" s="165" t="str">
        <x:f>_xlfn.XLOOKUP(Matriz[[#This Row],[Requerimiento]],Glosario[Glosario ⬇️],Glosario[Descripción],"NA",0)</x:f>
        <x:v>Período estimado desde que el software está listo para operación (fin de la implementación) hasta que al menos un usuario de la PMO puede operar y administrar el sistema de forma autónoma, cubriendo aproximadamente el 70% de sus capacidades funcionales, sin soporte del proveedor.</x:v>
      </x:c>
      <x:c r="O52" s="165">
        <x:v>1</x:v>
      </x:c>
      <x:c r="R52" s="13">
        <x:v>7</x:v>
      </x:c>
      <x:c r="S52" s="13" t="s">
        <x:v>108</x:v>
      </x:c>
      <x:c r="T52" s="13" t="s">
        <x:v>109</x:v>
      </x:c>
      <x:c r="X52" s="284"/>
      <x:c r="Y52" s="285"/>
      <x:c r="Z52" s="284"/>
      <x:c r="AA52" s="13"/>
      <x:c r="AB52" s="286"/>
    </x:row>
    <x:row r="53" ht="33.75">
      <x:c r="A53" s="275" t="e">
        <x:f>_xlfn.XLOOKUP(Matriz[[#This Row],[Categoría]],Categoría[Categoría],Categoría[Cat],"NA",0)</x:f>
        <x:v>#NAME?</x:v>
      </x:c>
      <x:c r="B53" s="165" t="s">
        <x:v>119</x:v>
      </x:c>
      <x:c r="C53" s="288" t="e">
        <x:f>_xlfn.XLOOKUP(Matriz[[#This Row],[Parámetro]],Parámetro[Parámetro],Parámetro[Par],0,0)</x:f>
        <x:v>#NAME?</x:v>
      </x:c>
      <x:c r="D53" s="165" t="s">
        <x:v>136</x:v>
      </x:c>
      <x:c r="E53" s="165" t="e">
        <x:f>Matriz[[#This Row],[Cat]]&amp;IF(Matriz[[#This Row],[Par]]=0,"","."&amp;Matriz[[#This Row],[Par]]&amp;"."&amp;TEXT(COUNTIFS(A$2:A53,Matriz[[#This Row],[Cat]],C$2:C53,Matriz[[#This Row],[Par]]),"000"))</x:f>
        <x:v>#NAME?</x:v>
      </x:c>
      <x:c r="F53" s="289" t="e">
        <x:f>IF(LEN(Matriz[[#This Row],[EDT]])=1,COUNTIF(Matriz[EDT],"?????????*"),IF(LEN(Matriz[[#This Row],[EDT]])=2,COUNTIF(Matriz[EDT],Matriz[[#This Row],[Cat]]&amp;"*")-1,0))</x:f>
        <x:v>#NAME?</x:v>
      </x:c>
      <x:c r="G53" s="165" t="e">
        <x:f>IF(Matriz[[#This Row],['# reque-rimientos]]&gt;0,"Sí","No")</x:f>
        <x:v>#REF!</x:v>
      </x:c>
      <x:c r="H53" s="165" t="e">
        <x:f>IF(Matriz[[#This Row],[Cat]]="0",0,IF(Matriz[[#This Row],[Par]]=0,1,LEN(Matriz[[#This Row],[EDT]])-LEN(SUBSTITUTE(Matriz[[#This Row],[EDT]],".",""))))</x:f>
        <x:v>#NAME?</x:v>
      </x:c>
      <x:c r="I53" s="13" t="s">
        <x:v>150</x:v>
      </x:c>
      <x:c r="J53" s="13" t="s">
        <x:v>105</x:v>
      </x:c>
      <x:c r="K53" s="165" t="s">
        <x:v>149</x:v>
      </x:c>
      <x:c r="L53" s="291"/>
      <x:c r="M53" s="13" t="s">
        <x:v>120</x:v>
      </x:c>
      <x:c r="N53" s="165" t="str">
        <x:f>_xlfn.XLOOKUP(Matriz[[#This Row],[Requerimiento]],Glosario[Glosario ⬇️],Glosario[Descripción],"NA",0)</x:f>
        <x:v>Tiempo estimado para que un usuario promedio pueda operar el sistema en sus funciones habituales de gestión de proyectos sin necesidad de soporte funcional.</x:v>
      </x:c>
      <x:c r="O53" s="165">
        <x:v>1</x:v>
      </x:c>
      <x:c r="R53" s="13">
        <x:v>7</x:v>
      </x:c>
      <x:c r="S53" s="13" t="s">
        <x:v>108</x:v>
      </x:c>
      <x:c r="T53" s="13" t="s">
        <x:v>109</x:v>
      </x:c>
      <x:c r="X53" s="284"/>
      <x:c r="Y53" s="285"/>
      <x:c r="Z53" s="284"/>
      <x:c r="AA53" s="13"/>
      <x:c r="AB53" s="286"/>
    </x:row>
    <x:row r="54" ht="22.5">
      <x:c r="A54" s="275" t="e">
        <x:f>_xlfn.XLOOKUP(Matriz[[#This Row],[Categoría]],Categoría[Categoría],Categoría[Cat],"NA",0)</x:f>
        <x:v>#NAME?</x:v>
      </x:c>
      <x:c r="B54" s="165" t="s">
        <x:v>119</x:v>
      </x:c>
      <x:c r="C54" s="288" t="e">
        <x:f>_xlfn.XLOOKUP(Matriz[[#This Row],[Parámetro]],Parámetro[Parámetro],Parámetro[Par],0,0)</x:f>
        <x:v>#NAME?</x:v>
      </x:c>
      <x:c r="D54" s="165" t="s">
        <x:v>136</x:v>
      </x:c>
      <x:c r="E54" s="165" t="e">
        <x:f>Matriz[[#This Row],[Cat]]&amp;IF(Matriz[[#This Row],[Par]]=0,"","."&amp;Matriz[[#This Row],[Par]]&amp;"."&amp;TEXT(COUNTIFS(A$2:A54,Matriz[[#This Row],[Cat]],C$2:C54,Matriz[[#This Row],[Par]]),"000"))</x:f>
        <x:v>#NAME?</x:v>
      </x:c>
      <x:c r="F54" s="289" t="e">
        <x:f>IF(LEN(Matriz[[#This Row],[EDT]])=1,COUNTIF(Matriz[EDT],"?????????*"),IF(LEN(Matriz[[#This Row],[EDT]])=2,COUNTIF(Matriz[EDT],Matriz[[#This Row],[Cat]]&amp;"*")-1,0))</x:f>
        <x:v>#NAME?</x:v>
      </x:c>
      <x:c r="G54" s="165" t="e">
        <x:f>IF(Matriz[[#This Row],['# reque-rimientos]]&gt;0,"Sí","No")</x:f>
        <x:v>#REF!</x:v>
      </x:c>
      <x:c r="H54" s="165" t="e">
        <x:f>IF(Matriz[[#This Row],[Cat]]="0",0,IF(Matriz[[#This Row],[Par]]=0,1,LEN(Matriz[[#This Row],[EDT]])-LEN(SUBSTITUTE(Matriz[[#This Row],[EDT]],".",""))))</x:f>
        <x:v>#NAME?</x:v>
      </x:c>
      <x:c r="I54" s="13" t="s">
        <x:v>151</x:v>
      </x:c>
      <x:c r="M54" s="13" t="s">
        <x:v>120</x:v>
      </x:c>
      <x:c r="N54" s="13" t="s">
        <x:v>126</x:v>
      </x:c>
      <x:c r="O54" s="165">
        <x:v>1</x:v>
      </x:c>
      <x:c r="R54" s="13">
        <x:v>6</x:v>
      </x:c>
      <x:c r="S54" s="13" t="s">
        <x:v>57</x:v>
      </x:c>
      <x:c r="X54" s="284"/>
      <x:c r="Y54" s="285"/>
      <x:c r="Z54" s="284"/>
      <x:c r="AA54" s="13"/>
      <x:c r="AB54" s="286"/>
    </x:row>
    <x:row r="55" ht="33.75">
      <x:c r="A55" s="290" t="e">
        <x:f>_xlfn.XLOOKUP(Matriz[[#This Row],[Categoría]],Categoría[Categoría],Categoría[Cat],"NA",0)</x:f>
        <x:v>#NAME?</x:v>
      </x:c>
      <x:c r="B55" s="165" t="s">
        <x:v>119</x:v>
      </x:c>
      <x:c r="C55" s="288" t="e">
        <x:f>_xlfn.XLOOKUP(Matriz[[#This Row],[Parámetro]],Parámetro[Parámetro],Parámetro[Par],0,0)</x:f>
        <x:v>#NAME?</x:v>
      </x:c>
      <x:c r="D55" s="165" t="s">
        <x:v>152</x:v>
      </x:c>
      <x:c r="E55" s="165" t="e">
        <x:f>Matriz[[#This Row],[Cat]]&amp;IF(Matriz[[#This Row],[Par]]=0,"","."&amp;Matriz[[#This Row],[Par]]&amp;"."&amp;TEXT(COUNTIFS(A$2:A55,Matriz[[#This Row],[Cat]],C$2:C55,Matriz[[#This Row],[Par]]),"000"))</x:f>
        <x:v>#NAME?</x:v>
      </x:c>
      <x:c r="F55" s="289" t="e">
        <x:f>IF(LEN(Matriz[[#This Row],[EDT]])=1,COUNTIF(Matriz[EDT],"?????????*"),IF(LEN(Matriz[[#This Row],[EDT]])=2,COUNTIF(Matriz[EDT],Matriz[[#This Row],[Cat]]&amp;"*")-1,0))</x:f>
        <x:v>#NAME?</x:v>
      </x:c>
      <x:c r="G55" s="165" t="e">
        <x:f>IF(Matriz[[#This Row],['# reque-rimientos]]&gt;0,"Sí","No")</x:f>
        <x:v>#REF!</x:v>
      </x:c>
      <x:c r="H55" s="165" t="e">
        <x:f>IF(Matriz[[#This Row],[Cat]]="0",0,IF(Matriz[[#This Row],[Par]]=0,1,LEN(Matriz[[#This Row],[EDT]])-LEN(SUBSTITUTE(Matriz[[#This Row],[EDT]],".",""))))</x:f>
        <x:v>#NAME?</x:v>
      </x:c>
      <x:c r="I55" s="165" t="s">
        <x:v>153</x:v>
      </x:c>
      <x:c r="J55" s="165"/>
      <x:c r="K55" s="291" t="s">
        <x:v>154</x:v>
      </x:c>
      <x:c r="L55" s="291"/>
      <x:c r="M55" s="165" t="s">
        <x:v>120</x:v>
      </x:c>
      <x:c r="N55" s="165"/>
      <x:c r="O55" s="165">
        <x:v>1</x:v>
      </x:c>
      <x:c r="P55" s="13" t="s">
        <x:v>37</x:v>
      </x:c>
      <x:c r="R55" s="13">
        <x:v>8</x:v>
      </x:c>
      <x:c r="S55" s="13" t="s">
        <x:v>155</x:v>
      </x:c>
      <x:c r="T55" s="13" t="s">
        <x:v>156</x:v>
      </x:c>
      <x:c r="U55" s="13" t="s">
        <x:v>37</x:v>
      </x:c>
      <x:c r="W55" s="13" t="s">
        <x:v>157</x:v>
      </x:c>
      <x:c r="X55" s="284"/>
      <x:c r="Y55" s="285"/>
      <x:c r="Z55" s="284"/>
      <x:c r="AA55" s="13"/>
      <x:c r="AB55" s="286"/>
    </x:row>
    <x:row r="56" ht="33.75">
      <x:c r="A56" s="290" t="e">
        <x:f>_xlfn.XLOOKUP(Matriz[[#This Row],[Categoría]],Categoría[Categoría],Categoría[Cat],"NA",0)</x:f>
        <x:v>#NAME?</x:v>
      </x:c>
      <x:c r="B56" s="165" t="s">
        <x:v>119</x:v>
      </x:c>
      <x:c r="C56" s="288" t="e">
        <x:f>_xlfn.XLOOKUP(Matriz[[#This Row],[Parámetro]],Parámetro[Parámetro],Parámetro[Par],0,0)</x:f>
        <x:v>#NAME?</x:v>
      </x:c>
      <x:c r="D56" s="165" t="s">
        <x:v>152</x:v>
      </x:c>
      <x:c r="E56" s="165" t="e">
        <x:f>Matriz[[#This Row],[Cat]]&amp;IF(Matriz[[#This Row],[Par]]=0,"","."&amp;Matriz[[#This Row],[Par]]&amp;"."&amp;TEXT(COUNTIFS(A$2:A56,Matriz[[#This Row],[Cat]],C$2:C56,Matriz[[#This Row],[Par]]),"000"))</x:f>
        <x:v>#NAME?</x:v>
      </x:c>
      <x:c r="F56" s="289" t="e">
        <x:f>IF(LEN(Matriz[[#This Row],[EDT]])=1,COUNTIF(Matriz[EDT],"?????????*"),IF(LEN(Matriz[[#This Row],[EDT]])=2,COUNTIF(Matriz[EDT],Matriz[[#This Row],[Cat]]&amp;"*")-1,0))</x:f>
        <x:v>#NAME?</x:v>
      </x:c>
      <x:c r="G56" s="165" t="e">
        <x:f>IF(Matriz[[#This Row],['# reque-rimientos]]&gt;0,"Sí","No")</x:f>
        <x:v>#REF!</x:v>
      </x:c>
      <x:c r="H56" s="165" t="e">
        <x:f>IF(Matriz[[#This Row],[Cat]]="0",0,IF(Matriz[[#This Row],[Par]]=0,1,LEN(Matriz[[#This Row],[EDT]])-LEN(SUBSTITUTE(Matriz[[#This Row],[EDT]],".",""))))</x:f>
        <x:v>#NAME?</x:v>
      </x:c>
      <x:c r="I56" s="64" t="s">
        <x:v>158</x:v>
      </x:c>
      <x:c r="J56" s="168" t="s">
        <x:v>105</x:v>
      </x:c>
      <x:c r="K56" s="291" t="s">
        <x:v>159</x:v>
      </x:c>
      <x:c r="L56" s="291"/>
      <x:c r="M56" s="13" t="s">
        <x:v>120</x:v>
      </x:c>
      <x:c r="N56" s="165" t="str">
        <x:f>Glosario!F55</x:f>
        <x:v>Período desde colocación del Pedido hasta que el software está técnicamente listo (instalado, configurado, datos migrados y accesos creados). </x:v>
      </x:c>
      <x:c r="O56" s="165">
        <x:v>1</x:v>
      </x:c>
      <x:c r="R56" s="13">
        <x:v>9</x:v>
      </x:c>
      <x:c r="S56" s="13" t="s">
        <x:v>108</x:v>
      </x:c>
      <x:c r="T56" s="13" t="s">
        <x:v>109</x:v>
      </x:c>
      <x:c r="U56" s="13">
        <x:v>6</x:v>
      </x:c>
      <x:c r="W56" s="13" t="s">
        <x:v>160</x:v>
      </x:c>
      <x:c r="X56" s="284"/>
      <x:c r="Y56" s="285"/>
      <x:c r="Z56" s="284"/>
      <x:c r="AA56" s="13"/>
      <x:c r="AB56" s="286"/>
    </x:row>
    <x:row r="57" ht="33.75">
      <x:c r="A57" s="290" t="e">
        <x:f>_xlfn.XLOOKUP(Matriz[[#This Row],[Categoría]],Categoría[Categoría],Categoría[Cat],"NA",0)</x:f>
        <x:v>#NAME?</x:v>
      </x:c>
      <x:c r="B57" s="165" t="s">
        <x:v>119</x:v>
      </x:c>
      <x:c r="C57" s="288" t="e">
        <x:f>_xlfn.XLOOKUP(Matriz[[#This Row],[Parámetro]],Parámetro[Parámetro],Parámetro[Par],0,0)</x:f>
        <x:v>#NAME?</x:v>
      </x:c>
      <x:c r="D57" s="165" t="s">
        <x:v>152</x:v>
      </x:c>
      <x:c r="E57" s="165" t="e">
        <x:f>Matriz[[#This Row],[Cat]]&amp;IF(Matriz[[#This Row],[Par]]=0,"","."&amp;Matriz[[#This Row],[Par]]&amp;"."&amp;TEXT(COUNTIFS(A$2:A57,Matriz[[#This Row],[Cat]],C$2:C57,Matriz[[#This Row],[Par]]),"000"))</x:f>
        <x:v>#NAME?</x:v>
      </x:c>
      <x:c r="F57" s="289" t="e">
        <x:f>IF(LEN(Matriz[[#This Row],[EDT]])=1,COUNTIF(Matriz[EDT],"?????????*"),IF(LEN(Matriz[[#This Row],[EDT]])=2,COUNTIF(Matriz[EDT],Matriz[[#This Row],[Cat]]&amp;"*")-1,0))</x:f>
        <x:v>#NAME?</x:v>
      </x:c>
      <x:c r="G57" s="165" t="e">
        <x:f>IF(Matriz[[#This Row],['# reque-rimientos]]&gt;0,"Sí","No")</x:f>
        <x:v>#REF!</x:v>
      </x:c>
      <x:c r="H57" s="165" t="e">
        <x:f>IF(Matriz[[#This Row],[Cat]]="0",0,IF(Matriz[[#This Row],[Par]]=0,1,LEN(Matriz[[#This Row],[EDT]])-LEN(SUBSTITUTE(Matriz[[#This Row],[EDT]],".",""))))</x:f>
        <x:v>#NAME?</x:v>
      </x:c>
      <x:c r="I57" s="64" t="s">
        <x:v>161</x:v>
      </x:c>
      <x:c r="J57" s="13" t="s">
        <x:v>162</x:v>
      </x:c>
      <x:c r="M57" s="13" t="s">
        <x:v>120</x:v>
      </x:c>
      <x:c r="N57" s="13" t="s">
        <x:v>163</x:v>
      </x:c>
      <x:c r="O57" s="165">
        <x:v>1</x:v>
      </x:c>
      <x:c r="R57" s="13">
        <x:v>8</x:v>
      </x:c>
      <x:c r="S57" s="13" t="s">
        <x:v>108</x:v>
      </x:c>
      <x:c r="T57" s="13" t="s">
        <x:v>109</x:v>
      </x:c>
      <x:c r="U57" s="13">
        <x:v>4</x:v>
      </x:c>
      <x:c r="X57" s="284"/>
      <x:c r="Y57" s="285"/>
      <x:c r="Z57" s="284"/>
      <x:c r="AA57" s="13"/>
      <x:c r="AB57" s="286"/>
    </x:row>
    <x:row r="58" ht="78.75">
      <x:c r="A58" s="290" t="e">
        <x:f>_xlfn.XLOOKUP(Matriz[[#This Row],[Categoría]],Categoría[Categoría],Categoría[Cat],"NA",0)</x:f>
        <x:v>#NAME?</x:v>
      </x:c>
      <x:c r="B58" s="165" t="s">
        <x:v>119</x:v>
      </x:c>
      <x:c r="C58" s="288" t="e">
        <x:f>_xlfn.XLOOKUP(Matriz[[#This Row],[Parámetro]],Parámetro[Parámetro],Parámetro[Par],0,0)</x:f>
        <x:v>#NAME?</x:v>
      </x:c>
      <x:c r="D58" s="165" t="s">
        <x:v>152</x:v>
      </x:c>
      <x:c r="E58" s="165" t="e">
        <x:f>Matriz[[#This Row],[Cat]]&amp;IF(Matriz[[#This Row],[Par]]=0,"","."&amp;Matriz[[#This Row],[Par]]&amp;"."&amp;TEXT(COUNTIFS(A$2:A58,Matriz[[#This Row],[Cat]],C$2:C58,Matriz[[#This Row],[Par]]),"000"))</x:f>
        <x:v>#NAME?</x:v>
      </x:c>
      <x:c r="F58" s="289" t="e">
        <x:f>IF(LEN(Matriz[[#This Row],[EDT]])=1,COUNTIF(Matriz[EDT],"?????????*"),IF(LEN(Matriz[[#This Row],[EDT]])=2,COUNTIF(Matriz[EDT],Matriz[[#This Row],[Cat]]&amp;"*")-1,0))</x:f>
        <x:v>#NAME?</x:v>
      </x:c>
      <x:c r="G58" s="165" t="e">
        <x:f>IF(Matriz[[#This Row],['# reque-rimientos]]&gt;0,"Sí","No")</x:f>
        <x:v>#REF!</x:v>
      </x:c>
      <x:c r="H58" s="165" t="e">
        <x:f>IF(Matriz[[#This Row],[Cat]]="0",0,IF(Matriz[[#This Row],[Par]]=0,1,LEN(Matriz[[#This Row],[EDT]])-LEN(SUBSTITUTE(Matriz[[#This Row],[EDT]],".",""))))</x:f>
        <x:v>#NAME?</x:v>
      </x:c>
      <x:c r="I58" s="82" t="s">
        <x:v>164</x:v>
      </x:c>
      <x:c r="J58" s="13" t="s">
        <x:v>142</x:v>
      </x:c>
      <x:c r="K58" s="291" t="s">
        <x:v>165</x:v>
      </x:c>
      <x:c r="L58" s="291"/>
      <x:c r="M58" s="13" t="s">
        <x:v>120</x:v>
      </x:c>
      <x:c r="N58" s="165" t="s">
        <x:v>166</x:v>
      </x:c>
      <x:c r="O58" s="165">
        <x:v>1</x:v>
      </x:c>
      <x:c r="R58" s="13">
        <x:v>9</x:v>
      </x:c>
      <x:c r="S58" s="13" t="s">
        <x:v>67</x:v>
      </x:c>
      <x:c r="T58" s="13" t="s">
        <x:v>39</x:v>
      </x:c>
      <x:c r="X58" s="284"/>
      <x:c r="Y58" s="285"/>
      <x:c r="Z58" s="284"/>
      <x:c r="AA58" s="13"/>
      <x:c r="AB58" s="286"/>
    </x:row>
    <x:row r="59">
      <x:c r="A59" s="290" t="e">
        <x:f>_xlfn.XLOOKUP(Matriz[[#This Row],[Categoría]],Categoría[Categoría],Categoría[Cat],"NA",0)</x:f>
        <x:v>#NAME?</x:v>
      </x:c>
      <x:c r="B59" s="165" t="s">
        <x:v>119</x:v>
      </x:c>
      <x:c r="C59" s="288" t="e">
        <x:f>_xlfn.XLOOKUP(Matriz[[#This Row],[Parámetro]],Parámetro[Parámetro],Parámetro[Par],0,0)</x:f>
        <x:v>#NAME?</x:v>
      </x:c>
      <x:c r="D59" s="165" t="s">
        <x:v>152</x:v>
      </x:c>
      <x:c r="E59" s="165" t="e">
        <x:f>Matriz[[#This Row],[Cat]]&amp;IF(Matriz[[#This Row],[Par]]=0,"","."&amp;Matriz[[#This Row],[Par]]&amp;"."&amp;TEXT(COUNTIFS(A$2:A59,Matriz[[#This Row],[Cat]],C$2:C59,Matriz[[#This Row],[Par]]),"000"))</x:f>
        <x:v>#NAME?</x:v>
      </x:c>
      <x:c r="F59" s="289" t="e">
        <x:f>IF(LEN(Matriz[[#This Row],[EDT]])=1,COUNTIF(Matriz[EDT],"?????????*"),IF(LEN(Matriz[[#This Row],[EDT]])=2,COUNTIF(Matriz[EDT],Matriz[[#This Row],[Cat]]&amp;"*")-1,0))</x:f>
        <x:v>#NAME?</x:v>
      </x:c>
      <x:c r="G59" s="165" t="e">
        <x:f>IF(Matriz[[#This Row],['# reque-rimientos]]&gt;0,"Sí","No")</x:f>
        <x:v>#REF!</x:v>
      </x:c>
      <x:c r="H59" s="165" t="e">
        <x:f>IF(Matriz[[#This Row],[Cat]]="0",0,IF(Matriz[[#This Row],[Par]]=0,1,LEN(Matriz[[#This Row],[EDT]])-LEN(SUBSTITUTE(Matriz[[#This Row],[EDT]],".",""))))</x:f>
        <x:v>#NAME?</x:v>
      </x:c>
      <x:c r="I59" s="64" t="s">
        <x:v>167</x:v>
      </x:c>
      <x:c r="J59" s="13" t="s">
        <x:v>142</x:v>
      </x:c>
      <x:c r="M59" s="13" t="s">
        <x:v>120</x:v>
      </x:c>
      <x:c r="O59" s="165">
        <x:v>1</x:v>
      </x:c>
      <x:c r="R59" s="13">
        <x:v>9</x:v>
      </x:c>
      <x:c r="S59" s="13" t="s">
        <x:v>67</x:v>
      </x:c>
      <x:c r="T59" s="13" t="s">
        <x:v>39</x:v>
      </x:c>
      <x:c r="U59" s="13">
        <x:v>50</x:v>
      </x:c>
      <x:c r="X59" s="284"/>
      <x:c r="Y59" s="285"/>
      <x:c r="Z59" s="284"/>
      <x:c r="AA59" s="13"/>
      <x:c r="AB59" s="286"/>
    </x:row>
    <x:row r="60" ht="56.25">
      <x:c r="A60" s="290" t="e">
        <x:f>_xlfn.XLOOKUP(Matriz[[#This Row],[Categoría]],Categoría[Categoría],Categoría[Cat],"NA",0)</x:f>
        <x:v>#NAME?</x:v>
      </x:c>
      <x:c r="B60" s="165" t="s">
        <x:v>119</x:v>
      </x:c>
      <x:c r="C60" s="288" t="e">
        <x:f>_xlfn.XLOOKUP(Matriz[[#This Row],[Parámetro]],Parámetro[Parámetro],Parámetro[Par],0,0)</x:f>
        <x:v>#NAME?</x:v>
      </x:c>
      <x:c r="D60" s="165" t="s">
        <x:v>152</x:v>
      </x:c>
      <x:c r="E60" s="165" t="e">
        <x:f>Matriz[[#This Row],[Cat]]&amp;IF(Matriz[[#This Row],[Par]]=0,"","."&amp;Matriz[[#This Row],[Par]]&amp;"."&amp;TEXT(COUNTIFS(A$2:A60,Matriz[[#This Row],[Cat]],C$2:C60,Matriz[[#This Row],[Par]]),"000"))</x:f>
        <x:v>#NAME?</x:v>
      </x:c>
      <x:c r="F60" s="289" t="e">
        <x:f>IF(LEN(Matriz[[#This Row],[EDT]])=1,COUNTIF(Matriz[EDT],"?????????*"),IF(LEN(Matriz[[#This Row],[EDT]])=2,COUNTIF(Matriz[EDT],Matriz[[#This Row],[Cat]]&amp;"*")-1,0))</x:f>
        <x:v>#NAME?</x:v>
      </x:c>
      <x:c r="G60" s="165" t="e">
        <x:f>IF(Matriz[[#This Row],['# reque-rimientos]]&gt;0,"Sí","No")</x:f>
        <x:v>#REF!</x:v>
      </x:c>
      <x:c r="H60" s="165" t="e">
        <x:f>IF(Matriz[[#This Row],[Cat]]="0",0,IF(Matriz[[#This Row],[Par]]=0,1,LEN(Matriz[[#This Row],[EDT]])-LEN(SUBSTITUTE(Matriz[[#This Row],[EDT]],".",""))))</x:f>
        <x:v>#NAME?</x:v>
      </x:c>
      <x:c r="I60" s="64" t="s">
        <x:v>168</x:v>
      </x:c>
      <x:c r="J60" s="13" t="s">
        <x:v>134</x:v>
      </x:c>
      <x:c r="K60" s="291"/>
      <x:c r="L60" s="291"/>
      <x:c r="M60" s="13" t="s">
        <x:v>120</x:v>
      </x:c>
      <x:c r="N60" s="165" t="s">
        <x:v>169</x:v>
      </x:c>
      <x:c r="O60" s="165">
        <x:v>1</x:v>
      </x:c>
      <x:c r="R60" s="13">
        <x:v>9</x:v>
      </x:c>
      <x:c r="S60" s="13" t="s">
        <x:v>67</x:v>
      </x:c>
      <x:c r="T60" s="13" t="s">
        <x:v>39</x:v>
      </x:c>
      <x:c r="U60" s="294">
        <x:v>0.75</x:v>
      </x:c>
      <x:c r="X60" s="284"/>
      <x:c r="Y60" s="285"/>
      <x:c r="Z60" s="284"/>
      <x:c r="AA60" s="13"/>
      <x:c r="AB60" s="286"/>
    </x:row>
    <x:row r="61">
      <x:c r="A61" s="290" t="e">
        <x:f>_xlfn.XLOOKUP(Matriz[[#This Row],[Categoría]],Categoría[Categoría],Categoría[Cat],"NA",0)</x:f>
        <x:v>#NAME?</x:v>
      </x:c>
      <x:c r="B61" s="165" t="s">
        <x:v>119</x:v>
      </x:c>
      <x:c r="C61" s="288" t="e">
        <x:f>_xlfn.XLOOKUP(Matriz[[#This Row],[Parámetro]],Parámetro[Parámetro],Parámetro[Par],0,0)</x:f>
        <x:v>#NAME?</x:v>
      </x:c>
      <x:c r="D61" s="165" t="s">
        <x:v>152</x:v>
      </x:c>
      <x:c r="E61" s="165" t="e">
        <x:f>Matriz[[#This Row],[Cat]]&amp;IF(Matriz[[#This Row],[Par]]=0,"","."&amp;Matriz[[#This Row],[Par]]&amp;"."&amp;TEXT(COUNTIFS(A$2:A61,Matriz[[#This Row],[Cat]],C$2:C61,Matriz[[#This Row],[Par]]),"000"))</x:f>
        <x:v>#NAME?</x:v>
      </x:c>
      <x:c r="F61" s="289" t="e">
        <x:f>IF(LEN(Matriz[[#This Row],[EDT]])=1,COUNTIF(Matriz[EDT],"?????????*"),IF(LEN(Matriz[[#This Row],[EDT]])=2,COUNTIF(Matriz[EDT],Matriz[[#This Row],[Cat]]&amp;"*")-1,0))</x:f>
        <x:v>#NAME?</x:v>
      </x:c>
      <x:c r="G61" s="165" t="e">
        <x:f>IF(Matriz[[#This Row],['# reque-rimientos]]&gt;0,"Sí","No")</x:f>
        <x:v>#REF!</x:v>
      </x:c>
      <x:c r="H61" s="165" t="e">
        <x:f>IF(Matriz[[#This Row],[Cat]]="0",0,IF(Matriz[[#This Row],[Par]]=0,1,LEN(Matriz[[#This Row],[EDT]])-LEN(SUBSTITUTE(Matriz[[#This Row],[EDT]],".",""))))</x:f>
        <x:v>#NAME?</x:v>
      </x:c>
      <x:c r="I61" s="165" t="s">
        <x:v>170</x:v>
      </x:c>
      <x:c r="J61" s="165" t="s">
        <x:v>171</x:v>
      </x:c>
      <x:c r="K61" s="291" t="s">
        <x:v>172</x:v>
      </x:c>
      <x:c r="L61" s="291"/>
      <x:c r="M61" s="165" t="s">
        <x:v>30</x:v>
      </x:c>
      <x:c r="N61" s="165"/>
      <x:c r="O61" s="165">
        <x:v>1</x:v>
      </x:c>
      <x:c r="R61" s="13">
        <x:v>8</x:v>
      </x:c>
      <x:c r="S61" s="13" t="s">
        <x:v>155</x:v>
      </x:c>
      <x:c r="T61" s="13" t="s">
        <x:v>39</x:v>
      </x:c>
      <x:c r="U61" s="13" t="s">
        <x:v>37</x:v>
      </x:c>
      <x:c r="X61" s="284"/>
      <x:c r="Y61" s="285"/>
      <x:c r="Z61" s="284"/>
      <x:c r="AA61" s="13"/>
      <x:c r="AB61" s="286"/>
    </x:row>
    <x:row r="62">
      <x:c r="A62" s="290" t="e">
        <x:f>_xlfn.XLOOKUP(Matriz[[#This Row],[Categoría]],Categoría[Categoría],Categoría[Cat],"NA",0)</x:f>
        <x:v>#NAME?</x:v>
      </x:c>
      <x:c r="B62" s="165" t="s">
        <x:v>119</x:v>
      </x:c>
      <x:c r="C62" s="288" t="e">
        <x:f>_xlfn.XLOOKUP(Matriz[[#This Row],[Parámetro]],Parámetro[Parámetro],Parámetro[Par],0,0)</x:f>
        <x:v>#NAME?</x:v>
      </x:c>
      <x:c r="D62" s="165" t="s">
        <x:v>152</x:v>
      </x:c>
      <x:c r="E62" s="165" t="e">
        <x:f>Matriz[[#This Row],[Cat]]&amp;IF(Matriz[[#This Row],[Par]]=0,"","."&amp;Matriz[[#This Row],[Par]]&amp;"."&amp;TEXT(COUNTIFS(A$2:A62,Matriz[[#This Row],[Cat]],C$2:C62,Matriz[[#This Row],[Par]]),"000"))</x:f>
        <x:v>#NAME?</x:v>
      </x:c>
      <x:c r="F62" s="289" t="e">
        <x:f>IF(LEN(Matriz[[#This Row],[EDT]])=1,COUNTIF(Matriz[EDT],"?????????*"),IF(LEN(Matriz[[#This Row],[EDT]])=2,COUNTIF(Matriz[EDT],Matriz[[#This Row],[Cat]]&amp;"*")-1,0))</x:f>
        <x:v>#NAME?</x:v>
      </x:c>
      <x:c r="G62" s="165" t="e">
        <x:f>IF(Matriz[[#This Row],['# reque-rimientos]]&gt;0,"Sí","No")</x:f>
        <x:v>#REF!</x:v>
      </x:c>
      <x:c r="H62" s="165" t="e">
        <x:f>IF(Matriz[[#This Row],[Cat]]="0",0,IF(Matriz[[#This Row],[Par]]=0,1,LEN(Matriz[[#This Row],[EDT]])-LEN(SUBSTITUTE(Matriz[[#This Row],[EDT]],".",""))))</x:f>
        <x:v>#NAME?</x:v>
      </x:c>
      <x:c r="I62" s="168" t="s">
        <x:v>173</x:v>
      </x:c>
      <x:c r="J62" s="168" t="s">
        <x:v>66</x:v>
      </x:c>
      <x:c r="M62" s="13" t="s">
        <x:v>120</x:v>
      </x:c>
      <x:c r="O62" s="165">
        <x:v>1</x:v>
      </x:c>
      <x:c r="R62" s="13">
        <x:v>7</x:v>
      </x:c>
      <x:c r="S62" s="13" t="s">
        <x:v>67</x:v>
      </x:c>
      <x:c r="T62" s="13" t="s">
        <x:v>39</x:v>
      </x:c>
      <x:c r="U62" s="13">
        <x:v>10</x:v>
      </x:c>
      <x:c r="X62" s="284"/>
      <x:c r="Y62" s="285"/>
      <x:c r="Z62" s="284"/>
      <x:c r="AA62" s="13"/>
      <x:c r="AB62" s="286"/>
    </x:row>
    <x:row r="63">
      <x:c r="A63" s="290" t="e">
        <x:f>_xlfn.XLOOKUP(Matriz[[#This Row],[Categoría]],Categoría[Categoría],Categoría[Cat],"NA",0)</x:f>
        <x:v>#NAME?</x:v>
      </x:c>
      <x:c r="B63" s="165" t="s">
        <x:v>119</x:v>
      </x:c>
      <x:c r="C63" s="288" t="e">
        <x:f>_xlfn.XLOOKUP(Matriz[[#This Row],[Parámetro]],Parámetro[Parámetro],Parámetro[Par],0,0)</x:f>
        <x:v>#NAME?</x:v>
      </x:c>
      <x:c r="D63" s="165" t="s">
        <x:v>152</x:v>
      </x:c>
      <x:c r="E63" s="165" t="e">
        <x:f>Matriz[[#This Row],[Cat]]&amp;IF(Matriz[[#This Row],[Par]]=0,"","."&amp;Matriz[[#This Row],[Par]]&amp;"."&amp;TEXT(COUNTIFS(A$2:A63,Matriz[[#This Row],[Cat]],C$2:C63,Matriz[[#This Row],[Par]]),"000"))</x:f>
        <x:v>#NAME?</x:v>
      </x:c>
      <x:c r="F63" s="289" t="e">
        <x:f>IF(LEN(Matriz[[#This Row],[EDT]])=1,COUNTIF(Matriz[EDT],"?????????*"),IF(LEN(Matriz[[#This Row],[EDT]])=2,COUNTIF(Matriz[EDT],Matriz[[#This Row],[Cat]]&amp;"*")-1,0))</x:f>
        <x:v>#NAME?</x:v>
      </x:c>
      <x:c r="G63" s="165" t="e">
        <x:f>IF(Matriz[[#This Row],['# reque-rimientos]]&gt;0,"Sí","No")</x:f>
        <x:v>#REF!</x:v>
      </x:c>
      <x:c r="H63" s="165" t="e">
        <x:f>IF(Matriz[[#This Row],[Cat]]="0",0,IF(Matriz[[#This Row],[Par]]=0,1,LEN(Matriz[[#This Row],[EDT]])-LEN(SUBSTITUTE(Matriz[[#This Row],[EDT]],".",""))))</x:f>
        <x:v>#NAME?</x:v>
      </x:c>
      <x:c r="I63" s="168" t="s">
        <x:v>174</x:v>
      </x:c>
      <x:c r="J63" s="168" t="s">
        <x:v>171</x:v>
      </x:c>
      <x:c r="M63" s="13" t="s">
        <x:v>30</x:v>
      </x:c>
      <x:c r="O63" s="165">
        <x:v>1</x:v>
      </x:c>
      <x:c r="R63" s="13">
        <x:v>8</x:v>
      </x:c>
      <x:c r="S63" s="13" t="s">
        <x:v>155</x:v>
      </x:c>
      <x:c r="X63" s="284"/>
      <x:c r="Y63" s="285"/>
      <x:c r="Z63" s="284"/>
      <x:c r="AA63" s="13"/>
      <x:c r="AB63" s="286"/>
    </x:row>
    <x:row r="64" hidden="1">
      <x:c r="A64" s="290" t="e">
        <x:f>_xlfn.XLOOKUP(Matriz[[#This Row],[Categoría]],Categoría[Categoría],Categoría[Cat],"NA",0)</x:f>
        <x:v>#NAME?</x:v>
      </x:c>
      <x:c r="B64" s="165" t="s">
        <x:v>119</x:v>
      </x:c>
      <x:c r="C64" s="288" t="e">
        <x:f>_xlfn.XLOOKUP(Matriz[[#This Row],[Parámetro]],Parámetro[Parámetro],Parámetro[Par],0,0)</x:f>
        <x:v>#NAME?</x:v>
      </x:c>
      <x:c r="D64" s="165" t="s">
        <x:v>152</x:v>
      </x:c>
      <x:c r="E64" s="165" t="e">
        <x:f>Matriz[[#This Row],[Cat]]&amp;IF(Matriz[[#This Row],[Par]]=0,"","."&amp;Matriz[[#This Row],[Par]]&amp;"."&amp;TEXT(COUNTIFS(A$2:A64,Matriz[[#This Row],[Cat]],C$2:C64,Matriz[[#This Row],[Par]]),"000"))</x:f>
        <x:v>#NAME?</x:v>
      </x:c>
      <x:c r="F64" s="289" t="e">
        <x:f>IF(LEN(Matriz[[#This Row],[EDT]])=1,COUNTIF(Matriz[EDT],"?????????*"),IF(LEN(Matriz[[#This Row],[EDT]])=2,COUNTIF(Matriz[EDT],Matriz[[#This Row],[Cat]]&amp;"*")-1,0))</x:f>
        <x:v>#NAME?</x:v>
      </x:c>
      <x:c r="G64" s="165" t="e">
        <x:f>IF(Matriz[[#This Row],['# reque-rimientos]]&gt;0,"Sí","No")</x:f>
        <x:v>#REF!</x:v>
      </x:c>
      <x:c r="H64" s="165" t="e">
        <x:f>IF(Matriz[[#This Row],[Cat]]="0",0,IF(Matriz[[#This Row],[Par]]=0,1,LEN(Matriz[[#This Row],[EDT]])-LEN(SUBSTITUTE(Matriz[[#This Row],[EDT]],".",""))))</x:f>
        <x:v>#NAME?</x:v>
      </x:c>
      <x:c r="I64" s="168" t="s">
        <x:v>175</x:v>
      </x:c>
      <x:c r="J64" s="168" t="s">
        <x:v>171</x:v>
      </x:c>
      <x:c r="M64" s="13" t="s">
        <x:v>30</x:v>
      </x:c>
      <x:c r="O64" s="165">
        <x:v>3</x:v>
      </x:c>
      <x:c r="R64" s="13">
        <x:v>7</x:v>
      </x:c>
      <x:c r="S64" s="13" t="s">
        <x:v>155</x:v>
      </x:c>
      <x:c r="X64" s="284"/>
      <x:c r="Y64" s="285"/>
      <x:c r="Z64" s="284"/>
      <x:c r="AA64" s="13"/>
      <x:c r="AB64" s="286"/>
    </x:row>
    <x:row r="65">
      <x:c r="A65" s="290" t="e">
        <x:f>_xlfn.XLOOKUP(Matriz[[#This Row],[Categoría]],Categoría[Categoría],Categoría[Cat],"NA",0)</x:f>
        <x:v>#NAME?</x:v>
      </x:c>
      <x:c r="B65" s="165" t="s">
        <x:v>119</x:v>
      </x:c>
      <x:c r="C65" s="288" t="e">
        <x:f>_xlfn.XLOOKUP(Matriz[[#This Row],[Parámetro]],Parámetro[Parámetro],Parámetro[Par],0,0)</x:f>
        <x:v>#NAME?</x:v>
      </x:c>
      <x:c r="D65" s="165" t="s">
        <x:v>152</x:v>
      </x:c>
      <x:c r="E65" s="165" t="e">
        <x:f>Matriz[[#This Row],[Cat]]&amp;IF(Matriz[[#This Row],[Par]]=0,"","."&amp;Matriz[[#This Row],[Par]]&amp;"."&amp;TEXT(COUNTIFS(A$2:A65,Matriz[[#This Row],[Cat]],C$2:C65,Matriz[[#This Row],[Par]]),"000"))</x:f>
        <x:v>#NAME?</x:v>
      </x:c>
      <x:c r="F65" s="289" t="e">
        <x:f>IF(LEN(Matriz[[#This Row],[EDT]])=1,COUNTIF(Matriz[EDT],"?????????*"),IF(LEN(Matriz[[#This Row],[EDT]])=2,COUNTIF(Matriz[EDT],Matriz[[#This Row],[Cat]]&amp;"*")-1,0))</x:f>
        <x:v>#NAME?</x:v>
      </x:c>
      <x:c r="G65" s="165" t="e">
        <x:f>IF(Matriz[[#This Row],['# reque-rimientos]]&gt;0,"Sí","No")</x:f>
        <x:v>#REF!</x:v>
      </x:c>
      <x:c r="H65" s="165" t="e">
        <x:f>IF(Matriz[[#This Row],[Cat]]="0",0,IF(Matriz[[#This Row],[Par]]=0,1,LEN(Matriz[[#This Row],[EDT]])-LEN(SUBSTITUTE(Matriz[[#This Row],[EDT]],".",""))))</x:f>
        <x:v>#NAME?</x:v>
      </x:c>
      <x:c r="I65" s="168" t="s">
        <x:v>176</x:v>
      </x:c>
      <x:c r="J65" s="13" t="s">
        <x:v>171</x:v>
      </x:c>
      <x:c r="M65" s="13" t="s">
        <x:v>120</x:v>
      </x:c>
      <x:c r="N65" s="13" t="s">
        <x:v>177</x:v>
      </x:c>
      <x:c r="O65" s="165">
        <x:v>1</x:v>
      </x:c>
      <x:c r="R65" s="13">
        <x:v>7</x:v>
      </x:c>
      <x:c r="S65" s="13" t="s">
        <x:v>155</x:v>
      </x:c>
      <x:c r="X65" s="284"/>
      <x:c r="Y65" s="285"/>
      <x:c r="Z65" s="284"/>
      <x:c r="AA65" s="13"/>
      <x:c r="AB65" s="286"/>
    </x:row>
    <x:row r="66">
      <x:c r="A66" s="290" t="e">
        <x:f>_xlfn.XLOOKUP(Matriz[[#This Row],[Categoría]],Categoría[Categoría],Categoría[Cat],"NA",0)</x:f>
        <x:v>#NAME?</x:v>
      </x:c>
      <x:c r="B66" s="165" t="s">
        <x:v>119</x:v>
      </x:c>
      <x:c r="C66" s="288" t="e">
        <x:f>_xlfn.XLOOKUP(Matriz[[#This Row],[Parámetro]],Parámetro[Parámetro],Parámetro[Par],0,0)</x:f>
        <x:v>#NAME?</x:v>
      </x:c>
      <x:c r="D66" s="165" t="s">
        <x:v>152</x:v>
      </x:c>
      <x:c r="E66" s="165" t="e">
        <x:f>Matriz[[#This Row],[Cat]]&amp;IF(Matriz[[#This Row],[Par]]=0,"","."&amp;Matriz[[#This Row],[Par]]&amp;"."&amp;TEXT(COUNTIFS(A$2:A66,Matriz[[#This Row],[Cat]],C$2:C66,Matriz[[#This Row],[Par]]),"000"))</x:f>
        <x:v>#NAME?</x:v>
      </x:c>
      <x:c r="F66" s="289" t="e">
        <x:f>IF(LEN(Matriz[[#This Row],[EDT]])=1,COUNTIF(Matriz[EDT],"?????????*"),IF(LEN(Matriz[[#This Row],[EDT]])=2,COUNTIF(Matriz[EDT],Matriz[[#This Row],[Cat]]&amp;"*")-1,0))</x:f>
        <x:v>#NAME?</x:v>
      </x:c>
      <x:c r="G66" s="165" t="e">
        <x:f>IF(Matriz[[#This Row],['# reque-rimientos]]&gt;0,"Sí","No")</x:f>
        <x:v>#REF!</x:v>
      </x:c>
      <x:c r="H66" s="165" t="e">
        <x:f>IF(Matriz[[#This Row],[Cat]]="0",0,IF(Matriz[[#This Row],[Par]]=0,1,LEN(Matriz[[#This Row],[EDT]])-LEN(SUBSTITUTE(Matriz[[#This Row],[EDT]],".",""))))</x:f>
        <x:v>#NAME?</x:v>
      </x:c>
      <x:c r="I66" s="168" t="s">
        <x:v>178</x:v>
      </x:c>
      <x:c r="J66" s="13" t="s">
        <x:v>171</x:v>
      </x:c>
      <x:c r="M66" s="13" t="s">
        <x:v>120</x:v>
      </x:c>
      <x:c r="N66" s="13" t="s">
        <x:v>179</x:v>
      </x:c>
      <x:c r="O66" s="165">
        <x:v>1</x:v>
      </x:c>
      <x:c r="R66" s="13">
        <x:v>7</x:v>
      </x:c>
      <x:c r="S66" s="13" t="s">
        <x:v>155</x:v>
      </x:c>
      <x:c r="X66" s="284"/>
      <x:c r="Y66" s="285"/>
      <x:c r="Z66" s="284"/>
      <x:c r="AA66" s="13"/>
      <x:c r="AB66" s="286"/>
    </x:row>
    <x:row r="67" ht="45" hidden="1">
      <x:c r="A67" s="290" t="e">
        <x:f>_xlfn.XLOOKUP(Matriz[[#This Row],[Categoría]],Categoría[Categoría],Categoría[Cat],"NA",0)</x:f>
        <x:v>#NAME?</x:v>
      </x:c>
      <x:c r="B67" s="165" t="s">
        <x:v>119</x:v>
      </x:c>
      <x:c r="C67" s="288" t="e">
        <x:f>_xlfn.XLOOKUP(Matriz[[#This Row],[Parámetro]],Parámetro[Parámetro],Parámetro[Par],0,0)</x:f>
        <x:v>#NAME?</x:v>
      </x:c>
      <x:c r="D67" s="165" t="s">
        <x:v>180</x:v>
      </x:c>
      <x:c r="E67" s="165" t="e">
        <x:f>Matriz[[#This Row],[Cat]]&amp;IF(Matriz[[#This Row],[Par]]=0,"","."&amp;Matriz[[#This Row],[Par]]&amp;"."&amp;TEXT(COUNTIFS(A$2:A67,Matriz[[#This Row],[Cat]],C$2:C67,Matriz[[#This Row],[Par]]),"000"))</x:f>
        <x:v>#NAME?</x:v>
      </x:c>
      <x:c r="F67" s="289" t="e">
        <x:f>IF(LEN(Matriz[[#This Row],[EDT]])=1,COUNTIF(Matriz[EDT],"?????????*"),IF(LEN(Matriz[[#This Row],[EDT]])=2,COUNTIF(Matriz[EDT],Matriz[[#This Row],[Cat]]&amp;"*")-1,0))</x:f>
        <x:v>#NAME?</x:v>
      </x:c>
      <x:c r="G67" s="165" t="e">
        <x:f>IF(Matriz[[#This Row],['# reque-rimientos]]&gt;0,"Sí","No")</x:f>
        <x:v>#REF!</x:v>
      </x:c>
      <x:c r="H67" s="165" t="e">
        <x:f>IF(Matriz[[#This Row],[Cat]]="0",0,IF(Matriz[[#This Row],[Par]]=0,1,LEN(Matriz[[#This Row],[EDT]])-LEN(SUBSTITUTE(Matriz[[#This Row],[EDT]],".",""))))</x:f>
        <x:v>#NAME?</x:v>
      </x:c>
      <x:c r="I67" s="168" t="s">
        <x:v>181</x:v>
      </x:c>
      <x:c r="M67" s="13" t="s">
        <x:v>120</x:v>
      </x:c>
      <x:c r="N67" s="13" t="s">
        <x:v>182</x:v>
      </x:c>
      <x:c r="O67" s="165">
        <x:v>2</x:v>
      </x:c>
      <x:c r="R67" s="13">
        <x:v>7</x:v>
      </x:c>
      <x:c r="S67" s="13" t="s">
        <x:v>122</x:v>
      </x:c>
      <x:c r="X67" s="284"/>
      <x:c r="Y67" s="285"/>
      <x:c r="Z67" s="284"/>
      <x:c r="AA67" s="13"/>
      <x:c r="AB67" s="286"/>
    </x:row>
    <x:row r="68">
      <x:c r="A68" s="290" t="e">
        <x:f>_xlfn.XLOOKUP(Matriz[[#This Row],[Categoría]],Categoría[Categoría],Categoría[Cat],"NA",0)</x:f>
        <x:v>#NAME?</x:v>
      </x:c>
      <x:c r="B68" s="165" t="s">
        <x:v>119</x:v>
      </x:c>
      <x:c r="C68" s="288" t="e">
        <x:f>_xlfn.XLOOKUP(Matriz[[#This Row],[Parámetro]],Parámetro[Parámetro],Parámetro[Par],0,0)</x:f>
        <x:v>#NAME?</x:v>
      </x:c>
      <x:c r="D68" s="165" t="s">
        <x:v>180</x:v>
      </x:c>
      <x:c r="E68" s="165" t="e">
        <x:f>Matriz[[#This Row],[Cat]]&amp;IF(Matriz[[#This Row],[Par]]=0,"","."&amp;Matriz[[#This Row],[Par]]&amp;"."&amp;TEXT(COUNTIFS(A$2:A68,Matriz[[#This Row],[Cat]],C$2:C68,Matriz[[#This Row],[Par]]),"000"))</x:f>
        <x:v>#NAME?</x:v>
      </x:c>
      <x:c r="F68" s="289" t="e">
        <x:f>IF(LEN(Matriz[[#This Row],[EDT]])=1,COUNTIF(Matriz[EDT],"?????????*"),IF(LEN(Matriz[[#This Row],[EDT]])=2,COUNTIF(Matriz[EDT],Matriz[[#This Row],[Cat]]&amp;"*")-1,0))</x:f>
        <x:v>#NAME?</x:v>
      </x:c>
      <x:c r="G68" s="165" t="e">
        <x:f>IF(Matriz[[#This Row],['# reque-rimientos]]&gt;0,"Sí","No")</x:f>
        <x:v>#REF!</x:v>
      </x:c>
      <x:c r="H68" s="165" t="e">
        <x:f>IF(Matriz[[#This Row],[Cat]]="0",0,IF(Matriz[[#This Row],[Par]]=0,1,LEN(Matriz[[#This Row],[EDT]])-LEN(SUBSTITUTE(Matriz[[#This Row],[EDT]],".",""))))</x:f>
        <x:v>#NAME?</x:v>
      </x:c>
      <x:c r="I68" s="13" t="s">
        <x:v>183</x:v>
      </x:c>
      <x:c r="M68" s="13" t="s">
        <x:v>32</x:v>
      </x:c>
      <x:c r="N68" s="13" t="s">
        <x:v>184</x:v>
      </x:c>
      <x:c r="O68" s="165">
        <x:v>1</x:v>
      </x:c>
      <x:c r="R68" s="13">
        <x:v>7</x:v>
      </x:c>
      <x:c r="S68" s="13" t="s">
        <x:v>57</x:v>
      </x:c>
      <x:c r="X68" s="284"/>
      <x:c r="Y68" s="285"/>
      <x:c r="Z68" s="284"/>
      <x:c r="AA68" s="13"/>
      <x:c r="AB68" s="286"/>
    </x:row>
    <x:row r="69">
      <x:c r="A69" s="290" t="e">
        <x:f>_xlfn.XLOOKUP(Matriz[[#This Row],[Categoría]],Categoría[Categoría],Categoría[Cat],"NA",0)</x:f>
        <x:v>#NAME?</x:v>
      </x:c>
      <x:c r="B69" s="165" t="s">
        <x:v>119</x:v>
      </x:c>
      <x:c r="C69" s="288" t="e">
        <x:f>_xlfn.XLOOKUP(Matriz[[#This Row],[Parámetro]],Parámetro[Parámetro],Parámetro[Par],0,0)</x:f>
        <x:v>#NAME?</x:v>
      </x:c>
      <x:c r="D69" s="165" t="s">
        <x:v>180</x:v>
      </x:c>
      <x:c r="E69" s="165" t="e">
        <x:f>Matriz[[#This Row],[Cat]]&amp;IF(Matriz[[#This Row],[Par]]=0,"","."&amp;Matriz[[#This Row],[Par]]&amp;"."&amp;TEXT(COUNTIFS(A$2:A69,Matriz[[#This Row],[Cat]],C$2:C69,Matriz[[#This Row],[Par]]),"000"))</x:f>
        <x:v>#NAME?</x:v>
      </x:c>
      <x:c r="F69" s="289" t="e">
        <x:f>IF(LEN(Matriz[[#This Row],[EDT]])=1,COUNTIF(Matriz[EDT],"?????????*"),IF(LEN(Matriz[[#This Row],[EDT]])=2,COUNTIF(Matriz[EDT],Matriz[[#This Row],[Cat]]&amp;"*")-1,0))</x:f>
        <x:v>#NAME?</x:v>
      </x:c>
      <x:c r="G69" s="165" t="e">
        <x:f>IF(Matriz[[#This Row],['# reque-rimientos]]&gt;0,"Sí","No")</x:f>
        <x:v>#REF!</x:v>
      </x:c>
      <x:c r="H69" s="165" t="e">
        <x:f>IF(Matriz[[#This Row],[Cat]]="0",0,IF(Matriz[[#This Row],[Par]]=0,1,LEN(Matriz[[#This Row],[EDT]])-LEN(SUBSTITUTE(Matriz[[#This Row],[EDT]],".",""))))</x:f>
        <x:v>#NAME?</x:v>
      </x:c>
      <x:c r="I69" s="168" t="s">
        <x:v>185</x:v>
      </x:c>
      <x:c r="J69" s="13" t="s">
        <x:v>171</x:v>
      </x:c>
      <x:c r="M69" s="13" t="s">
        <x:v>30</x:v>
      </x:c>
      <x:c r="O69" s="165">
        <x:v>1</x:v>
      </x:c>
      <x:c r="R69" s="13">
        <x:v>7</x:v>
      </x:c>
      <x:c r="S69" s="13" t="s">
        <x:v>155</x:v>
      </x:c>
      <x:c r="X69" s="284"/>
      <x:c r="Y69" s="285"/>
      <x:c r="Z69" s="284"/>
      <x:c r="AA69" s="13"/>
      <x:c r="AB69" s="286"/>
    </x:row>
    <x:row r="70">
      <x:c r="A70" s="290" t="e">
        <x:f>_xlfn.XLOOKUP(Matriz[[#This Row],[Categoría]],Categoría[Categoría],Categoría[Cat],"NA",0)</x:f>
        <x:v>#NAME?</x:v>
      </x:c>
      <x:c r="B70" s="165" t="s">
        <x:v>119</x:v>
      </x:c>
      <x:c r="C70" s="288" t="e">
        <x:f>_xlfn.XLOOKUP(Matriz[[#This Row],[Parámetro]],Parámetro[Parámetro],Parámetro[Par],0,0)</x:f>
        <x:v>#NAME?</x:v>
      </x:c>
      <x:c r="D70" s="165" t="s">
        <x:v>180</x:v>
      </x:c>
      <x:c r="E70" s="165" t="e">
        <x:f>Matriz[[#This Row],[Cat]]&amp;IF(Matriz[[#This Row],[Par]]=0,"","."&amp;Matriz[[#This Row],[Par]]&amp;"."&amp;TEXT(COUNTIFS(A$2:A70,Matriz[[#This Row],[Cat]],C$2:C70,Matriz[[#This Row],[Par]]),"000"))</x:f>
        <x:v>#NAME?</x:v>
      </x:c>
      <x:c r="F70" s="289" t="e">
        <x:f>IF(LEN(Matriz[[#This Row],[EDT]])=1,COUNTIF(Matriz[EDT],"?????????*"),IF(LEN(Matriz[[#This Row],[EDT]])=2,COUNTIF(Matriz[EDT],Matriz[[#This Row],[Cat]]&amp;"*")-1,0))</x:f>
        <x:v>#NAME?</x:v>
      </x:c>
      <x:c r="G70" s="165" t="e">
        <x:f>IF(Matriz[[#This Row],['# reque-rimientos]]&gt;0,"Sí","No")</x:f>
        <x:v>#REF!</x:v>
      </x:c>
      <x:c r="H70" s="165" t="e">
        <x:f>IF(Matriz[[#This Row],[Cat]]="0",0,IF(Matriz[[#This Row],[Par]]=0,1,LEN(Matriz[[#This Row],[EDT]])-LEN(SUBSTITUTE(Matriz[[#This Row],[EDT]],".",""))))</x:f>
        <x:v>#NAME?</x:v>
      </x:c>
      <x:c r="I70" s="168" t="s">
        <x:v>186</x:v>
      </x:c>
      <x:c r="J70" s="13" t="s">
        <x:v>66</x:v>
      </x:c>
      <x:c r="K70" s="291"/>
      <x:c r="L70" s="291"/>
      <x:c r="M70" s="13" t="s">
        <x:v>120</x:v>
      </x:c>
      <x:c r="N70" s="13" t="s">
        <x:v>126</x:v>
      </x:c>
      <x:c r="O70" s="165">
        <x:v>1</x:v>
      </x:c>
      <x:c r="R70" s="13">
        <x:v>7</x:v>
      </x:c>
      <x:c r="S70" s="13" t="s">
        <x:v>108</x:v>
      </x:c>
      <x:c r="T70" s="13" t="s">
        <x:v>109</x:v>
      </x:c>
      <x:c r="X70" s="284"/>
      <x:c r="Y70" s="285"/>
      <x:c r="Z70" s="284"/>
      <x:c r="AA70" s="13"/>
      <x:c r="AB70" s="286"/>
    </x:row>
    <x:row r="71">
      <x:c r="A71" s="290" t="e">
        <x:f>_xlfn.XLOOKUP(Matriz[[#This Row],[Categoría]],Categoría[Categoría],Categoría[Cat],"NA",0)</x:f>
        <x:v>#NAME?</x:v>
      </x:c>
      <x:c r="B71" s="165" t="s">
        <x:v>119</x:v>
      </x:c>
      <x:c r="C71" s="288" t="e">
        <x:f>_xlfn.XLOOKUP(Matriz[[#This Row],[Parámetro]],Parámetro[Parámetro],Parámetro[Par],0,0)</x:f>
        <x:v>#NAME?</x:v>
      </x:c>
      <x:c r="D71" s="165" t="s">
        <x:v>180</x:v>
      </x:c>
      <x:c r="E71" s="165" t="e">
        <x:f>Matriz[[#This Row],[Cat]]&amp;IF(Matriz[[#This Row],[Par]]=0,"","."&amp;Matriz[[#This Row],[Par]]&amp;"."&amp;TEXT(COUNTIFS(A$2:A71,Matriz[[#This Row],[Cat]],C$2:C71,Matriz[[#This Row],[Par]]),"000"))</x:f>
        <x:v>#NAME?</x:v>
      </x:c>
      <x:c r="F71" s="289" t="e">
        <x:f>IF(LEN(Matriz[[#This Row],[EDT]])=1,COUNTIF(Matriz[EDT],"?????????*"),IF(LEN(Matriz[[#This Row],[EDT]])=2,COUNTIF(Matriz[EDT],Matriz[[#This Row],[Cat]]&amp;"*")-1,0))</x:f>
        <x:v>#NAME?</x:v>
      </x:c>
      <x:c r="G71" s="165" t="e">
        <x:f>IF(Matriz[[#This Row],['# reque-rimientos]]&gt;0,"Sí","No")</x:f>
        <x:v>#REF!</x:v>
      </x:c>
      <x:c r="H71" s="165" t="e">
        <x:f>IF(Matriz[[#This Row],[Cat]]="0",0,IF(Matriz[[#This Row],[Par]]=0,1,LEN(Matriz[[#This Row],[EDT]])-LEN(SUBSTITUTE(Matriz[[#This Row],[EDT]],".",""))))</x:f>
        <x:v>#NAME?</x:v>
      </x:c>
      <x:c r="I71" s="168" t="s">
        <x:v>187</x:v>
      </x:c>
      <x:c r="J71" s="13" t="s">
        <x:v>142</x:v>
      </x:c>
      <x:c r="M71" s="13" t="s">
        <x:v>32</x:v>
      </x:c>
      <x:c r="O71" s="165">
        <x:v>1</x:v>
      </x:c>
      <x:c r="R71" s="13">
        <x:v>7</x:v>
      </x:c>
      <x:c r="S71" s="13" t="s">
        <x:v>122</x:v>
      </x:c>
      <x:c r="X71" s="284"/>
      <x:c r="Y71" s="285"/>
      <x:c r="Z71" s="284"/>
      <x:c r="AA71" s="13"/>
      <x:c r="AB71" s="286"/>
    </x:row>
    <x:row r="72" ht="22.5" hidden="1">
      <x:c r="A72" s="290" t="e">
        <x:f>_xlfn.XLOOKUP(Matriz[[#This Row],[Categoría]],Categoría[Categoría],Categoría[Cat],"NA",0)</x:f>
        <x:v>#NAME?</x:v>
      </x:c>
      <x:c r="B72" s="165" t="s">
        <x:v>119</x:v>
      </x:c>
      <x:c r="C72" s="288" t="e">
        <x:f>_xlfn.XLOOKUP(Matriz[[#This Row],[Parámetro]],Parámetro[Parámetro],Parámetro[Par],0,0)</x:f>
        <x:v>#NAME?</x:v>
      </x:c>
      <x:c r="D72" s="165" t="s">
        <x:v>180</x:v>
      </x:c>
      <x:c r="E72" s="165" t="e">
        <x:f>Matriz[[#This Row],[Cat]]&amp;IF(Matriz[[#This Row],[Par]]=0,"","."&amp;Matriz[[#This Row],[Par]]&amp;"."&amp;TEXT(COUNTIFS(A$2:A72,Matriz[[#This Row],[Cat]],C$2:C72,Matriz[[#This Row],[Par]]),"000"))</x:f>
        <x:v>#NAME?</x:v>
      </x:c>
      <x:c r="F72" s="289" t="e">
        <x:f>IF(LEN(Matriz[[#This Row],[EDT]])=1,COUNTIF(Matriz[EDT],"?????????*"),IF(LEN(Matriz[[#This Row],[EDT]])=2,COUNTIF(Matriz[EDT],Matriz[[#This Row],[Cat]]&amp;"*")-1,0))</x:f>
        <x:v>#NAME?</x:v>
      </x:c>
      <x:c r="G72" s="165" t="e">
        <x:f>IF(Matriz[[#This Row],['# reque-rimientos]]&gt;0,"Sí","No")</x:f>
        <x:v>#REF!</x:v>
      </x:c>
      <x:c r="H72" s="165" t="e">
        <x:f>IF(Matriz[[#This Row],[Cat]]="0",0,IF(Matriz[[#This Row],[Par]]=0,1,LEN(Matriz[[#This Row],[EDT]])-LEN(SUBSTITUTE(Matriz[[#This Row],[EDT]],".",""))))</x:f>
        <x:v>#NAME?</x:v>
      </x:c>
      <x:c r="I72" s="168" t="s">
        <x:v>188</x:v>
      </x:c>
      <x:c r="J72" s="13" t="s">
        <x:v>171</x:v>
      </x:c>
      <x:c r="M72" s="13" t="s">
        <x:v>30</x:v>
      </x:c>
      <x:c r="O72" s="165">
        <x:v>3</x:v>
      </x:c>
      <x:c r="R72" s="13">
        <x:v>7</x:v>
      </x:c>
      <x:c r="S72" s="13" t="s">
        <x:v>155</x:v>
      </x:c>
      <x:c r="X72" s="284"/>
      <x:c r="Y72" s="285"/>
      <x:c r="Z72" s="284"/>
      <x:c r="AA72" s="13"/>
      <x:c r="AB72" s="286"/>
    </x:row>
    <x:row r="73" ht="22.5" hidden="1">
      <x:c r="A73" s="290" t="e">
        <x:f>_xlfn.XLOOKUP(Matriz[[#This Row],[Categoría]],Categoría[Categoría],Categoría[Cat],"NA",0)</x:f>
        <x:v>#NAME?</x:v>
      </x:c>
      <x:c r="B73" s="165" t="s">
        <x:v>119</x:v>
      </x:c>
      <x:c r="C73" s="288" t="e">
        <x:f>_xlfn.XLOOKUP(Matriz[[#This Row],[Parámetro]],Parámetro[Parámetro],Parámetro[Par],0,0)</x:f>
        <x:v>#NAME?</x:v>
      </x:c>
      <x:c r="D73" s="165" t="s">
        <x:v>180</x:v>
      </x:c>
      <x:c r="E73" s="165" t="e">
        <x:f>Matriz[[#This Row],[Cat]]&amp;IF(Matriz[[#This Row],[Par]]=0,"","."&amp;Matriz[[#This Row],[Par]]&amp;"."&amp;TEXT(COUNTIFS(A$2:A73,Matriz[[#This Row],[Cat]],C$2:C73,Matriz[[#This Row],[Par]]),"000"))</x:f>
        <x:v>#NAME?</x:v>
      </x:c>
      <x:c r="F73" s="289" t="e">
        <x:f>IF(LEN(Matriz[[#This Row],[EDT]])=1,COUNTIF(Matriz[EDT],"?????????*"),IF(LEN(Matriz[[#This Row],[EDT]])=2,COUNTIF(Matriz[EDT],Matriz[[#This Row],[Cat]]&amp;"*")-1,0))</x:f>
        <x:v>#NAME?</x:v>
      </x:c>
      <x:c r="G73" s="165" t="e">
        <x:f>IF(Matriz[[#This Row],['# reque-rimientos]]&gt;0,"Sí","No")</x:f>
        <x:v>#REF!</x:v>
      </x:c>
      <x:c r="H73" s="165" t="e">
        <x:f>IF(Matriz[[#This Row],[Cat]]="0",0,IF(Matriz[[#This Row],[Par]]=0,1,LEN(Matriz[[#This Row],[EDT]])-LEN(SUBSTITUTE(Matriz[[#This Row],[EDT]],".",""))))</x:f>
        <x:v>#NAME?</x:v>
      </x:c>
      <x:c r="I73" s="168" t="s">
        <x:v>189</x:v>
      </x:c>
      <x:c r="J73" s="13" t="s">
        <x:v>171</x:v>
      </x:c>
      <x:c r="M73" s="13" t="s">
        <x:v>30</x:v>
      </x:c>
      <x:c r="O73" s="165">
        <x:v>4</x:v>
      </x:c>
      <x:c r="R73" s="13">
        <x:v>6</x:v>
      </x:c>
      <x:c r="S73" s="13" t="s">
        <x:v>155</x:v>
      </x:c>
      <x:c r="X73" s="284"/>
      <x:c r="Y73" s="285"/>
      <x:c r="Z73" s="284"/>
      <x:c r="AA73" s="13"/>
      <x:c r="AB73" s="286"/>
    </x:row>
    <x:row r="74">
      <x:c r="A74" s="290" t="e">
        <x:f>_xlfn.XLOOKUP(Matriz[[#This Row],[Categoría]],Categoría[Categoría],Categoría[Cat],"NA",0)</x:f>
        <x:v>#NAME?</x:v>
      </x:c>
      <x:c r="B74" s="165" t="s">
        <x:v>119</x:v>
      </x:c>
      <x:c r="C74" s="288" t="e">
        <x:f>_xlfn.XLOOKUP(Matriz[[#This Row],[Parámetro]],Parámetro[Parámetro],Parámetro[Par],0,0)</x:f>
        <x:v>#NAME?</x:v>
      </x:c>
      <x:c r="D74" s="165" t="s">
        <x:v>180</x:v>
      </x:c>
      <x:c r="E74" s="165" t="e">
        <x:f>Matriz[[#This Row],[Cat]]&amp;IF(Matriz[[#This Row],[Par]]=0,"","."&amp;Matriz[[#This Row],[Par]]&amp;"."&amp;TEXT(COUNTIFS(A$2:A74,Matriz[[#This Row],[Cat]],C$2:C74,Matriz[[#This Row],[Par]]),"000"))</x:f>
        <x:v>#NAME?</x:v>
      </x:c>
      <x:c r="F74" s="289" t="e">
        <x:f>IF(LEN(Matriz[[#This Row],[EDT]])=1,COUNTIF(Matriz[EDT],"?????????*"),IF(LEN(Matriz[[#This Row],[EDT]])=2,COUNTIF(Matriz[EDT],Matriz[[#This Row],[Cat]]&amp;"*")-1,0))</x:f>
        <x:v>#NAME?</x:v>
      </x:c>
      <x:c r="G74" s="165" t="e">
        <x:f>IF(Matriz[[#This Row],['# reque-rimientos]]&gt;0,"Sí","No")</x:f>
        <x:v>#REF!</x:v>
      </x:c>
      <x:c r="H74" s="165" t="e">
        <x:f>IF(Matriz[[#This Row],[Cat]]="0",0,IF(Matriz[[#This Row],[Par]]=0,1,LEN(Matriz[[#This Row],[EDT]])-LEN(SUBSTITUTE(Matriz[[#This Row],[EDT]],".",""))))</x:f>
        <x:v>#NAME?</x:v>
      </x:c>
      <x:c r="I74" s="168" t="s">
        <x:v>190</x:v>
      </x:c>
      <x:c r="J74" s="13" t="s">
        <x:v>142</x:v>
      </x:c>
      <x:c r="M74" s="13" t="s">
        <x:v>120</x:v>
      </x:c>
      <x:c r="O74" s="165">
        <x:v>1</x:v>
      </x:c>
      <x:c r="R74" s="13">
        <x:v>9</x:v>
      </x:c>
      <x:c r="S74" s="13" t="s">
        <x:v>108</x:v>
      </x:c>
      <x:c r="T74" s="13" t="s">
        <x:v>109</x:v>
      </x:c>
      <x:c r="X74" s="284"/>
      <x:c r="Y74" s="285"/>
      <x:c r="Z74" s="284"/>
      <x:c r="AA74" s="13"/>
      <x:c r="AB74" s="286"/>
    </x:row>
    <x:row r="75">
      <x:c r="A75" s="290" t="e">
        <x:f>_xlfn.XLOOKUP(Matriz[[#This Row],[Categoría]],Categoría[Categoría],Categoría[Cat],"NA",0)</x:f>
        <x:v>#NAME?</x:v>
      </x:c>
      <x:c r="B75" s="165" t="s">
        <x:v>119</x:v>
      </x:c>
      <x:c r="C75" s="288" t="e">
        <x:f>_xlfn.XLOOKUP(Matriz[[#This Row],[Parámetro]],Parámetro[Parámetro],Parámetro[Par],0,0)</x:f>
        <x:v>#NAME?</x:v>
      </x:c>
      <x:c r="D75" s="165" t="s">
        <x:v>180</x:v>
      </x:c>
      <x:c r="E75" s="165" t="e">
        <x:f>Matriz[[#This Row],[Cat]]&amp;IF(Matriz[[#This Row],[Par]]=0,"","."&amp;Matriz[[#This Row],[Par]]&amp;"."&amp;TEXT(COUNTIFS(A$2:A75,Matriz[[#This Row],[Cat]],C$2:C75,Matriz[[#This Row],[Par]]),"000"))</x:f>
        <x:v>#NAME?</x:v>
      </x:c>
      <x:c r="F75" s="289" t="e">
        <x:f>IF(LEN(Matriz[[#This Row],[EDT]])=1,COUNTIF(Matriz[EDT],"?????????*"),IF(LEN(Matriz[[#This Row],[EDT]])=2,COUNTIF(Matriz[EDT],Matriz[[#This Row],[Cat]]&amp;"*")-1,0))</x:f>
        <x:v>#NAME?</x:v>
      </x:c>
      <x:c r="G75" s="165" t="e">
        <x:f>IF(Matriz[[#This Row],['# reque-rimientos]]&gt;0,"Sí","No")</x:f>
        <x:v>#REF!</x:v>
      </x:c>
      <x:c r="H75" s="165" t="e">
        <x:f>IF(Matriz[[#This Row],[Cat]]="0",0,IF(Matriz[[#This Row],[Par]]=0,1,LEN(Matriz[[#This Row],[EDT]])-LEN(SUBSTITUTE(Matriz[[#This Row],[EDT]],".",""))))</x:f>
        <x:v>#NAME?</x:v>
      </x:c>
      <x:c r="I75" s="168" t="s">
        <x:v>191</x:v>
      </x:c>
      <x:c r="J75" s="13" t="s">
        <x:v>142</x:v>
      </x:c>
      <x:c r="M75" s="13" t="s">
        <x:v>120</x:v>
      </x:c>
      <x:c r="O75" s="165">
        <x:v>1</x:v>
      </x:c>
      <x:c r="R75" s="13">
        <x:v>9</x:v>
      </x:c>
      <x:c r="S75" s="13" t="s">
        <x:v>108</x:v>
      </x:c>
      <x:c r="T75" s="13" t="s">
        <x:v>109</x:v>
      </x:c>
      <x:c r="X75" s="284"/>
      <x:c r="Y75" s="285"/>
      <x:c r="Z75" s="284"/>
      <x:c r="AA75" s="13"/>
      <x:c r="AB75" s="286"/>
    </x:row>
    <x:row r="76" ht="56.25">
      <x:c r="A76" s="290" t="e">
        <x:f>_xlfn.XLOOKUP(Matriz[[#This Row],[Categoría]],Categoría[Categoría],Categoría[Cat],"NA",0)</x:f>
        <x:v>#NAME?</x:v>
      </x:c>
      <x:c r="B76" s="165" t="s">
        <x:v>119</x:v>
      </x:c>
      <x:c r="C76" s="288" t="e">
        <x:f>_xlfn.XLOOKUP(Matriz[[#This Row],[Parámetro]],Parámetro[Parámetro],Parámetro[Par],0,0)</x:f>
        <x:v>#NAME?</x:v>
      </x:c>
      <x:c r="D76" s="165" t="s">
        <x:v>180</x:v>
      </x:c>
      <x:c r="E76" s="165" t="e">
        <x:f>Matriz[[#This Row],[Cat]]&amp;IF(Matriz[[#This Row],[Par]]=0,"","."&amp;Matriz[[#This Row],[Par]]&amp;"."&amp;TEXT(COUNTIFS(A$2:A76,Matriz[[#This Row],[Cat]],C$2:C76,Matriz[[#This Row],[Par]]),"000"))</x:f>
        <x:v>#NAME?</x:v>
      </x:c>
      <x:c r="F76" s="289" t="e">
        <x:f>IF(LEN(Matriz[[#This Row],[EDT]])=1,COUNTIF(Matriz[EDT],"?????????*"),IF(LEN(Matriz[[#This Row],[EDT]])=2,COUNTIF(Matriz[EDT],Matriz[[#This Row],[Cat]]&amp;"*")-1,0))</x:f>
        <x:v>#NAME?</x:v>
      </x:c>
      <x:c r="G76" s="165" t="e">
        <x:f>IF(Matriz[[#This Row],['# reque-rimientos]]&gt;0,"Sí","No")</x:f>
        <x:v>#REF!</x:v>
      </x:c>
      <x:c r="H76" s="165" t="e">
        <x:f>IF(Matriz[[#This Row],[Cat]]="0",0,IF(Matriz[[#This Row],[Par]]=0,1,LEN(Matriz[[#This Row],[EDT]])-LEN(SUBSTITUTE(Matriz[[#This Row],[EDT]],".",""))))</x:f>
        <x:v>#NAME?</x:v>
      </x:c>
      <x:c r="I76" s="168" t="s">
        <x:v>192</x:v>
      </x:c>
      <x:c r="J76" s="13" t="s">
        <x:v>142</x:v>
      </x:c>
      <x:c r="K76" s="291" t="s">
        <x:v>193</x:v>
      </x:c>
      <x:c r="L76" s="291"/>
      <x:c r="M76" s="13" t="s">
        <x:v>120</x:v>
      </x:c>
      <x:c r="N76" s="13" t="s">
        <x:v>194</x:v>
      </x:c>
      <x:c r="O76" s="165">
        <x:v>1</x:v>
      </x:c>
      <x:c r="R76" s="13">
        <x:v>9</x:v>
      </x:c>
      <x:c r="S76" s="13" t="s">
        <x:v>67</x:v>
      </x:c>
      <x:c r="T76" s="13" t="s">
        <x:v>39</x:v>
      </x:c>
      <x:c r="X76" s="284"/>
      <x:c r="Y76" s="285"/>
      <x:c r="Z76" s="284"/>
      <x:c r="AA76" s="13"/>
      <x:c r="AB76" s="286"/>
    </x:row>
    <x:row r="77">
      <x:c r="A77" s="290" t="e">
        <x:f>_xlfn.XLOOKUP(Matriz[[#This Row],[Categoría]],Categoría[Categoría],Categoría[Cat],"NA",0)</x:f>
        <x:v>#NAME?</x:v>
      </x:c>
      <x:c r="B77" s="165" t="s">
        <x:v>119</x:v>
      </x:c>
      <x:c r="C77" s="288" t="e">
        <x:f>_xlfn.XLOOKUP(Matriz[[#This Row],[Parámetro]],Parámetro[Parámetro],Parámetro[Par],0,0)</x:f>
        <x:v>#NAME?</x:v>
      </x:c>
      <x:c r="D77" s="165" t="s">
        <x:v>195</x:v>
      </x:c>
      <x:c r="E77" s="165" t="e">
        <x:f>Matriz[[#This Row],[Cat]]&amp;IF(Matriz[[#This Row],[Par]]=0,"","."&amp;Matriz[[#This Row],[Par]]&amp;"."&amp;TEXT(COUNTIFS(A$2:A77,Matriz[[#This Row],[Cat]],C$2:C77,Matriz[[#This Row],[Par]]),"000"))</x:f>
        <x:v>#NAME?</x:v>
      </x:c>
      <x:c r="F77" s="289" t="e">
        <x:f>IF(LEN(Matriz[[#This Row],[EDT]])=1,COUNTIF(Matriz[EDT],"?????????*"),IF(LEN(Matriz[[#This Row],[EDT]])=2,COUNTIF(Matriz[EDT],Matriz[[#This Row],[Cat]]&amp;"*")-1,0))</x:f>
        <x:v>#NAME?</x:v>
      </x:c>
      <x:c r="G77" s="165" t="e">
        <x:f>IF(Matriz[[#This Row],['# reque-rimientos]]&gt;0,"Sí","No")</x:f>
        <x:v>#REF!</x:v>
      </x:c>
      <x:c r="H77" s="165" t="e">
        <x:f>IF(Matriz[[#This Row],[Cat]]="0",0,IF(Matriz[[#This Row],[Par]]=0,1,LEN(Matriz[[#This Row],[EDT]])-LEN(SUBSTITUTE(Matriz[[#This Row],[EDT]],".",""))))</x:f>
        <x:v>#NAME?</x:v>
      </x:c>
      <x:c r="I77" s="168" t="s">
        <x:v>196</x:v>
      </x:c>
      <x:c r="M77" s="13" t="s">
        <x:v>120</x:v>
      </x:c>
      <x:c r="O77" s="165">
        <x:v>1</x:v>
      </x:c>
      <x:c r="R77" s="13">
        <x:v>7</x:v>
      </x:c>
      <x:c r="S77" s="13" t="s">
        <x:v>122</x:v>
      </x:c>
      <x:c r="X77" s="284"/>
      <x:c r="Y77" s="285"/>
      <x:c r="Z77" s="284"/>
      <x:c r="AA77" s="13"/>
      <x:c r="AB77" s="286"/>
    </x:row>
    <x:row r="78" ht="12.75">
      <x:c r="A78" s="290" t="e">
        <x:f>_xlfn.XLOOKUP(Matriz[[#This Row],[Categoría]],Categoría[Categoría],Categoría[Cat],"NA",0)</x:f>
        <x:v>#NAME?</x:v>
      </x:c>
      <x:c r="B78" s="165" t="s">
        <x:v>119</x:v>
      </x:c>
      <x:c r="C78" s="288" t="e">
        <x:f>_xlfn.XLOOKUP(Matriz[[#This Row],[Parámetro]],Parámetro[Parámetro],Parámetro[Par],0,0)</x:f>
        <x:v>#NAME?</x:v>
      </x:c>
      <x:c r="D78" s="165" t="s">
        <x:v>195</x:v>
      </x:c>
      <x:c r="E78" s="165" t="e">
        <x:f>Matriz[[#This Row],[Cat]]&amp;IF(Matriz[[#This Row],[Par]]=0,"","."&amp;Matriz[[#This Row],[Par]]&amp;"."&amp;TEXT(COUNTIFS(A$2:A78,Matriz[[#This Row],[Cat]],C$2:C78,Matriz[[#This Row],[Par]]),"000"))</x:f>
        <x:v>#NAME?</x:v>
      </x:c>
      <x:c r="F78" s="289" t="e">
        <x:f>IF(LEN(Matriz[[#This Row],[EDT]])=1,COUNTIF(Matriz[EDT],"?????????*"),IF(LEN(Matriz[[#This Row],[EDT]])=2,COUNTIF(Matriz[EDT],Matriz[[#This Row],[Cat]]&amp;"*")-1,0))</x:f>
        <x:v>#NAME?</x:v>
      </x:c>
      <x:c r="G78" s="165" t="e">
        <x:f>IF(Matriz[[#This Row],['# reque-rimientos]]&gt;0,"Sí","No")</x:f>
        <x:v>#REF!</x:v>
      </x:c>
      <x:c r="H78" s="165" t="e">
        <x:f>IF(Matriz[[#This Row],[Cat]]="0",0,IF(Matriz[[#This Row],[Par]]=0,1,LEN(Matriz[[#This Row],[EDT]])-LEN(SUBSTITUTE(Matriz[[#This Row],[EDT]],".",""))))</x:f>
        <x:v>#NAME?</x:v>
      </x:c>
      <x:c r="I78" s="168" t="s">
        <x:v>197</x:v>
      </x:c>
      <x:c r="J78" s="13" t="s">
        <x:v>142</x:v>
      </x:c>
      <x:c r="K78" s="291" t="s">
        <x:v>198</x:v>
      </x:c>
      <x:c r="L78" s="291"/>
      <x:c r="M78" s="13" t="s">
        <x:v>120</x:v>
      </x:c>
      <x:c r="N78" s="13" t="s">
        <x:v>199</x:v>
      </x:c>
      <x:c r="O78" s="165">
        <x:v>1</x:v>
      </x:c>
      <x:c r="R78" s="13">
        <x:v>10</x:v>
      </x:c>
      <x:c r="S78" s="13" t="s">
        <x:v>67</x:v>
      </x:c>
      <x:c r="T78" s="13" t="s">
        <x:v>39</x:v>
      </x:c>
      <x:c r="U78" s="13">
        <x:v>60</x:v>
      </x:c>
      <x:c r="X78" s="284"/>
      <x:c r="Y78" s="285"/>
      <x:c r="Z78" s="284"/>
      <x:c r="AA78" s="13"/>
      <x:c r="AB78" s="286"/>
    </x:row>
    <x:row r="79">
      <x:c r="A79" s="290" t="e">
        <x:f>_xlfn.XLOOKUP(Matriz[[#This Row],[Categoría]],Categoría[Categoría],Categoría[Cat],"NA",0)</x:f>
        <x:v>#NAME?</x:v>
      </x:c>
      <x:c r="B79" s="165" t="s">
        <x:v>119</x:v>
      </x:c>
      <x:c r="C79" s="288" t="e">
        <x:f>_xlfn.XLOOKUP(Matriz[[#This Row],[Parámetro]],Parámetro[Parámetro],Parámetro[Par],0,0)</x:f>
        <x:v>#NAME?</x:v>
      </x:c>
      <x:c r="D79" s="165" t="s">
        <x:v>195</x:v>
      </x:c>
      <x:c r="E79" s="165" t="e">
        <x:f>Matriz[[#This Row],[Cat]]&amp;IF(Matriz[[#This Row],[Par]]=0,"","."&amp;Matriz[[#This Row],[Par]]&amp;"."&amp;TEXT(COUNTIFS(A$2:A79,Matriz[[#This Row],[Cat]],C$2:C79,Matriz[[#This Row],[Par]]),"000"))</x:f>
        <x:v>#NAME?</x:v>
      </x:c>
      <x:c r="F79" s="289" t="e">
        <x:f>IF(LEN(Matriz[[#This Row],[EDT]])=1,COUNTIF(Matriz[EDT],"?????????*"),IF(LEN(Matriz[[#This Row],[EDT]])=2,COUNTIF(Matriz[EDT],Matriz[[#This Row],[Cat]]&amp;"*")-1,0))</x:f>
        <x:v>#NAME?</x:v>
      </x:c>
      <x:c r="G79" s="165" t="e">
        <x:f>IF(Matriz[[#This Row],['# reque-rimientos]]&gt;0,"Sí","No")</x:f>
        <x:v>#REF!</x:v>
      </x:c>
      <x:c r="H79" s="165" t="e">
        <x:f>IF(Matriz[[#This Row],[Cat]]="0",0,IF(Matriz[[#This Row],[Par]]=0,1,LEN(Matriz[[#This Row],[EDT]])-LEN(SUBSTITUTE(Matriz[[#This Row],[EDT]],".",""))))</x:f>
        <x:v>#NAME?</x:v>
      </x:c>
      <x:c r="I79" s="168" t="s">
        <x:v>200</x:v>
      </x:c>
      <x:c r="M79" s="13" t="s">
        <x:v>120</x:v>
      </x:c>
      <x:c r="O79" s="165">
        <x:v>1</x:v>
      </x:c>
      <x:c r="R79" s="13">
        <x:v>8</x:v>
      </x:c>
      <x:c r="S79" s="13" t="s">
        <x:v>201</x:v>
      </x:c>
      <x:c r="X79" s="284"/>
      <x:c r="Y79" s="285"/>
      <x:c r="Z79" s="284"/>
      <x:c r="AA79" s="13"/>
      <x:c r="AB79" s="286"/>
    </x:row>
    <x:row r="80">
      <x:c r="A80" s="290" t="e">
        <x:f>_xlfn.XLOOKUP(Matriz[[#This Row],[Categoría]],Categoría[Categoría],Categoría[Cat],"NA",0)</x:f>
        <x:v>#NAME?</x:v>
      </x:c>
      <x:c r="B80" s="165" t="s">
        <x:v>119</x:v>
      </x:c>
      <x:c r="C80" s="288" t="e">
        <x:f>_xlfn.XLOOKUP(Matriz[[#This Row],[Parámetro]],Parámetro[Parámetro],Parámetro[Par],0,0)</x:f>
        <x:v>#NAME?</x:v>
      </x:c>
      <x:c r="D80" s="165" t="s">
        <x:v>195</x:v>
      </x:c>
      <x:c r="E80" s="165" t="e">
        <x:f>Matriz[[#This Row],[Cat]]&amp;IF(Matriz[[#This Row],[Par]]=0,"","."&amp;Matriz[[#This Row],[Par]]&amp;"."&amp;TEXT(COUNTIFS(A$2:A80,Matriz[[#This Row],[Cat]],C$2:C80,Matriz[[#This Row],[Par]]),"000"))</x:f>
        <x:v>#NAME?</x:v>
      </x:c>
      <x:c r="F80" s="289" t="e">
        <x:f>IF(LEN(Matriz[[#This Row],[EDT]])=1,COUNTIF(Matriz[EDT],"?????????*"),IF(LEN(Matriz[[#This Row],[EDT]])=2,COUNTIF(Matriz[EDT],Matriz[[#This Row],[Cat]]&amp;"*")-1,0))</x:f>
        <x:v>#NAME?</x:v>
      </x:c>
      <x:c r="G80" s="165" t="e">
        <x:f>IF(Matriz[[#This Row],['# reque-rimientos]]&gt;0,"Sí","No")</x:f>
        <x:v>#REF!</x:v>
      </x:c>
      <x:c r="H80" s="165" t="e">
        <x:f>IF(Matriz[[#This Row],[Cat]]="0",0,IF(Matriz[[#This Row],[Par]]=0,1,LEN(Matriz[[#This Row],[EDT]])-LEN(SUBSTITUTE(Matriz[[#This Row],[EDT]],".",""))))</x:f>
        <x:v>#NAME?</x:v>
      </x:c>
      <x:c r="I80" s="168" t="s">
        <x:v>202</x:v>
      </x:c>
      <x:c r="J80" s="13" t="s">
        <x:v>203</x:v>
      </x:c>
      <x:c r="M80" s="13" t="s">
        <x:v>30</x:v>
      </x:c>
      <x:c r="O80" s="165">
        <x:v>1</x:v>
      </x:c>
      <x:c r="R80" s="13">
        <x:v>8</x:v>
      </x:c>
      <x:c r="S80" s="13" t="s">
        <x:v>108</x:v>
      </x:c>
      <x:c r="T80" s="13" t="s">
        <x:v>109</x:v>
      </x:c>
      <x:c r="X80" s="284"/>
      <x:c r="Y80" s="285"/>
      <x:c r="Z80" s="284"/>
      <x:c r="AA80" s="13"/>
      <x:c r="AB80" s="286"/>
    </x:row>
    <x:row r="81">
      <x:c r="A81" s="290" t="e">
        <x:f>_xlfn.XLOOKUP(Matriz[[#This Row],[Categoría]],Categoría[Categoría],Categoría[Cat],"NA",0)</x:f>
        <x:v>#NAME?</x:v>
      </x:c>
      <x:c r="B81" s="165" t="s">
        <x:v>119</x:v>
      </x:c>
      <x:c r="C81" s="288" t="e">
        <x:f>_xlfn.XLOOKUP(Matriz[[#This Row],[Parámetro]],Parámetro[Parámetro],Parámetro[Par],0,0)</x:f>
        <x:v>#NAME?</x:v>
      </x:c>
      <x:c r="D81" s="165" t="s">
        <x:v>195</x:v>
      </x:c>
      <x:c r="E81" s="165" t="e">
        <x:f>Matriz[[#This Row],[Cat]]&amp;IF(Matriz[[#This Row],[Par]]=0,"","."&amp;Matriz[[#This Row],[Par]]&amp;"."&amp;TEXT(COUNTIFS(A$2:A81,Matriz[[#This Row],[Cat]],C$2:C81,Matriz[[#This Row],[Par]]),"000"))</x:f>
        <x:v>#NAME?</x:v>
      </x:c>
      <x:c r="F81" s="289" t="e">
        <x:f>IF(LEN(Matriz[[#This Row],[EDT]])=1,COUNTIF(Matriz[EDT],"?????????*"),IF(LEN(Matriz[[#This Row],[EDT]])=2,COUNTIF(Matriz[EDT],Matriz[[#This Row],[Cat]]&amp;"*")-1,0))</x:f>
        <x:v>#NAME?</x:v>
      </x:c>
      <x:c r="G81" s="165" t="e">
        <x:f>IF(Matriz[[#This Row],['# reque-rimientos]]&gt;0,"Sí","No")</x:f>
        <x:v>#REF!</x:v>
      </x:c>
      <x:c r="H81" s="165" t="e">
        <x:f>IF(Matriz[[#This Row],[Cat]]="0",0,IF(Matriz[[#This Row],[Par]]=0,1,LEN(Matriz[[#This Row],[EDT]])-LEN(SUBSTITUTE(Matriz[[#This Row],[EDT]],".",""))))</x:f>
        <x:v>#NAME?</x:v>
      </x:c>
      <x:c r="I81" s="168" t="s">
        <x:v>204</x:v>
      </x:c>
      <x:c r="J81" s="13" t="s">
        <x:v>203</x:v>
      </x:c>
      <x:c r="M81" s="13" t="s">
        <x:v>30</x:v>
      </x:c>
      <x:c r="O81" s="165">
        <x:v>1</x:v>
      </x:c>
      <x:c r="R81" s="13">
        <x:v>8</x:v>
      </x:c>
      <x:c r="S81" s="13" t="s">
        <x:v>108</x:v>
      </x:c>
      <x:c r="T81" s="13" t="s">
        <x:v>109</x:v>
      </x:c>
      <x:c r="X81" s="284"/>
      <x:c r="Y81" s="285"/>
      <x:c r="Z81" s="284"/>
      <x:c r="AA81" s="13"/>
      <x:c r="AB81" s="286"/>
    </x:row>
    <x:row r="82" ht="22.5">
      <x:c r="A82" s="290" t="e">
        <x:f>_xlfn.XLOOKUP(Matriz[[#This Row],[Categoría]],Categoría[Categoría],Categoría[Cat],"NA",0)</x:f>
        <x:v>#NAME?</x:v>
      </x:c>
      <x:c r="B82" s="165" t="s">
        <x:v>119</x:v>
      </x:c>
      <x:c r="C82" s="288" t="e">
        <x:f>_xlfn.XLOOKUP(Matriz[[#This Row],[Parámetro]],Parámetro[Parámetro],Parámetro[Par],0,0)</x:f>
        <x:v>#NAME?</x:v>
      </x:c>
      <x:c r="D82" s="165" t="s">
        <x:v>115</x:v>
      </x:c>
      <x:c r="E82" s="165" t="e">
        <x:f>Matriz[[#This Row],[Cat]]&amp;IF(Matriz[[#This Row],[Par]]=0,"","."&amp;Matriz[[#This Row],[Par]]&amp;"."&amp;TEXT(COUNTIFS(A$2:A82,Matriz[[#This Row],[Cat]],C$2:C82,Matriz[[#This Row],[Par]]),"000"))</x:f>
        <x:v>#NAME?</x:v>
      </x:c>
      <x:c r="F82" s="289" t="e">
        <x:f>IF(LEN(Matriz[[#This Row],[EDT]])=1,COUNTIF(Matriz[EDT],"?????????*"),IF(LEN(Matriz[[#This Row],[EDT]])=2,COUNTIF(Matriz[EDT],Matriz[[#This Row],[Cat]]&amp;"*")-1,0))</x:f>
        <x:v>#NAME?</x:v>
      </x:c>
      <x:c r="G82" s="165" t="e">
        <x:f>IF(Matriz[[#This Row],['# reque-rimientos]]&gt;0,"Sí","No")</x:f>
        <x:v>#REF!</x:v>
      </x:c>
      <x:c r="H82" s="165" t="e">
        <x:f>IF(Matriz[[#This Row],[Cat]]="0",0,IF(Matriz[[#This Row],[Par]]=0,1,LEN(Matriz[[#This Row],[EDT]])-LEN(SUBSTITUTE(Matriz[[#This Row],[EDT]],".",""))))</x:f>
        <x:v>#NAME?</x:v>
      </x:c>
      <x:c r="I82" s="168" t="s">
        <x:v>205</x:v>
      </x:c>
      <x:c r="J82" s="165" t="s">
        <x:v>134</x:v>
      </x:c>
      <x:c r="K82" s="165"/>
      <x:c r="L82" s="165"/>
      <x:c r="M82" s="165" t="s">
        <x:v>120</x:v>
      </x:c>
      <x:c r="N82" s="165" t="s">
        <x:v>206</x:v>
      </x:c>
      <x:c r="O82" s="165">
        <x:v>1</x:v>
      </x:c>
      <x:c r="R82" s="13">
        <x:v>7</x:v>
      </x:c>
      <x:c r="S82" s="13" t="s">
        <x:v>67</x:v>
      </x:c>
      <x:c r="T82" s="13" t="s">
        <x:v>39</x:v>
      </x:c>
      <x:c r="U82" s="294">
        <x:v>0.7</x:v>
      </x:c>
      <x:c r="X82" s="284"/>
      <x:c r="Y82" s="285"/>
      <x:c r="Z82" s="284"/>
      <x:c r="AA82" s="13"/>
      <x:c r="AB82" s="286"/>
    </x:row>
    <x:row r="83" ht="22.5">
      <x:c r="A83" s="290" t="e">
        <x:f>_xlfn.XLOOKUP(Matriz[[#This Row],[Categoría]],Categoría[Categoría],Categoría[Cat],"NA",0)</x:f>
        <x:v>#NAME?</x:v>
      </x:c>
      <x:c r="B83" s="165" t="s">
        <x:v>119</x:v>
      </x:c>
      <x:c r="C83" s="288" t="e">
        <x:f>_xlfn.XLOOKUP(Matriz[[#This Row],[Parámetro]],Parámetro[Parámetro],Parámetro[Par],0,0)</x:f>
        <x:v>#NAME?</x:v>
      </x:c>
      <x:c r="D83" s="165" t="s">
        <x:v>115</x:v>
      </x:c>
      <x:c r="E83" s="165" t="e">
        <x:f>Matriz[[#This Row],[Cat]]&amp;IF(Matriz[[#This Row],[Par]]=0,"","."&amp;Matriz[[#This Row],[Par]]&amp;"."&amp;TEXT(COUNTIFS(A$2:A83,Matriz[[#This Row],[Cat]],C$2:C83,Matriz[[#This Row],[Par]]),"000"))</x:f>
        <x:v>#NAME?</x:v>
      </x:c>
      <x:c r="F83" s="289" t="e">
        <x:f>IF(LEN(Matriz[[#This Row],[EDT]])=1,COUNTIF(Matriz[EDT],"?????????*"),IF(LEN(Matriz[[#This Row],[EDT]])=2,COUNTIF(Matriz[EDT],Matriz[[#This Row],[Cat]]&amp;"*")-1,0))</x:f>
        <x:v>#NAME?</x:v>
      </x:c>
      <x:c r="G83" s="165" t="e">
        <x:f>IF(Matriz[[#This Row],['# reque-rimientos]]&gt;0,"Sí","No")</x:f>
        <x:v>#REF!</x:v>
      </x:c>
      <x:c r="H83" s="165" t="e">
        <x:f>IF(Matriz[[#This Row],[Cat]]="0",0,IF(Matriz[[#This Row],[Par]]=0,1,LEN(Matriz[[#This Row],[EDT]])-LEN(SUBSTITUTE(Matriz[[#This Row],[EDT]],".",""))))</x:f>
        <x:v>#NAME?</x:v>
      </x:c>
      <x:c r="I83" s="168" t="s">
        <x:v>207</x:v>
      </x:c>
      <x:c r="J83" s="165"/>
      <x:c r="K83" s="165"/>
      <x:c r="L83" s="165"/>
      <x:c r="M83" s="165" t="s">
        <x:v>120</x:v>
      </x:c>
      <x:c r="N83" s="165"/>
      <x:c r="O83" s="165">
        <x:v>1</x:v>
      </x:c>
      <x:c r="R83" s="13">
        <x:v>6</x:v>
      </x:c>
      <x:c r="S83" s="13" t="s">
        <x:v>57</x:v>
      </x:c>
      <x:c r="W83" s="13" t="s">
        <x:v>208</x:v>
      </x:c>
      <x:c r="X83" s="284"/>
      <x:c r="Y83" s="285"/>
      <x:c r="Z83" s="284"/>
      <x:c r="AA83" s="13"/>
      <x:c r="AB83" s="286"/>
    </x:row>
    <x:row r="84" ht="146.25">
      <x:c r="A84" s="290" t="e">
        <x:f>_xlfn.XLOOKUP(Matriz[[#This Row],[Categoría]],Categoría[Categoría],Categoría[Cat],"NA",0)</x:f>
        <x:v>#NAME?</x:v>
      </x:c>
      <x:c r="B84" s="165" t="s">
        <x:v>119</x:v>
      </x:c>
      <x:c r="C84" s="288" t="e">
        <x:f>_xlfn.XLOOKUP(Matriz[[#This Row],[Parámetro]],Parámetro[Parámetro],Parámetro[Par],0,0)</x:f>
        <x:v>#NAME?</x:v>
      </x:c>
      <x:c r="D84" s="165" t="s">
        <x:v>115</x:v>
      </x:c>
      <x:c r="E84" s="165" t="e">
        <x:f>Matriz[[#This Row],[Cat]]&amp;IF(Matriz[[#This Row],[Par]]=0,"","."&amp;Matriz[[#This Row],[Par]]&amp;"."&amp;TEXT(COUNTIFS(A$2:A84,Matriz[[#This Row],[Cat]],C$2:C84,Matriz[[#This Row],[Par]]),"000"))</x:f>
        <x:v>#NAME?</x:v>
      </x:c>
      <x:c r="F84" s="289" t="e">
        <x:f>IF(LEN(Matriz[[#This Row],[EDT]])=1,COUNTIF(Matriz[EDT],"?????????*"),IF(LEN(Matriz[[#This Row],[EDT]])=2,COUNTIF(Matriz[EDT],Matriz[[#This Row],[Cat]]&amp;"*")-1,0))</x:f>
        <x:v>#NAME?</x:v>
      </x:c>
      <x:c r="G84" s="165" t="e">
        <x:f>IF(Matriz[[#This Row],['# reque-rimientos]]&gt;0,"Sí","No")</x:f>
        <x:v>#REF!</x:v>
      </x:c>
      <x:c r="H84" s="165" t="e">
        <x:f>IF(Matriz[[#This Row],[Cat]]="0",0,IF(Matriz[[#This Row],[Par]]=0,1,LEN(Matriz[[#This Row],[EDT]])-LEN(SUBSTITUTE(Matriz[[#This Row],[EDT]],".",""))))</x:f>
        <x:v>#NAME?</x:v>
      </x:c>
      <x:c r="I84" s="168" t="s">
        <x:v>209</x:v>
      </x:c>
      <x:c r="J84" s="165"/>
      <x:c r="K84" s="291" t="s">
        <x:v>210</x:v>
      </x:c>
      <x:c r="L84" s="165"/>
      <x:c r="M84" s="165" t="s">
        <x:v>120</x:v>
      </x:c>
      <x:c r="N84" s="165"/>
      <x:c r="O84" s="165">
        <x:v>1</x:v>
      </x:c>
      <x:c r="R84" s="13">
        <x:v>6</x:v>
      </x:c>
      <x:c r="S84" s="13" t="s">
        <x:v>57</x:v>
      </x:c>
      <x:c r="W84" s="13" t="s">
        <x:v>208</x:v>
      </x:c>
      <x:c r="X84" s="284"/>
      <x:c r="Y84" s="285"/>
      <x:c r="Z84" s="284"/>
      <x:c r="AA84" s="13"/>
      <x:c r="AB84" s="286"/>
    </x:row>
    <x:row r="85">
      <x:c r="A85" s="290" t="e">
        <x:f>_xlfn.XLOOKUP(Matriz[[#This Row],[Categoría]],Categoría[Categoría],Categoría[Cat],"NA",0)</x:f>
        <x:v>#NAME?</x:v>
      </x:c>
      <x:c r="B85" s="165" t="s">
        <x:v>119</x:v>
      </x:c>
      <x:c r="C85" s="288" t="e">
        <x:f>_xlfn.XLOOKUP(Matriz[[#This Row],[Parámetro]],Parámetro[Parámetro],Parámetro[Par],0,0)</x:f>
        <x:v>#NAME?</x:v>
      </x:c>
      <x:c r="D85" s="165" t="s">
        <x:v>115</x:v>
      </x:c>
      <x:c r="E85" s="165" t="e">
        <x:f>Matriz[[#This Row],[Cat]]&amp;IF(Matriz[[#This Row],[Par]]=0,"","."&amp;Matriz[[#This Row],[Par]]&amp;"."&amp;TEXT(COUNTIFS(A$2:A85,Matriz[[#This Row],[Cat]],C$2:C85,Matriz[[#This Row],[Par]]),"000"))</x:f>
        <x:v>#NAME?</x:v>
      </x:c>
      <x:c r="F85" s="289" t="e">
        <x:f>IF(LEN(Matriz[[#This Row],[EDT]])=1,COUNTIF(Matriz[EDT],"?????????*"),IF(LEN(Matriz[[#This Row],[EDT]])=2,COUNTIF(Matriz[EDT],Matriz[[#This Row],[Cat]]&amp;"*")-1,0))</x:f>
        <x:v>#NAME?</x:v>
      </x:c>
      <x:c r="G85" s="165" t="e">
        <x:f>IF(Matriz[[#This Row],['# reque-rimientos]]&gt;0,"Sí","No")</x:f>
        <x:v>#REF!</x:v>
      </x:c>
      <x:c r="H85" s="165" t="e">
        <x:f>IF(Matriz[[#This Row],[Cat]]="0",0,IF(Matriz[[#This Row],[Par]]=0,1,LEN(Matriz[[#This Row],[EDT]])-LEN(SUBSTITUTE(Matriz[[#This Row],[EDT]],".",""))))</x:f>
        <x:v>#NAME?</x:v>
      </x:c>
      <x:c r="I85" s="64" t="s">
        <x:v>211</x:v>
      </x:c>
      <x:c r="J85" s="165"/>
      <x:c r="K85" s="165"/>
      <x:c r="L85" s="165"/>
      <x:c r="M85" s="165" t="s">
        <x:v>120</x:v>
      </x:c>
      <x:c r="N85" s="165"/>
      <x:c r="O85" s="165">
        <x:v>1</x:v>
      </x:c>
      <x:c r="R85" s="13">
        <x:v>6</x:v>
      </x:c>
      <x:c r="S85" s="13" t="s">
        <x:v>212</x:v>
      </x:c>
      <x:c r="W85" s="13" t="s">
        <x:v>208</x:v>
      </x:c>
      <x:c r="X85" s="284"/>
      <x:c r="Y85" s="285"/>
      <x:c r="Z85" s="284"/>
      <x:c r="AA85" s="13"/>
      <x:c r="AB85" s="286"/>
    </x:row>
    <x:row r="86" ht="22.5">
      <x:c r="A86" s="290" t="e">
        <x:f>_xlfn.XLOOKUP(Matriz[[#This Row],[Categoría]],Categoría[Categoría],Categoría[Cat],"NA",0)</x:f>
        <x:v>#NAME?</x:v>
      </x:c>
      <x:c r="B86" s="165" t="s">
        <x:v>119</x:v>
      </x:c>
      <x:c r="C86" s="288" t="e">
        <x:f>_xlfn.XLOOKUP(Matriz[[#This Row],[Parámetro]],Parámetro[Parámetro],Parámetro[Par],0,0)</x:f>
        <x:v>#NAME?</x:v>
      </x:c>
      <x:c r="D86" s="165" t="s">
        <x:v>115</x:v>
      </x:c>
      <x:c r="E86" s="165" t="e">
        <x:f>Matriz[[#This Row],[Cat]]&amp;IF(Matriz[[#This Row],[Par]]=0,"","."&amp;Matriz[[#This Row],[Par]]&amp;"."&amp;TEXT(COUNTIFS(A$2:A86,Matriz[[#This Row],[Cat]],C$2:C86,Matriz[[#This Row],[Par]]),"000"))</x:f>
        <x:v>#NAME?</x:v>
      </x:c>
      <x:c r="F86" s="289" t="e">
        <x:f>IF(LEN(Matriz[[#This Row],[EDT]])=1,COUNTIF(Matriz[EDT],"?????????*"),IF(LEN(Matriz[[#This Row],[EDT]])=2,COUNTIF(Matriz[EDT],Matriz[[#This Row],[Cat]]&amp;"*")-1,0))</x:f>
        <x:v>#NAME?</x:v>
      </x:c>
      <x:c r="G86" s="165" t="e">
        <x:f>IF(Matriz[[#This Row],['# reque-rimientos]]&gt;0,"Sí","No")</x:f>
        <x:v>#REF!</x:v>
      </x:c>
      <x:c r="H86" s="165" t="e">
        <x:f>IF(Matriz[[#This Row],[Cat]]="0",0,IF(Matriz[[#This Row],[Par]]=0,1,LEN(Matriz[[#This Row],[EDT]])-LEN(SUBSTITUTE(Matriz[[#This Row],[EDT]],".",""))))</x:f>
        <x:v>#NAME?</x:v>
      </x:c>
      <x:c r="I86" s="168" t="s">
        <x:v>213</x:v>
      </x:c>
      <x:c r="J86" s="165"/>
      <x:c r="K86" s="165"/>
      <x:c r="L86" s="165"/>
      <x:c r="M86" s="165" t="s">
        <x:v>120</x:v>
      </x:c>
      <x:c r="N86" s="13" t="s">
        <x:v>126</x:v>
      </x:c>
      <x:c r="O86" s="165">
        <x:v>1</x:v>
      </x:c>
      <x:c r="R86" s="13">
        <x:v>6</x:v>
      </x:c>
      <x:c r="S86" s="13" t="s">
        <x:v>214</x:v>
      </x:c>
      <x:c r="W86" s="13" t="s">
        <x:v>215</x:v>
      </x:c>
      <x:c r="X86" s="284"/>
      <x:c r="Y86" s="285"/>
      <x:c r="Z86" s="284"/>
      <x:c r="AA86" s="13"/>
      <x:c r="AB86" s="286"/>
    </x:row>
    <x:row r="87" ht="12.75">
      <x:c r="A87" s="279" t="e">
        <x:f>_xlfn.XLOOKUP(Matriz[[#This Row],[Categoría]],Categoría[Categoría],Categoría[Cat],"NA",0)</x:f>
        <x:v>#NAME?</x:v>
      </x:c>
      <x:c r="B87" s="280" t="s">
        <x:v>216</x:v>
      </x:c>
      <x:c r="C87" s="281" t="e">
        <x:f>_xlfn.XLOOKUP(Matriz[[#This Row],[Parámetro]],Parámetro[Parámetro],Parámetro[Par],0,0)</x:f>
        <x:v>#NAME?</x:v>
      </x:c>
      <x:c r="E87" s="13" t="e">
        <x:f>Matriz[[#This Row],[Cat]]&amp;IF(Matriz[[#This Row],[Par]]=0,"","."&amp;Matriz[[#This Row],[Par]]&amp;"."&amp;TEXT(COUNTIFS(A$2:A87,Matriz[[#This Row],[Cat]],C$2:C87,Matriz[[#This Row],[Par]]),"000"))</x:f>
        <x:v>#NAME?</x:v>
      </x:c>
      <x:c r="F87" s="295" t="e">
        <x:f>IF(LEN(Matriz[[#This Row],[EDT]])=1,COUNTIF(Matriz[EDT],"?????????*"),IF(LEN(Matriz[[#This Row],[EDT]])=2,COUNTIF(Matriz[EDT],Matriz[[#This Row],[Cat]]&amp;"*")-1,0))</x:f>
        <x:v>#NAME?</x:v>
      </x:c>
      <x:c r="G87" s="13" t="e">
        <x:f>IF(Matriz[[#This Row],['# reque-rimientos]]&gt;0,"Sí","No")</x:f>
        <x:v>#REF!</x:v>
      </x:c>
      <x:c r="H87" s="13" t="e">
        <x:f>IF(Matriz[[#This Row],[Cat]]="0",0,IF(Matriz[[#This Row],[Par]]=0,1,LEN(Matriz[[#This Row],[EDT]])-LEN(SUBSTITUTE(Matriz[[#This Row],[EDT]],".",""))))</x:f>
        <x:v>#NAME?</x:v>
      </x:c>
      <x:c r="M87" s="13" t="s">
        <x:v>120</x:v>
      </x:c>
      <x:c r="O87" s="165">
        <x:v>1</x:v>
      </x:c>
      <x:c r="R87" s="287" t="e">
        <x:f>_xlfn.XLOOKUP(Matriz[[#This Row],[Cat]],Categoría[Cat],Categoría[IMP],"NA",0)</x:f>
        <x:v>#NAME?</x:v>
      </x:c>
      <x:c r="S87" s="13" t="s">
        <x:v>217</x:v>
      </x:c>
      <x:c r="X87" s="284"/>
      <x:c r="Y87" s="285"/>
      <x:c r="Z87" s="284"/>
      <x:c r="AA87" s="13"/>
      <x:c r="AB87" s="286"/>
    </x:row>
    <x:row r="88" ht="78.75" hidden="1">
      <x:c r="A88" s="290" t="e">
        <x:f>_xlfn.XLOOKUP(Matriz[[#This Row],[Categoría]],Categoría[Categoría],Categoría[Cat],"NA",0)</x:f>
        <x:v>#NAME?</x:v>
      </x:c>
      <x:c r="B88" s="165" t="s">
        <x:v>216</x:v>
      </x:c>
      <x:c r="C88" s="288" t="e">
        <x:f>_xlfn.XLOOKUP(Matriz[[#This Row],[Parámetro]],Parámetro[Parámetro],Parámetro[Par],0,0)</x:f>
        <x:v>#NAME?</x:v>
      </x:c>
      <x:c r="D88" s="165" t="s">
        <x:v>218</x:v>
      </x:c>
      <x:c r="E88" s="165" t="e">
        <x:f>Matriz[[#This Row],[Cat]]&amp;IF(Matriz[[#This Row],[Par]]=0,"","."&amp;Matriz[[#This Row],[Par]]&amp;"."&amp;TEXT(COUNTIFS(A$2:A88,Matriz[[#This Row],[Cat]],C$2:C88,Matriz[[#This Row],[Par]]),"000"))</x:f>
        <x:v>#NAME?</x:v>
      </x:c>
      <x:c r="F88" s="289" t="e">
        <x:f>IF(LEN(Matriz[[#This Row],[EDT]])=1,COUNTIF(Matriz[EDT],"?????????*"),IF(LEN(Matriz[[#This Row],[EDT]])=2,COUNTIF(Matriz[EDT],Matriz[[#This Row],[Cat]]&amp;"*")-1,0))</x:f>
        <x:v>#NAME?</x:v>
      </x:c>
      <x:c r="G88" s="165" t="e">
        <x:f>IF(Matriz[[#This Row],['# reque-rimientos]]&gt;0,"Sí","No")</x:f>
        <x:v>#REF!</x:v>
      </x:c>
      <x:c r="H88" s="165" t="e">
        <x:f>IF(Matriz[[#This Row],[Cat]]="0",0,IF(Matriz[[#This Row],[Par]]=0,1,LEN(Matriz[[#This Row],[EDT]])-LEN(SUBSTITUTE(Matriz[[#This Row],[EDT]],".",""))))</x:f>
        <x:v>#NAME?</x:v>
      </x:c>
      <x:c r="I88" s="13" t="s">
        <x:v>219</x:v>
      </x:c>
      <x:c r="M88" s="13" t="s">
        <x:v>32</x:v>
      </x:c>
      <x:c r="N88" s="13" t="s">
        <x:v>220</x:v>
      </x:c>
      <x:c r="O88" s="165">
        <x:v>2</x:v>
      </x:c>
      <x:c r="R88" s="13">
        <x:v>5</x:v>
      </x:c>
      <x:c r="S88" s="13" t="s">
        <x:v>217</x:v>
      </x:c>
      <x:c r="X88" s="284" t="str">
        <x:v>Oracle Aconex + integración con Oracle Primavera Cloud/Unifier cuando aplique</x:v>
      </x:c>
      <x:c r="Y88" s="285"/>
      <x:c r="Z88" s="284"/>
      <x:c r="AA88" s="13"/>
      <x:c r="AB88" s="286"/>
    </x:row>
    <x:row r="89" hidden="1">
      <x:c r="A89" s="290" t="e">
        <x:f>_xlfn.XLOOKUP(Matriz[[#This Row],[Categoría]],Categoría[Categoría],Categoría[Cat],"NA",0)</x:f>
        <x:v>#NAME?</x:v>
      </x:c>
      <x:c r="B89" s="165" t="s">
        <x:v>216</x:v>
      </x:c>
      <x:c r="C89" s="288" t="e">
        <x:f>_xlfn.XLOOKUP(Matriz[[#This Row],[Parámetro]],Parámetro[Parámetro],Parámetro[Par],0,0)</x:f>
        <x:v>#NAME?</x:v>
      </x:c>
      <x:c r="D89" s="165" t="s">
        <x:v>218</x:v>
      </x:c>
      <x:c r="E89" s="165" t="e">
        <x:f>Matriz[[#This Row],[Cat]]&amp;IF(Matriz[[#This Row],[Par]]=0,"","."&amp;Matriz[[#This Row],[Par]]&amp;"."&amp;TEXT(COUNTIFS(A$2:A89,Matriz[[#This Row],[Cat]],C$2:C89,Matriz[[#This Row],[Par]]),"000"))</x:f>
        <x:v>#NAME?</x:v>
      </x:c>
      <x:c r="F89" s="289" t="e">
        <x:f>IF(LEN(Matriz[[#This Row],[EDT]])=1,COUNTIF(Matriz[EDT],"?????????*"),IF(LEN(Matriz[[#This Row],[EDT]])=2,COUNTIF(Matriz[EDT],Matriz[[#This Row],[Cat]]&amp;"*")-1,0))</x:f>
        <x:v>#NAME?</x:v>
      </x:c>
      <x:c r="G89" s="165" t="e">
        <x:f>IF(Matriz[[#This Row],['# reque-rimientos]]&gt;0,"Sí","No")</x:f>
        <x:v>#REF!</x:v>
      </x:c>
      <x:c r="H89" s="165" t="e">
        <x:f>IF(Matriz[[#This Row],[Cat]]="0",0,IF(Matriz[[#This Row],[Par]]=0,1,LEN(Matriz[[#This Row],[EDT]])-LEN(SUBSTITUTE(Matriz[[#This Row],[EDT]],".",""))))</x:f>
        <x:v>#NAME?</x:v>
      </x:c>
      <x:c r="I89" s="13" t="s">
        <x:v>221</x:v>
      </x:c>
      <x:c r="M89" s="13" t="s">
        <x:v>120</x:v>
      </x:c>
      <x:c r="O89" s="165">
        <x:v>4</x:v>
      </x:c>
      <x:c r="R89" s="13">
        <x:v>7</x:v>
      </x:c>
      <x:c r="S89" s="13" t="s">
        <x:v>217</x:v>
      </x:c>
      <x:c r="X89" s="284" t="str">
        <x:v>Oracle Aconex + integración con Oracle Primavera Cloud/Unifier cuando aplique</x:v>
      </x:c>
      <x:c r="Y89" s="285"/>
      <x:c r="Z89" s="284"/>
      <x:c r="AA89" s="13"/>
      <x:c r="AB89" s="286"/>
    </x:row>
    <x:row r="90" hidden="1">
      <x:c r="A90" s="290" t="e">
        <x:f>_xlfn.XLOOKUP(Matriz[[#This Row],[Categoría]],Categoría[Categoría],Categoría[Cat],"NA",0)</x:f>
        <x:v>#NAME?</x:v>
      </x:c>
      <x:c r="B90" s="165" t="s">
        <x:v>216</x:v>
      </x:c>
      <x:c r="C90" s="288" t="e">
        <x:f>_xlfn.XLOOKUP(Matriz[[#This Row],[Parámetro]],Parámetro[Parámetro],Parámetro[Par],0,0)</x:f>
        <x:v>#NAME?</x:v>
      </x:c>
      <x:c r="D90" s="165" t="s">
        <x:v>218</x:v>
      </x:c>
      <x:c r="E90" s="165" t="e">
        <x:f>Matriz[[#This Row],[Cat]]&amp;IF(Matriz[[#This Row],[Par]]=0,"","."&amp;Matriz[[#This Row],[Par]]&amp;"."&amp;TEXT(COUNTIFS(A$2:A90,Matriz[[#This Row],[Cat]],C$2:C90,Matriz[[#This Row],[Par]]),"000"))</x:f>
        <x:v>#NAME?</x:v>
      </x:c>
      <x:c r="F90" s="289" t="e">
        <x:f>IF(LEN(Matriz[[#This Row],[EDT]])=1,COUNTIF(Matriz[EDT],"?????????*"),IF(LEN(Matriz[[#This Row],[EDT]])=2,COUNTIF(Matriz[EDT],Matriz[[#This Row],[Cat]]&amp;"*")-1,0))</x:f>
        <x:v>#NAME?</x:v>
      </x:c>
      <x:c r="G90" s="165" t="e">
        <x:f>IF(Matriz[[#This Row],['# reque-rimientos]]&gt;0,"Sí","No")</x:f>
        <x:v>#REF!</x:v>
      </x:c>
      <x:c r="H90" s="165" t="e">
        <x:f>IF(Matriz[[#This Row],[Cat]]="0",0,IF(Matriz[[#This Row],[Par]]=0,1,LEN(Matriz[[#This Row],[EDT]])-LEN(SUBSTITUTE(Matriz[[#This Row],[EDT]],".",""))))</x:f>
        <x:v>#NAME?</x:v>
      </x:c>
      <x:c r="I90" s="13" t="s">
        <x:v>222</x:v>
      </x:c>
      <x:c r="M90" s="13" t="s">
        <x:v>120</x:v>
      </x:c>
      <x:c r="O90" s="165">
        <x:v>2</x:v>
      </x:c>
      <x:c r="R90" s="13">
        <x:v>7</x:v>
      </x:c>
      <x:c r="S90" s="13" t="s">
        <x:v>217</x:v>
      </x:c>
      <x:c r="X90" s="284" t="str">
        <x:v>Oracle Aconex + integración con Oracle Primavera Cloud/Unifier cuando aplique</x:v>
      </x:c>
      <x:c r="Y90" s="285"/>
      <x:c r="Z90" s="284"/>
      <x:c r="AA90" s="13"/>
      <x:c r="AB90" s="286"/>
    </x:row>
    <x:row r="91">
      <x:c r="A91" s="290" t="e">
        <x:f>_xlfn.XLOOKUP(Matriz[[#This Row],[Categoría]],Categoría[Categoría],Categoría[Cat],"NA",0)</x:f>
        <x:v>#NAME?</x:v>
      </x:c>
      <x:c r="B91" s="165" t="s">
        <x:v>216</x:v>
      </x:c>
      <x:c r="C91" s="288" t="e">
        <x:f>_xlfn.XLOOKUP(Matriz[[#This Row],[Parámetro]],Parámetro[Parámetro],Parámetro[Par],0,0)</x:f>
        <x:v>#NAME?</x:v>
      </x:c>
      <x:c r="D91" s="165" t="s">
        <x:v>218</x:v>
      </x:c>
      <x:c r="E91" s="165" t="e">
        <x:f>Matriz[[#This Row],[Cat]]&amp;IF(Matriz[[#This Row],[Par]]=0,"","."&amp;Matriz[[#This Row],[Par]]&amp;"."&amp;TEXT(COUNTIFS(A$2:A91,Matriz[[#This Row],[Cat]],C$2:C91,Matriz[[#This Row],[Par]]),"000"))</x:f>
        <x:v>#NAME?</x:v>
      </x:c>
      <x:c r="F91" s="289" t="e">
        <x:f>IF(LEN(Matriz[[#This Row],[EDT]])=1,COUNTIF(Matriz[EDT],"?????????*"),IF(LEN(Matriz[[#This Row],[EDT]])=2,COUNTIF(Matriz[EDT],Matriz[[#This Row],[Cat]]&amp;"*")-1,0))</x:f>
        <x:v>#NAME?</x:v>
      </x:c>
      <x:c r="G91" s="165" t="e">
        <x:f>IF(Matriz[[#This Row],['# reque-rimientos]]&gt;0,"Sí","No")</x:f>
        <x:v>#REF!</x:v>
      </x:c>
      <x:c r="H91" s="165" t="e">
        <x:f>IF(Matriz[[#This Row],[Cat]]="0",0,IF(Matriz[[#This Row],[Par]]=0,1,LEN(Matriz[[#This Row],[EDT]])-LEN(SUBSTITUTE(Matriz[[#This Row],[EDT]],".",""))))</x:f>
        <x:v>#NAME?</x:v>
      </x:c>
      <x:c r="I91" s="13" t="s">
        <x:v>223</x:v>
      </x:c>
      <x:c r="M91" s="13" t="s">
        <x:v>120</x:v>
      </x:c>
      <x:c r="O91" s="165">
        <x:v>1</x:v>
      </x:c>
      <x:c r="R91" s="13">
        <x:v>7</x:v>
      </x:c>
      <x:c r="S91" s="13" t="s">
        <x:v>83</x:v>
      </x:c>
      <x:c r="X91" s="284" t="str">
        <x:v>Oracle Aconex + integración con Oracle Primavera Cloud/Unifier cuando aplique</x:v>
      </x:c>
      <x:c r="Y91" s="285"/>
      <x:c r="Z91" s="284"/>
      <x:c r="AA91" s="13"/>
      <x:c r="AB91" s="286"/>
    </x:row>
    <x:row r="92">
      <x:c r="A92" s="290" t="e">
        <x:f>_xlfn.XLOOKUP(Matriz[[#This Row],[Categoría]],Categoría[Categoría],Categoría[Cat],"NA",0)</x:f>
        <x:v>#NAME?</x:v>
      </x:c>
      <x:c r="B92" s="165" t="s">
        <x:v>216</x:v>
      </x:c>
      <x:c r="C92" s="288" t="e">
        <x:f>_xlfn.XLOOKUP(Matriz[[#This Row],[Parámetro]],Parámetro[Parámetro],Parámetro[Par],0,0)</x:f>
        <x:v>#NAME?</x:v>
      </x:c>
      <x:c r="D92" s="165" t="s">
        <x:v>218</x:v>
      </x:c>
      <x:c r="E92" s="165" t="e">
        <x:f>Matriz[[#This Row],[Cat]]&amp;IF(Matriz[[#This Row],[Par]]=0,"","."&amp;Matriz[[#This Row],[Par]]&amp;"."&amp;TEXT(COUNTIFS(A$2:A92,Matriz[[#This Row],[Cat]],C$2:C92,Matriz[[#This Row],[Par]]),"000"))</x:f>
        <x:v>#NAME?</x:v>
      </x:c>
      <x:c r="F92" s="289" t="e">
        <x:f>IF(LEN(Matriz[[#This Row],[EDT]])=1,COUNTIF(Matriz[EDT],"?????????*"),IF(LEN(Matriz[[#This Row],[EDT]])=2,COUNTIF(Matriz[EDT],Matriz[[#This Row],[Cat]]&amp;"*")-1,0))</x:f>
        <x:v>#NAME?</x:v>
      </x:c>
      <x:c r="G92" s="165" t="e">
        <x:f>IF(Matriz[[#This Row],['# reque-rimientos]]&gt;0,"Sí","No")</x:f>
        <x:v>#REF!</x:v>
      </x:c>
      <x:c r="H92" s="165" t="e">
        <x:f>IF(Matriz[[#This Row],[Cat]]="0",0,IF(Matriz[[#This Row],[Par]]=0,1,LEN(Matriz[[#This Row],[EDT]])-LEN(SUBSTITUTE(Matriz[[#This Row],[EDT]],".",""))))</x:f>
        <x:v>#NAME?</x:v>
      </x:c>
      <x:c r="I92" s="13" t="s">
        <x:v>224</x:v>
      </x:c>
      <x:c r="M92" s="13" t="s">
        <x:v>120</x:v>
      </x:c>
      <x:c r="O92" s="165">
        <x:v>1</x:v>
      </x:c>
      <x:c r="R92" s="13">
        <x:v>7</x:v>
      </x:c>
      <x:c r="S92" s="13" t="s">
        <x:v>83</x:v>
      </x:c>
      <x:c r="X92" s="284" t="str">
        <x:v>Oracle Aconex + integración con Oracle Primavera Cloud/Unifier cuando aplique</x:v>
      </x:c>
      <x:c r="Y92" s="285"/>
      <x:c r="Z92" s="284"/>
      <x:c r="AA92" s="13"/>
      <x:c r="AB92" s="286"/>
    </x:row>
    <x:row r="93">
      <x:c r="A93" s="290" t="e">
        <x:f>_xlfn.XLOOKUP(Matriz[[#This Row],[Categoría]],Categoría[Categoría],Categoría[Cat],"NA",0)</x:f>
        <x:v>#NAME?</x:v>
      </x:c>
      <x:c r="B93" s="165" t="s">
        <x:v>216</x:v>
      </x:c>
      <x:c r="C93" s="288" t="e">
        <x:f>_xlfn.XLOOKUP(Matriz[[#This Row],[Parámetro]],Parámetro[Parámetro],Parámetro[Par],0,0)</x:f>
        <x:v>#NAME?</x:v>
      </x:c>
      <x:c r="D93" s="165" t="s">
        <x:v>218</x:v>
      </x:c>
      <x:c r="E93" s="165" t="e">
        <x:f>Matriz[[#This Row],[Cat]]&amp;IF(Matriz[[#This Row],[Par]]=0,"","."&amp;Matriz[[#This Row],[Par]]&amp;"."&amp;TEXT(COUNTIFS(A$2:A93,Matriz[[#This Row],[Cat]],C$2:C93,Matriz[[#This Row],[Par]]),"000"))</x:f>
        <x:v>#NAME?</x:v>
      </x:c>
      <x:c r="F93" s="289" t="e">
        <x:f>IF(LEN(Matriz[[#This Row],[EDT]])=1,COUNTIF(Matriz[EDT],"?????????*"),IF(LEN(Matriz[[#This Row],[EDT]])=2,COUNTIF(Matriz[EDT],Matriz[[#This Row],[Cat]]&amp;"*")-1,0))</x:f>
        <x:v>#NAME?</x:v>
      </x:c>
      <x:c r="G93" s="165" t="e">
        <x:f>IF(Matriz[[#This Row],['# reque-rimientos]]&gt;0,"Sí","No")</x:f>
        <x:v>#REF!</x:v>
      </x:c>
      <x:c r="H93" s="165" t="e">
        <x:f>IF(Matriz[[#This Row],[Cat]]="0",0,IF(Matriz[[#This Row],[Par]]=0,1,LEN(Matriz[[#This Row],[EDT]])-LEN(SUBSTITUTE(Matriz[[#This Row],[EDT]],".",""))))</x:f>
        <x:v>#NAME?</x:v>
      </x:c>
      <x:c r="I93" s="13" t="s">
        <x:v>225</x:v>
      </x:c>
      <x:c r="M93" s="13" t="s">
        <x:v>120</x:v>
      </x:c>
      <x:c r="O93" s="165">
        <x:v>1</x:v>
      </x:c>
      <x:c r="R93" s="13">
        <x:v>7</x:v>
      </x:c>
      <x:c r="S93" s="13" t="s">
        <x:v>217</x:v>
      </x:c>
      <x:c r="X93" s="284" t="str">
        <x:v>Oracle Aconex + integración con Oracle Primavera Cloud/Unifier cuando aplique</x:v>
      </x:c>
      <x:c r="Y93" s="285"/>
      <x:c r="Z93" s="284"/>
      <x:c r="AA93" s="13"/>
      <x:c r="AB93" s="286"/>
    </x:row>
    <x:row r="94" ht="33.75">
      <x:c r="A94" s="290" t="e">
        <x:f>_xlfn.XLOOKUP(Matriz[[#This Row],[Categoría]],Categoría[Categoría],Categoría[Cat],"NA",0)</x:f>
        <x:v>#NAME?</x:v>
      </x:c>
      <x:c r="B94" s="165" t="s">
        <x:v>216</x:v>
      </x:c>
      <x:c r="C94" s="288" t="e">
        <x:f>_xlfn.XLOOKUP(Matriz[[#This Row],[Parámetro]],Parámetro[Parámetro],Parámetro[Par],0,0)</x:f>
        <x:v>#NAME?</x:v>
      </x:c>
      <x:c r="D94" s="165" t="s">
        <x:v>218</x:v>
      </x:c>
      <x:c r="E94" s="165" t="e">
        <x:f>Matriz[[#This Row],[Cat]]&amp;IF(Matriz[[#This Row],[Par]]=0,"","."&amp;Matriz[[#This Row],[Par]]&amp;"."&amp;TEXT(COUNTIFS(A$2:A94,Matriz[[#This Row],[Cat]],C$2:C94,Matriz[[#This Row],[Par]]),"000"))</x:f>
        <x:v>#NAME?</x:v>
      </x:c>
      <x:c r="F94" s="289" t="e">
        <x:f>IF(LEN(Matriz[[#This Row],[EDT]])=1,COUNTIF(Matriz[EDT],"?????????*"),IF(LEN(Matriz[[#This Row],[EDT]])=2,COUNTIF(Matriz[EDT],Matriz[[#This Row],[Cat]]&amp;"*")-1,0))</x:f>
        <x:v>#NAME?</x:v>
      </x:c>
      <x:c r="G94" s="165" t="e">
        <x:f>IF(Matriz[[#This Row],['# reque-rimientos]]&gt;0,"Sí","No")</x:f>
        <x:v>#REF!</x:v>
      </x:c>
      <x:c r="H94" s="165" t="e">
        <x:f>IF(Matriz[[#This Row],[Cat]]="0",0,IF(Matriz[[#This Row],[Par]]=0,1,LEN(Matriz[[#This Row],[EDT]])-LEN(SUBSTITUTE(Matriz[[#This Row],[EDT]],".",""))))</x:f>
        <x:v>#NAME?</x:v>
      </x:c>
      <x:c r="I94" s="13" t="s">
        <x:v>226</x:v>
      </x:c>
      <x:c r="M94" s="13" t="s">
        <x:v>30</x:v>
      </x:c>
      <x:c r="N94" s="13" t="s">
        <x:v>227</x:v>
      </x:c>
      <x:c r="O94" s="165">
        <x:v>1</x:v>
      </x:c>
      <x:c r="R94" s="13">
        <x:v>8</x:v>
      </x:c>
      <x:c r="S94" s="13" t="s">
        <x:v>83</x:v>
      </x:c>
      <x:c r="X94" s="284" t="str">
        <x:v>Oracle Aconex + integración con Oracle Primavera Cloud/Unifier cuando aplique</x:v>
      </x:c>
      <x:c r="Y94" s="285"/>
      <x:c r="Z94" s="284"/>
      <x:c r="AA94" s="13"/>
      <x:c r="AB94" s="286"/>
    </x:row>
    <x:row r="95">
      <x:c r="A95" s="290" t="e">
        <x:f>_xlfn.XLOOKUP(Matriz[[#This Row],[Categoría]],Categoría[Categoría],Categoría[Cat],"NA",0)</x:f>
        <x:v>#NAME?</x:v>
      </x:c>
      <x:c r="B95" s="165" t="s">
        <x:v>216</x:v>
      </x:c>
      <x:c r="C95" s="288" t="e">
        <x:f>_xlfn.XLOOKUP(Matriz[[#This Row],[Parámetro]],Parámetro[Parámetro],Parámetro[Par],0,0)</x:f>
        <x:v>#NAME?</x:v>
      </x:c>
      <x:c r="D95" s="165" t="s">
        <x:v>218</x:v>
      </x:c>
      <x:c r="E95" s="165" t="e">
        <x:f>Matriz[[#This Row],[Cat]]&amp;IF(Matriz[[#This Row],[Par]]=0,"","."&amp;Matriz[[#This Row],[Par]]&amp;"."&amp;TEXT(COUNTIFS(A$2:A95,Matriz[[#This Row],[Cat]],C$2:C95,Matriz[[#This Row],[Par]]),"000"))</x:f>
        <x:v>#NAME?</x:v>
      </x:c>
      <x:c r="F95" s="289" t="e">
        <x:f>IF(LEN(Matriz[[#This Row],[EDT]])=1,COUNTIF(Matriz[EDT],"?????????*"),IF(LEN(Matriz[[#This Row],[EDT]])=2,COUNTIF(Matriz[EDT],Matriz[[#This Row],[Cat]]&amp;"*")-1,0))</x:f>
        <x:v>#NAME?</x:v>
      </x:c>
      <x:c r="G95" s="165" t="e">
        <x:f>IF(Matriz[[#This Row],['# reque-rimientos]]&gt;0,"Sí","No")</x:f>
        <x:v>#REF!</x:v>
      </x:c>
      <x:c r="H95" s="165" t="e">
        <x:f>IF(Matriz[[#This Row],[Cat]]="0",0,IF(Matriz[[#This Row],[Par]]=0,1,LEN(Matriz[[#This Row],[EDT]])-LEN(SUBSTITUTE(Matriz[[#This Row],[EDT]],".",""))))</x:f>
        <x:v>#NAME?</x:v>
      </x:c>
      <x:c r="I95" s="13" t="s">
        <x:v>228</x:v>
      </x:c>
      <x:c r="M95" s="13" t="s">
        <x:v>30</x:v>
      </x:c>
      <x:c r="O95" s="165">
        <x:v>1</x:v>
      </x:c>
      <x:c r="R95" s="13">
        <x:v>7</x:v>
      </x:c>
      <x:c r="S95" s="13" t="s">
        <x:v>118</x:v>
      </x:c>
      <x:c r="X95" s="284" t="str">
        <x:v>Oracle Aconex + integración con Oracle Primavera Cloud/Unifier cuando aplique</x:v>
      </x:c>
      <x:c r="Y95" s="285"/>
      <x:c r="Z95" s="284"/>
      <x:c r="AA95" s="13"/>
      <x:c r="AB95" s="286"/>
    </x:row>
    <x:row r="96">
      <x:c r="A96" s="290" t="e">
        <x:f>_xlfn.XLOOKUP(Matriz[[#This Row],[Categoría]],Categoría[Categoría],Categoría[Cat],"NA",0)</x:f>
        <x:v>#NAME?</x:v>
      </x:c>
      <x:c r="B96" s="165" t="s">
        <x:v>216</x:v>
      </x:c>
      <x:c r="C96" s="288" t="e">
        <x:f>_xlfn.XLOOKUP(Matriz[[#This Row],[Parámetro]],Parámetro[Parámetro],Parámetro[Par],0,0)</x:f>
        <x:v>#NAME?</x:v>
      </x:c>
      <x:c r="D96" s="165" t="s">
        <x:v>218</x:v>
      </x:c>
      <x:c r="E96" s="165" t="e">
        <x:f>Matriz[[#This Row],[Cat]]&amp;IF(Matriz[[#This Row],[Par]]=0,"","."&amp;Matriz[[#This Row],[Par]]&amp;"."&amp;TEXT(COUNTIFS(A$2:A96,Matriz[[#This Row],[Cat]],C$2:C96,Matriz[[#This Row],[Par]]),"000"))</x:f>
        <x:v>#NAME?</x:v>
      </x:c>
      <x:c r="F96" s="289" t="e">
        <x:f>IF(LEN(Matriz[[#This Row],[EDT]])=1,COUNTIF(Matriz[EDT],"?????????*"),IF(LEN(Matriz[[#This Row],[EDT]])=2,COUNTIF(Matriz[EDT],Matriz[[#This Row],[Cat]]&amp;"*")-1,0))</x:f>
        <x:v>#NAME?</x:v>
      </x:c>
      <x:c r="G96" s="165" t="e">
        <x:f>IF(Matriz[[#This Row],['# reque-rimientos]]&gt;0,"Sí","No")</x:f>
        <x:v>#REF!</x:v>
      </x:c>
      <x:c r="H96" s="165" t="e">
        <x:f>IF(Matriz[[#This Row],[Cat]]="0",0,IF(Matriz[[#This Row],[Par]]=0,1,LEN(Matriz[[#This Row],[EDT]])-LEN(SUBSTITUTE(Matriz[[#This Row],[EDT]],".",""))))</x:f>
        <x:v>#NAME?</x:v>
      </x:c>
      <x:c r="I96" s="13" t="s">
        <x:v>229</x:v>
      </x:c>
      <x:c r="M96" s="13" t="s">
        <x:v>120</x:v>
      </x:c>
      <x:c r="O96" s="165">
        <x:v>1</x:v>
      </x:c>
      <x:c r="R96" s="13">
        <x:v>7</x:v>
      </x:c>
      <x:c r="S96" s="13" t="s">
        <x:v>118</x:v>
      </x:c>
      <x:c r="X96" s="284" t="str">
        <x:v>Oracle Aconex + integración con Oracle Primavera Cloud/Unifier cuando aplique</x:v>
      </x:c>
      <x:c r="Y96" s="285"/>
      <x:c r="Z96" s="284"/>
      <x:c r="AA96" s="13"/>
      <x:c r="AB96" s="286"/>
    </x:row>
    <x:row r="97">
      <x:c r="A97" s="290" t="e">
        <x:f>_xlfn.XLOOKUP(Matriz[[#This Row],[Categoría]],Categoría[Categoría],Categoría[Cat],"NA",0)</x:f>
        <x:v>#NAME?</x:v>
      </x:c>
      <x:c r="B97" s="165" t="s">
        <x:v>216</x:v>
      </x:c>
      <x:c r="C97" s="288" t="e">
        <x:f>_xlfn.XLOOKUP(Matriz[[#This Row],[Parámetro]],Parámetro[Parámetro],Parámetro[Par],0,0)</x:f>
        <x:v>#NAME?</x:v>
      </x:c>
      <x:c r="D97" s="165" t="s">
        <x:v>218</x:v>
      </x:c>
      <x:c r="E97" s="165" t="e">
        <x:f>Matriz[[#This Row],[Cat]]&amp;IF(Matriz[[#This Row],[Par]]=0,"","."&amp;Matriz[[#This Row],[Par]]&amp;"."&amp;TEXT(COUNTIFS(A$2:A97,Matriz[[#This Row],[Cat]],C$2:C97,Matriz[[#This Row],[Par]]),"000"))</x:f>
        <x:v>#NAME?</x:v>
      </x:c>
      <x:c r="F97" s="289" t="e">
        <x:f>IF(LEN(Matriz[[#This Row],[EDT]])=1,COUNTIF(Matriz[EDT],"?????????*"),IF(LEN(Matriz[[#This Row],[EDT]])=2,COUNTIF(Matriz[EDT],Matriz[[#This Row],[Cat]]&amp;"*")-1,0))</x:f>
        <x:v>#NAME?</x:v>
      </x:c>
      <x:c r="G97" s="165" t="e">
        <x:f>IF(Matriz[[#This Row],['# reque-rimientos]]&gt;0,"Sí","No")</x:f>
        <x:v>#REF!</x:v>
      </x:c>
      <x:c r="H97" s="165" t="e">
        <x:f>IF(Matriz[[#This Row],[Cat]]="0",0,IF(Matriz[[#This Row],[Par]]=0,1,LEN(Matriz[[#This Row],[EDT]])-LEN(SUBSTITUTE(Matriz[[#This Row],[EDT]],".",""))))</x:f>
        <x:v>#NAME?</x:v>
      </x:c>
      <x:c r="I97" s="13" t="s">
        <x:v>230</x:v>
      </x:c>
      <x:c r="M97" s="13" t="s">
        <x:v>120</x:v>
      </x:c>
      <x:c r="O97" s="165">
        <x:v>1</x:v>
      </x:c>
      <x:c r="R97" s="13">
        <x:v>7</x:v>
      </x:c>
      <x:c r="S97" s="13" t="s">
        <x:v>83</x:v>
      </x:c>
      <x:c r="X97" s="284" t="str">
        <x:v>Oracle Aconex + integración con Oracle Primavera Cloud/Unifier cuando aplique</x:v>
      </x:c>
      <x:c r="Y97" s="285"/>
      <x:c r="Z97" s="284"/>
      <x:c r="AA97" s="13"/>
      <x:c r="AB97" s="286"/>
    </x:row>
    <x:row r="98" ht="22.5">
      <x:c r="A98" s="290" t="e">
        <x:f>_xlfn.XLOOKUP(Matriz[[#This Row],[Categoría]],Categoría[Categoría],Categoría[Cat],"NA",0)</x:f>
        <x:v>#NAME?</x:v>
      </x:c>
      <x:c r="B98" s="165" t="s">
        <x:v>216</x:v>
      </x:c>
      <x:c r="C98" s="288" t="e">
        <x:f>_xlfn.XLOOKUP(Matriz[[#This Row],[Parámetro]],Parámetro[Parámetro],Parámetro[Par],0,0)</x:f>
        <x:v>#NAME?</x:v>
      </x:c>
      <x:c r="D98" s="165" t="s">
        <x:v>218</x:v>
      </x:c>
      <x:c r="E98" s="165" t="e">
        <x:f>Matriz[[#This Row],[Cat]]&amp;IF(Matriz[[#This Row],[Par]]=0,"","."&amp;Matriz[[#This Row],[Par]]&amp;"."&amp;TEXT(COUNTIFS(A$2:A98,Matriz[[#This Row],[Cat]],C$2:C98,Matriz[[#This Row],[Par]]),"000"))</x:f>
        <x:v>#NAME?</x:v>
      </x:c>
      <x:c r="F98" s="289" t="e">
        <x:f>IF(LEN(Matriz[[#This Row],[EDT]])=1,COUNTIF(Matriz[EDT],"?????????*"),IF(LEN(Matriz[[#This Row],[EDT]])=2,COUNTIF(Matriz[EDT],Matriz[[#This Row],[Cat]]&amp;"*")-1,0))</x:f>
        <x:v>#NAME?</x:v>
      </x:c>
      <x:c r="G98" s="165" t="e">
        <x:f>IF(Matriz[[#This Row],['# reque-rimientos]]&gt;0,"Sí","No")</x:f>
        <x:v>#REF!</x:v>
      </x:c>
      <x:c r="H98" s="165" t="e">
        <x:f>IF(Matriz[[#This Row],[Cat]]="0",0,IF(Matriz[[#This Row],[Par]]=0,1,LEN(Matriz[[#This Row],[EDT]])-LEN(SUBSTITUTE(Matriz[[#This Row],[EDT]],".",""))))</x:f>
        <x:v>#NAME?</x:v>
      </x:c>
      <x:c r="I98" s="13" t="s">
        <x:v>231</x:v>
      </x:c>
      <x:c r="M98" s="13" t="s">
        <x:v>120</x:v>
      </x:c>
      <x:c r="O98" s="165">
        <x:v>1</x:v>
      </x:c>
      <x:c r="R98" s="13">
        <x:v>7</x:v>
      </x:c>
      <x:c r="S98" s="13" t="s">
        <x:v>118</x:v>
      </x:c>
      <x:c r="X98" s="284" t="str">
        <x:v>Oracle Aconex + integración con Oracle Primavera Cloud/Unifier cuando aplique</x:v>
      </x:c>
      <x:c r="Y98" s="285"/>
      <x:c r="Z98" s="284"/>
      <x:c r="AA98" s="13"/>
      <x:c r="AB98" s="286"/>
    </x:row>
    <x:row r="99">
      <x:c r="A99" s="290" t="e">
        <x:f>_xlfn.XLOOKUP(Matriz[[#This Row],[Categoría]],Categoría[Categoría],Categoría[Cat],"NA",0)</x:f>
        <x:v>#NAME?</x:v>
      </x:c>
      <x:c r="B99" s="165" t="s">
        <x:v>216</x:v>
      </x:c>
      <x:c r="C99" s="288" t="e">
        <x:f>_xlfn.XLOOKUP(Matriz[[#This Row],[Parámetro]],Parámetro[Parámetro],Parámetro[Par],0,0)</x:f>
        <x:v>#NAME?</x:v>
      </x:c>
      <x:c r="D99" s="165" t="s">
        <x:v>218</x:v>
      </x:c>
      <x:c r="E99" s="165" t="e">
        <x:f>Matriz[[#This Row],[Cat]]&amp;IF(Matriz[[#This Row],[Par]]=0,"","."&amp;Matriz[[#This Row],[Par]]&amp;"."&amp;TEXT(COUNTIFS(A$2:A99,Matriz[[#This Row],[Cat]],C$2:C99,Matriz[[#This Row],[Par]]),"000"))</x:f>
        <x:v>#NAME?</x:v>
      </x:c>
      <x:c r="F99" s="289" t="e">
        <x:f>IF(LEN(Matriz[[#This Row],[EDT]])=1,COUNTIF(Matriz[EDT],"?????????*"),IF(LEN(Matriz[[#This Row],[EDT]])=2,COUNTIF(Matriz[EDT],Matriz[[#This Row],[Cat]]&amp;"*")-1,0))</x:f>
        <x:v>#NAME?</x:v>
      </x:c>
      <x:c r="G99" s="165" t="e">
        <x:f>IF(Matriz[[#This Row],['# reque-rimientos]]&gt;0,"Sí","No")</x:f>
        <x:v>#REF!</x:v>
      </x:c>
      <x:c r="H99" s="165" t="e">
        <x:f>IF(Matriz[[#This Row],[Cat]]="0",0,IF(Matriz[[#This Row],[Par]]=0,1,LEN(Matriz[[#This Row],[EDT]])-LEN(SUBSTITUTE(Matriz[[#This Row],[EDT]],".",""))))</x:f>
        <x:v>#NAME?</x:v>
      </x:c>
      <x:c r="I99" s="13" t="s">
        <x:v>232</x:v>
      </x:c>
      <x:c r="M99" s="13" t="s">
        <x:v>120</x:v>
      </x:c>
      <x:c r="O99" s="165">
        <x:v>1</x:v>
      </x:c>
      <x:c r="R99" s="13">
        <x:v>7</x:v>
      </x:c>
      <x:c r="S99" s="13" t="s">
        <x:v>118</x:v>
      </x:c>
      <x:c r="X99" s="284" t="str">
        <x:v>Oracle Aconex + integración con Oracle Primavera Cloud/Unifier cuando aplique</x:v>
      </x:c>
      <x:c r="Y99" s="285"/>
      <x:c r="Z99" s="284"/>
      <x:c r="AA99" s="13"/>
      <x:c r="AB99" s="286"/>
    </x:row>
    <x:row r="100" ht="22.5">
      <x:c r="A100" s="290" t="e">
        <x:f>_xlfn.XLOOKUP(Matriz[[#This Row],[Categoría]],Categoría[Categoría],Categoría[Cat],"NA",0)</x:f>
        <x:v>#NAME?</x:v>
      </x:c>
      <x:c r="B100" s="165" t="s">
        <x:v>216</x:v>
      </x:c>
      <x:c r="C100" s="288" t="e">
        <x:f>_xlfn.XLOOKUP(Matriz[[#This Row],[Parámetro]],Parámetro[Parámetro],Parámetro[Par],0,0)</x:f>
        <x:v>#NAME?</x:v>
      </x:c>
      <x:c r="D100" s="165" t="s">
        <x:v>218</x:v>
      </x:c>
      <x:c r="E100" s="165" t="e">
        <x:f>Matriz[[#This Row],[Cat]]&amp;IF(Matriz[[#This Row],[Par]]=0,"","."&amp;Matriz[[#This Row],[Par]]&amp;"."&amp;TEXT(COUNTIFS(A$2:A100,Matriz[[#This Row],[Cat]],C$2:C100,Matriz[[#This Row],[Par]]),"000"))</x:f>
        <x:v>#NAME?</x:v>
      </x:c>
      <x:c r="F100" s="289" t="e">
        <x:f>IF(LEN(Matriz[[#This Row],[EDT]])=1,COUNTIF(Matriz[EDT],"?????????*"),IF(LEN(Matriz[[#This Row],[EDT]])=2,COUNTIF(Matriz[EDT],Matriz[[#This Row],[Cat]]&amp;"*")-1,0))</x:f>
        <x:v>#NAME?</x:v>
      </x:c>
      <x:c r="G100" s="165" t="e">
        <x:f>IF(Matriz[[#This Row],['# reque-rimientos]]&gt;0,"Sí","No")</x:f>
        <x:v>#REF!</x:v>
      </x:c>
      <x:c r="H100" s="165" t="e">
        <x:f>IF(Matriz[[#This Row],[Cat]]="0",0,IF(Matriz[[#This Row],[Par]]=0,1,LEN(Matriz[[#This Row],[EDT]])-LEN(SUBSTITUTE(Matriz[[#This Row],[EDT]],".",""))))</x:f>
        <x:v>#NAME?</x:v>
      </x:c>
      <x:c r="I100" s="165" t="s">
        <x:v>233</x:v>
      </x:c>
      <x:c r="K100" s="291"/>
      <x:c r="L100" s="291"/>
      <x:c r="M100" s="13" t="s">
        <x:v>120</x:v>
      </x:c>
      <x:c r="N100" s="165" t="s">
        <x:v>234</x:v>
      </x:c>
      <x:c r="O100" s="165">
        <x:v>1</x:v>
      </x:c>
      <x:c r="R100" s="13">
        <x:v>7</x:v>
      </x:c>
      <x:c r="S100" s="13" t="s">
        <x:v>118</x:v>
      </x:c>
      <x:c r="W100" s="13" t="s">
        <x:v>235</x:v>
      </x:c>
      <x:c r="X100" s="284" t="str">
        <x:v>Oracle Aconex + integración con Oracle Primavera Cloud/Unifier cuando aplique</x:v>
      </x:c>
      <x:c r="Y100" s="285"/>
      <x:c r="Z100" s="284"/>
      <x:c r="AA100" s="13"/>
      <x:c r="AB100" s="286"/>
    </x:row>
    <x:row r="101">
      <x:c r="A101" s="290" t="e">
        <x:f>_xlfn.XLOOKUP(Matriz[[#This Row],[Categoría]],Categoría[Categoría],Categoría[Cat],"NA",0)</x:f>
        <x:v>#NAME?</x:v>
      </x:c>
      <x:c r="B101" s="165" t="s">
        <x:v>216</x:v>
      </x:c>
      <x:c r="C101" s="288" t="e">
        <x:f>_xlfn.XLOOKUP(Matriz[[#This Row],[Parámetro]],Parámetro[Parámetro],Parámetro[Par],0,0)</x:f>
        <x:v>#NAME?</x:v>
      </x:c>
      <x:c r="D101" s="165" t="s">
        <x:v>218</x:v>
      </x:c>
      <x:c r="E101" s="165" t="e">
        <x:f>Matriz[[#This Row],[Cat]]&amp;IF(Matriz[[#This Row],[Par]]=0,"","."&amp;Matriz[[#This Row],[Par]]&amp;"."&amp;TEXT(COUNTIFS(A$2:A101,Matriz[[#This Row],[Cat]],C$2:C101,Matriz[[#This Row],[Par]]),"000"))</x:f>
        <x:v>#NAME?</x:v>
      </x:c>
      <x:c r="F101" s="289" t="e">
        <x:f>IF(LEN(Matriz[[#This Row],[EDT]])=1,COUNTIF(Matriz[EDT],"?????????*"),IF(LEN(Matriz[[#This Row],[EDT]])=2,COUNTIF(Matriz[EDT],Matriz[[#This Row],[Cat]]&amp;"*")-1,0))</x:f>
        <x:v>#NAME?</x:v>
      </x:c>
      <x:c r="G101" s="165" t="e">
        <x:f>IF(Matriz[[#This Row],['# reque-rimientos]]&gt;0,"Sí","No")</x:f>
        <x:v>#REF!</x:v>
      </x:c>
      <x:c r="H101" s="165" t="e">
        <x:f>IF(Matriz[[#This Row],[Cat]]="0",0,IF(Matriz[[#This Row],[Par]]=0,1,LEN(Matriz[[#This Row],[EDT]])-LEN(SUBSTITUTE(Matriz[[#This Row],[EDT]],".",""))))</x:f>
        <x:v>#NAME?</x:v>
      </x:c>
      <x:c r="I101" s="13" t="s">
        <x:v>236</x:v>
      </x:c>
      <x:c r="M101" s="13" t="s">
        <x:v>120</x:v>
      </x:c>
      <x:c r="O101" s="165">
        <x:v>1</x:v>
      </x:c>
      <x:c r="R101" s="13">
        <x:v>6</x:v>
      </x:c>
      <x:c r="S101" s="13" t="s">
        <x:v>83</x:v>
      </x:c>
      <x:c r="X101" s="284" t="str">
        <x:v>Oracle Aconex + integración con Oracle Primavera Cloud/Unifier cuando aplique</x:v>
      </x:c>
      <x:c r="Y101" s="285"/>
      <x:c r="Z101" s="284"/>
      <x:c r="AA101" s="13"/>
      <x:c r="AB101" s="286"/>
    </x:row>
    <x:row r="102" ht="22.5">
      <x:c r="A102" s="290" t="e">
        <x:f>_xlfn.XLOOKUP(Matriz[[#This Row],[Categoría]],Categoría[Categoría],Categoría[Cat],"NA",0)</x:f>
        <x:v>#NAME?</x:v>
      </x:c>
      <x:c r="B102" s="165" t="s">
        <x:v>216</x:v>
      </x:c>
      <x:c r="C102" s="288" t="e">
        <x:f>_xlfn.XLOOKUP(Matriz[[#This Row],[Parámetro]],Parámetro[Parámetro],Parámetro[Par],0,0)</x:f>
        <x:v>#NAME?</x:v>
      </x:c>
      <x:c r="D102" s="165" t="s">
        <x:v>218</x:v>
      </x:c>
      <x:c r="E102" s="165" t="e">
        <x:f>Matriz[[#This Row],[Cat]]&amp;IF(Matriz[[#This Row],[Par]]=0,"","."&amp;Matriz[[#This Row],[Par]]&amp;"."&amp;TEXT(COUNTIFS(A$2:A102,Matriz[[#This Row],[Cat]],C$2:C102,Matriz[[#This Row],[Par]]),"000"))</x:f>
        <x:v>#NAME?</x:v>
      </x:c>
      <x:c r="F102" s="289" t="e">
        <x:f>IF(LEN(Matriz[[#This Row],[EDT]])=1,COUNTIF(Matriz[EDT],"?????????*"),IF(LEN(Matriz[[#This Row],[EDT]])=2,COUNTIF(Matriz[EDT],Matriz[[#This Row],[Cat]]&amp;"*")-1,0))</x:f>
        <x:v>#NAME?</x:v>
      </x:c>
      <x:c r="G102" s="165" t="e">
        <x:f>IF(Matriz[[#This Row],['# reque-rimientos]]&gt;0,"Sí","No")</x:f>
        <x:v>#REF!</x:v>
      </x:c>
      <x:c r="H102" s="165" t="e">
        <x:f>IF(Matriz[[#This Row],[Cat]]="0",0,IF(Matriz[[#This Row],[Par]]=0,1,LEN(Matriz[[#This Row],[EDT]])-LEN(SUBSTITUTE(Matriz[[#This Row],[EDT]],".",""))))</x:f>
        <x:v>#NAME?</x:v>
      </x:c>
      <x:c r="I102" s="13" t="s">
        <x:v>237</x:v>
      </x:c>
      <x:c r="M102" s="13" t="s">
        <x:v>120</x:v>
      </x:c>
      <x:c r="N102" s="165" t="s">
        <x:v>238</x:v>
      </x:c>
      <x:c r="O102" s="165">
        <x:v>1</x:v>
      </x:c>
      <x:c r="R102" s="13">
        <x:v>7</x:v>
      </x:c>
      <x:c r="S102" s="13" t="s">
        <x:v>118</x:v>
      </x:c>
      <x:c r="X102" s="284" t="str">
        <x:v>Oracle Aconex + integración con Oracle Primavera Cloud/Unifier cuando aplique</x:v>
      </x:c>
      <x:c r="Y102" s="285"/>
      <x:c r="Z102" s="284"/>
      <x:c r="AA102" s="13"/>
      <x:c r="AB102" s="286"/>
    </x:row>
    <x:row r="103">
      <x:c r="A103" s="290" t="e">
        <x:f>_xlfn.XLOOKUP(Matriz[[#This Row],[Categoría]],Categoría[Categoría],Categoría[Cat],"NA",0)</x:f>
        <x:v>#NAME?</x:v>
      </x:c>
      <x:c r="B103" s="165" t="s">
        <x:v>216</x:v>
      </x:c>
      <x:c r="C103" s="288" t="e">
        <x:f>_xlfn.XLOOKUP(Matriz[[#This Row],[Parámetro]],Parámetro[Parámetro],Parámetro[Par],0,0)</x:f>
        <x:v>#NAME?</x:v>
      </x:c>
      <x:c r="D103" s="165" t="s">
        <x:v>218</x:v>
      </x:c>
      <x:c r="E103" s="165" t="e">
        <x:f>Matriz[[#This Row],[Cat]]&amp;IF(Matriz[[#This Row],[Par]]=0,"","."&amp;Matriz[[#This Row],[Par]]&amp;"."&amp;TEXT(COUNTIFS(A$2:A103,Matriz[[#This Row],[Cat]],C$2:C103,Matriz[[#This Row],[Par]]),"000"))</x:f>
        <x:v>#NAME?</x:v>
      </x:c>
      <x:c r="F103" s="289" t="e">
        <x:f>IF(LEN(Matriz[[#This Row],[EDT]])=1,COUNTIF(Matriz[EDT],"?????????*"),IF(LEN(Matriz[[#This Row],[EDT]])=2,COUNTIF(Matriz[EDT],Matriz[[#This Row],[Cat]]&amp;"*")-1,0))</x:f>
        <x:v>#NAME?</x:v>
      </x:c>
      <x:c r="G103" s="165" t="e">
        <x:f>IF(Matriz[[#This Row],['# reque-rimientos]]&gt;0,"Sí","No")</x:f>
        <x:v>#REF!</x:v>
      </x:c>
      <x:c r="H103" s="165" t="e">
        <x:f>IF(Matriz[[#This Row],[Cat]]="0",0,IF(Matriz[[#This Row],[Par]]=0,1,LEN(Matriz[[#This Row],[EDT]])-LEN(SUBSTITUTE(Matriz[[#This Row],[EDT]],".",""))))</x:f>
        <x:v>#NAME?</x:v>
      </x:c>
      <x:c r="I103" s="13" t="s">
        <x:v>239</x:v>
      </x:c>
      <x:c r="M103" s="13" t="s">
        <x:v>120</x:v>
      </x:c>
      <x:c r="N103" s="165" t="s">
        <x:v>240</x:v>
      </x:c>
      <x:c r="O103" s="165">
        <x:v>1</x:v>
      </x:c>
      <x:c r="R103" s="13">
        <x:v>7</x:v>
      </x:c>
      <x:c r="S103" s="13" t="s">
        <x:v>118</x:v>
      </x:c>
      <x:c r="X103" s="284" t="str">
        <x:v>Oracle Aconex + integración con Oracle Primavera Cloud/Unifier cuando aplique</x:v>
      </x:c>
      <x:c r="Y103" s="285"/>
      <x:c r="Z103" s="284"/>
      <x:c r="AA103" s="13"/>
      <x:c r="AB103" s="286"/>
    </x:row>
    <x:row r="104">
      <x:c r="A104" s="290" t="e">
        <x:f>_xlfn.XLOOKUP(Matriz[[#This Row],[Categoría]],Categoría[Categoría],Categoría[Cat],"NA",0)</x:f>
        <x:v>#NAME?</x:v>
      </x:c>
      <x:c r="B104" s="165" t="s">
        <x:v>216</x:v>
      </x:c>
      <x:c r="C104" s="288" t="e">
        <x:f>_xlfn.XLOOKUP(Matriz[[#This Row],[Parámetro]],Parámetro[Parámetro],Parámetro[Par],0,0)</x:f>
        <x:v>#NAME?</x:v>
      </x:c>
      <x:c r="D104" s="165" t="s">
        <x:v>218</x:v>
      </x:c>
      <x:c r="E104" s="165" t="e">
        <x:f>Matriz[[#This Row],[Cat]]&amp;IF(Matriz[[#This Row],[Par]]=0,"","."&amp;Matriz[[#This Row],[Par]]&amp;"."&amp;TEXT(COUNTIFS(A$2:A104,Matriz[[#This Row],[Cat]],C$2:C104,Matriz[[#This Row],[Par]]),"000"))</x:f>
        <x:v>#NAME?</x:v>
      </x:c>
      <x:c r="F104" s="289" t="e">
        <x:f>IF(LEN(Matriz[[#This Row],[EDT]])=1,COUNTIF(Matriz[EDT],"?????????*"),IF(LEN(Matriz[[#This Row],[EDT]])=2,COUNTIF(Matriz[EDT],Matriz[[#This Row],[Cat]]&amp;"*")-1,0))</x:f>
        <x:v>#NAME?</x:v>
      </x:c>
      <x:c r="G104" s="165" t="e">
        <x:f>IF(Matriz[[#This Row],['# reque-rimientos]]&gt;0,"Sí","No")</x:f>
        <x:v>#REF!</x:v>
      </x:c>
      <x:c r="H104" s="165" t="e">
        <x:f>IF(Matriz[[#This Row],[Cat]]="0",0,IF(Matriz[[#This Row],[Par]]=0,1,LEN(Matriz[[#This Row],[EDT]])-LEN(SUBSTITUTE(Matriz[[#This Row],[EDT]],".",""))))</x:f>
        <x:v>#NAME?</x:v>
      </x:c>
      <x:c r="I104" s="13" t="s">
        <x:v>241</x:v>
      </x:c>
      <x:c r="M104" s="13" t="s">
        <x:v>120</x:v>
      </x:c>
      <x:c r="N104" s="13" t="s">
        <x:v>242</x:v>
      </x:c>
      <x:c r="O104" s="165">
        <x:v>1</x:v>
      </x:c>
      <x:c r="R104" s="13">
        <x:v>7</x:v>
      </x:c>
      <x:c r="S104" s="13" t="s">
        <x:v>118</x:v>
      </x:c>
      <x:c r="X104" s="284" t="str">
        <x:v>Oracle Aconex + integración con Oracle Primavera Cloud/Unifier cuando aplique</x:v>
      </x:c>
      <x:c r="Y104" s="285"/>
      <x:c r="Z104" s="284"/>
      <x:c r="AA104" s="13"/>
      <x:c r="AB104" s="286"/>
    </x:row>
    <x:row r="105" hidden="1">
      <x:c r="A105" s="290" t="e">
        <x:f>_xlfn.XLOOKUP(Matriz[[#This Row],[Categoría]],Categoría[Categoría],Categoría[Cat],"NA",0)</x:f>
        <x:v>#NAME?</x:v>
      </x:c>
      <x:c r="B105" s="165" t="s">
        <x:v>216</x:v>
      </x:c>
      <x:c r="C105" s="288" t="e">
        <x:f>_xlfn.XLOOKUP(Matriz[[#This Row],[Parámetro]],Parámetro[Parámetro],Parámetro[Par],0,0)</x:f>
        <x:v>#NAME?</x:v>
      </x:c>
      <x:c r="D105" s="165" t="s">
        <x:v>218</x:v>
      </x:c>
      <x:c r="E105" s="165" t="e">
        <x:f>Matriz[[#This Row],[Cat]]&amp;IF(Matriz[[#This Row],[Par]]=0,"","."&amp;Matriz[[#This Row],[Par]]&amp;"."&amp;TEXT(COUNTIFS(A$2:A105,Matriz[[#This Row],[Cat]],C$2:C105,Matriz[[#This Row],[Par]]),"000"))</x:f>
        <x:v>#NAME?</x:v>
      </x:c>
      <x:c r="F105" s="289" t="e">
        <x:f>IF(LEN(Matriz[[#This Row],[EDT]])=1,COUNTIF(Matriz[EDT],"?????????*"),IF(LEN(Matriz[[#This Row],[EDT]])=2,COUNTIF(Matriz[EDT],Matriz[[#This Row],[Cat]]&amp;"*")-1,0))</x:f>
        <x:v>#NAME?</x:v>
      </x:c>
      <x:c r="G105" s="165" t="e">
        <x:f>IF(Matriz[[#This Row],['# reque-rimientos]]&gt;0,"Sí","No")</x:f>
        <x:v>#REF!</x:v>
      </x:c>
      <x:c r="H105" s="165" t="e">
        <x:f>IF(Matriz[[#This Row],[Cat]]="0",0,IF(Matriz[[#This Row],[Par]]=0,1,LEN(Matriz[[#This Row],[EDT]])-LEN(SUBSTITUTE(Matriz[[#This Row],[EDT]],".",""))))</x:f>
        <x:v>#NAME?</x:v>
      </x:c>
      <x:c r="I105" s="13" t="s">
        <x:v>243</x:v>
      </x:c>
      <x:c r="M105" s="13" t="s">
        <x:v>120</x:v>
      </x:c>
      <x:c r="O105" s="165">
        <x:v>2</x:v>
      </x:c>
      <x:c r="R105" s="13">
        <x:v>7</x:v>
      </x:c>
      <x:c r="S105" s="13" t="s">
        <x:v>118</x:v>
      </x:c>
      <x:c r="X105" s="284" t="str">
        <x:v>Oracle Aconex + integración con Oracle Primavera Cloud/Unifier cuando aplique</x:v>
      </x:c>
      <x:c r="Y105" s="285"/>
      <x:c r="Z105" s="284"/>
      <x:c r="AA105" s="13"/>
      <x:c r="AB105" s="286"/>
    </x:row>
    <x:row r="106">
      <x:c r="A106" s="290" t="e">
        <x:f>_xlfn.XLOOKUP(Matriz[[#This Row],[Categoría]],Categoría[Categoría],Categoría[Cat],"NA",0)</x:f>
        <x:v>#NAME?</x:v>
      </x:c>
      <x:c r="B106" s="165" t="s">
        <x:v>216</x:v>
      </x:c>
      <x:c r="C106" s="288" t="e">
        <x:f>_xlfn.XLOOKUP(Matriz[[#This Row],[Parámetro]],Parámetro[Parámetro],Parámetro[Par],0,0)</x:f>
        <x:v>#NAME?</x:v>
      </x:c>
      <x:c r="D106" s="165" t="s">
        <x:v>218</x:v>
      </x:c>
      <x:c r="E106" s="165" t="e">
        <x:f>Matriz[[#This Row],[Cat]]&amp;IF(Matriz[[#This Row],[Par]]=0,"","."&amp;Matriz[[#This Row],[Par]]&amp;"."&amp;TEXT(COUNTIFS(A$2:A106,Matriz[[#This Row],[Cat]],C$2:C106,Matriz[[#This Row],[Par]]),"000"))</x:f>
        <x:v>#NAME?</x:v>
      </x:c>
      <x:c r="F106" s="289" t="e">
        <x:f>IF(LEN(Matriz[[#This Row],[EDT]])=1,COUNTIF(Matriz[EDT],"?????????*"),IF(LEN(Matriz[[#This Row],[EDT]])=2,COUNTIF(Matriz[EDT],Matriz[[#This Row],[Cat]]&amp;"*")-1,0))</x:f>
        <x:v>#NAME?</x:v>
      </x:c>
      <x:c r="G106" s="165" t="e">
        <x:f>IF(Matriz[[#This Row],['# reque-rimientos]]&gt;0,"Sí","No")</x:f>
        <x:v>#REF!</x:v>
      </x:c>
      <x:c r="H106" s="165" t="e">
        <x:f>IF(Matriz[[#This Row],[Cat]]="0",0,IF(Matriz[[#This Row],[Par]]=0,1,LEN(Matriz[[#This Row],[EDT]])-LEN(SUBSTITUTE(Matriz[[#This Row],[EDT]],".",""))))</x:f>
        <x:v>#NAME?</x:v>
      </x:c>
      <x:c r="I106" s="13" t="s">
        <x:v>244</x:v>
      </x:c>
      <x:c r="M106" s="13" t="s">
        <x:v>120</x:v>
      </x:c>
      <x:c r="N106" s="13" t="s">
        <x:v>245</x:v>
      </x:c>
      <x:c r="O106" s="165">
        <x:v>1</x:v>
      </x:c>
      <x:c r="R106" s="13">
        <x:v>7</x:v>
      </x:c>
      <x:c r="S106" s="13" t="s">
        <x:v>118</x:v>
      </x:c>
      <x:c r="X106" s="284" t="str">
        <x:v>Oracle Aconex + integración con Oracle Primavera Cloud/Unifier cuando aplique</x:v>
      </x:c>
      <x:c r="Y106" s="285"/>
      <x:c r="Z106" s="284"/>
      <x:c r="AA106" s="13"/>
      <x:c r="AB106" s="286"/>
    </x:row>
    <x:row r="107">
      <x:c r="A107" s="290" t="e">
        <x:f>_xlfn.XLOOKUP(Matriz[[#This Row],[Categoría]],Categoría[Categoría],Categoría[Cat],"NA",0)</x:f>
        <x:v>#NAME?</x:v>
      </x:c>
      <x:c r="B107" s="165" t="s">
        <x:v>216</x:v>
      </x:c>
      <x:c r="C107" s="288" t="e">
        <x:f>_xlfn.XLOOKUP(Matriz[[#This Row],[Parámetro]],Parámetro[Parámetro],Parámetro[Par],0,0)</x:f>
        <x:v>#NAME?</x:v>
      </x:c>
      <x:c r="D107" s="165" t="s">
        <x:v>218</x:v>
      </x:c>
      <x:c r="E107" s="165" t="e">
        <x:f>Matriz[[#This Row],[Cat]]&amp;IF(Matriz[[#This Row],[Par]]=0,"","."&amp;Matriz[[#This Row],[Par]]&amp;"."&amp;TEXT(COUNTIFS(A$2:A107,Matriz[[#This Row],[Cat]],C$2:C107,Matriz[[#This Row],[Par]]),"000"))</x:f>
        <x:v>#NAME?</x:v>
      </x:c>
      <x:c r="F107" s="289" t="e">
        <x:f>IF(LEN(Matriz[[#This Row],[EDT]])=1,COUNTIF(Matriz[EDT],"?????????*"),IF(LEN(Matriz[[#This Row],[EDT]])=2,COUNTIF(Matriz[EDT],Matriz[[#This Row],[Cat]]&amp;"*")-1,0))</x:f>
        <x:v>#NAME?</x:v>
      </x:c>
      <x:c r="G107" s="165" t="e">
        <x:f>IF(Matriz[[#This Row],['# reque-rimientos]]&gt;0,"Sí","No")</x:f>
        <x:v>#REF!</x:v>
      </x:c>
      <x:c r="H107" s="165" t="e">
        <x:f>IF(Matriz[[#This Row],[Cat]]="0",0,IF(Matriz[[#This Row],[Par]]=0,1,LEN(Matriz[[#This Row],[EDT]])-LEN(SUBSTITUTE(Matriz[[#This Row],[EDT]],".",""))))</x:f>
        <x:v>#NAME?</x:v>
      </x:c>
      <x:c r="I107" s="13" t="s">
        <x:v>246</x:v>
      </x:c>
      <x:c r="M107" s="13" t="s">
        <x:v>120</x:v>
      </x:c>
      <x:c r="N107" s="13" t="s">
        <x:v>245</x:v>
      </x:c>
      <x:c r="O107" s="165">
        <x:v>1</x:v>
      </x:c>
      <x:c r="R107" s="13">
        <x:v>7</x:v>
      </x:c>
      <x:c r="S107" s="13" t="s">
        <x:v>118</x:v>
      </x:c>
      <x:c r="X107" s="284" t="str">
        <x:v>Oracle Aconex + integración con Oracle Primavera Cloud/Unifier cuando aplique</x:v>
      </x:c>
      <x:c r="Y107" s="285"/>
      <x:c r="Z107" s="284"/>
      <x:c r="AA107" s="13"/>
      <x:c r="AB107" s="286"/>
    </x:row>
    <x:row r="108" s="170" customFormat="1" ht="12.75">
      <x:c r="A108" s="279" t="e">
        <x:f>_xlfn.XLOOKUP(Matriz[[#This Row],[Categoría]],Categoría[Categoría],Categoría[Cat],"NA",0)</x:f>
        <x:v>#NAME?</x:v>
      </x:c>
      <x:c r="B108" s="280" t="s">
        <x:v>247</x:v>
      </x:c>
      <x:c r="C108" s="281" t="e">
        <x:f>_xlfn.XLOOKUP(Matriz[[#This Row],[Parámetro]],Parámetro[Parámetro],Parámetro[Par],0,0)</x:f>
        <x:v>#NAME?</x:v>
      </x:c>
      <x:c r="D108" s="13"/>
      <x:c r="E108" s="13" t="e">
        <x:f>Matriz[[#This Row],[Cat]]&amp;IF(Matriz[[#This Row],[Par]]=0,"","."&amp;Matriz[[#This Row],[Par]]&amp;"."&amp;TEXT(COUNTIFS(A$2:A108,Matriz[[#This Row],[Cat]],C$2:C108,Matriz[[#This Row],[Par]]),"000"))</x:f>
        <x:v>#NAME?</x:v>
      </x:c>
      <x:c r="F108" s="295" t="e">
        <x:f>IF(LEN(Matriz[[#This Row],[EDT]])=1,COUNTIF(Matriz[EDT],"?????????*"),IF(LEN(Matriz[[#This Row],[EDT]])=2,COUNTIF(Matriz[EDT],Matriz[[#This Row],[Cat]]&amp;"*")-1,0))</x:f>
        <x:v>#NAME?</x:v>
      </x:c>
      <x:c r="G108" s="13" t="e">
        <x:f>IF(Matriz[[#This Row],['# reque-rimientos]]&gt;0,"Sí","No")</x:f>
        <x:v>#REF!</x:v>
      </x:c>
      <x:c r="H108" s="13" t="e">
        <x:f>IF(Matriz[[#This Row],[Cat]]="0",0,IF(Matriz[[#This Row],[Par]]=0,1,LEN(Matriz[[#This Row],[EDT]])-LEN(SUBSTITUTE(Matriz[[#This Row],[EDT]],".",""))))</x:f>
        <x:v>#NAME?</x:v>
      </x:c>
      <x:c r="I108" s="13"/>
      <x:c r="J108" s="13"/>
      <x:c r="K108" s="13"/>
      <x:c r="L108" s="13"/>
      <x:c r="M108" s="13" t="s">
        <x:v>120</x:v>
      </x:c>
      <x:c r="N108" s="13"/>
      <x:c r="O108" s="165">
        <x:v>1</x:v>
      </x:c>
      <x:c r="P108" s="13"/>
      <x:c r="Q108" s="13"/>
      <x:c r="R108" s="287" t="e">
        <x:f>_xlfn.XLOOKUP(Matriz[[#This Row],[Cat]],Categoría[Cat],Categoría[IMP],"NA",0)</x:f>
        <x:v>#NAME?</x:v>
      </x:c>
      <x:c r="S108" s="13" t="s">
        <x:v>38</x:v>
      </x:c>
      <x:c r="T108" s="13"/>
      <x:c r="U108" s="13"/>
      <x:c r="V108" s="13"/>
      <x:c r="W108" s="13"/>
      <x:c r="X108" s="284"/>
      <x:c r="Y108" s="285"/>
      <x:c r="Z108" s="284"/>
      <x:c r="AA108" s="13"/>
      <x:c r="AB108" s="286"/>
    </x:row>
    <x:row r="109" ht="22.5">
      <x:c r="A109" s="290" t="e">
        <x:f>_xlfn.XLOOKUP(Matriz[[#This Row],[Categoría]],Categoría[Categoría],Categoría[Cat],"NA",0)</x:f>
        <x:v>#NAME?</x:v>
      </x:c>
      <x:c r="B109" s="165" t="s">
        <x:v>247</x:v>
      </x:c>
      <x:c r="C109" s="288" t="e">
        <x:f>_xlfn.XLOOKUP(Matriz[[#This Row],[Parámetro]],Parámetro[Parámetro],Parámetro[Par],0,0)</x:f>
        <x:v>#NAME?</x:v>
      </x:c>
      <x:c r="D109" s="165" t="s">
        <x:v>248</x:v>
      </x:c>
      <x:c r="E109" s="165" t="e">
        <x:f>Matriz[[#This Row],[Cat]]&amp;IF(Matriz[[#This Row],[Par]]=0,"","."&amp;Matriz[[#This Row],[Par]]&amp;"."&amp;TEXT(COUNTIFS(A$2:A109,Matriz[[#This Row],[Cat]],C$2:C109,Matriz[[#This Row],[Par]]),"000"))</x:f>
        <x:v>#NAME?</x:v>
      </x:c>
      <x:c r="F109" s="289" t="e">
        <x:f>IF(LEN(Matriz[[#This Row],[EDT]])=1,COUNTIF(Matriz[EDT],"?????????*"),IF(LEN(Matriz[[#This Row],[EDT]])=2,COUNTIF(Matriz[EDT],Matriz[[#This Row],[Cat]]&amp;"*")-1,0))</x:f>
        <x:v>#NAME?</x:v>
      </x:c>
      <x:c r="G109" s="165" t="e">
        <x:f>IF(Matriz[[#This Row],['# reque-rimientos]]&gt;0,"Sí","No")</x:f>
        <x:v>#REF!</x:v>
      </x:c>
      <x:c r="H109" s="165" t="e">
        <x:f>IF(Matriz[[#This Row],[Cat]]="0",0,IF(Matriz[[#This Row],[Par]]=0,1,LEN(Matriz[[#This Row],[EDT]])-LEN(SUBSTITUTE(Matriz[[#This Row],[EDT]],".",""))))</x:f>
        <x:v>#NAME?</x:v>
      </x:c>
      <x:c r="I109" s="13" t="s">
        <x:v>249</x:v>
      </x:c>
      <x:c r="J109" s="170"/>
      <x:c r="K109" s="296"/>
      <x:c r="L109" s="296"/>
      <x:c r="M109" s="13" t="s">
        <x:v>120</x:v>
      </x:c>
      <x:c r="N109" s="13" t="s">
        <x:v>250</x:v>
      </x:c>
      <x:c r="O109" s="167">
        <x:v>1</x:v>
      </x:c>
      <x:c r="P109" s="170"/>
      <x:c r="Q109" s="170"/>
      <x:c r="R109" s="170">
        <x:v>9</x:v>
      </x:c>
      <x:c r="S109" s="170" t="s">
        <x:v>38</x:v>
      </x:c>
      <x:c r="T109" s="170"/>
      <x:c r="U109" s="170"/>
      <x:c r="V109" s="170"/>
      <x:c r="W109" s="170"/>
      <x:c r="X109" s="284" t="str">
        <x:v>Oracle Primavera Cloud SaaS</x:v>
      </x:c>
      <x:c r="Y109" s="285"/>
      <x:c r="Z109" s="284"/>
      <x:c r="AA109" s="170"/>
      <x:c r="AB109" s="286"/>
    </x:row>
    <x:row r="110" ht="22.5">
      <x:c r="A110" s="290" t="e">
        <x:f>_xlfn.XLOOKUP(Matriz[[#This Row],[Categoría]],Categoría[Categoría],Categoría[Cat],"NA",0)</x:f>
        <x:v>#NAME?</x:v>
      </x:c>
      <x:c r="B110" s="165" t="s">
        <x:v>247</x:v>
      </x:c>
      <x:c r="C110" s="288" t="e">
        <x:f>_xlfn.XLOOKUP(Matriz[[#This Row],[Parámetro]],Parámetro[Parámetro],Parámetro[Par],0,0)</x:f>
        <x:v>#NAME?</x:v>
      </x:c>
      <x:c r="D110" s="165" t="s">
        <x:v>248</x:v>
      </x:c>
      <x:c r="E110" s="165" t="e">
        <x:f>Matriz[[#This Row],[Cat]]&amp;IF(Matriz[[#This Row],[Par]]=0,"","."&amp;Matriz[[#This Row],[Par]]&amp;"."&amp;TEXT(COUNTIFS(A$2:A110,Matriz[[#This Row],[Cat]],C$2:C110,Matriz[[#This Row],[Par]]),"000"))</x:f>
        <x:v>#NAME?</x:v>
      </x:c>
      <x:c r="F110" s="289" t="e">
        <x:f>IF(LEN(Matriz[[#This Row],[EDT]])=1,COUNTIF(Matriz[EDT],"?????????*"),IF(LEN(Matriz[[#This Row],[EDT]])=2,COUNTIF(Matriz[EDT],Matriz[[#This Row],[Cat]]&amp;"*")-1,0))</x:f>
        <x:v>#NAME?</x:v>
      </x:c>
      <x:c r="G110" s="165" t="e">
        <x:f>IF(Matriz[[#This Row],['# reque-rimientos]]&gt;0,"Sí","No")</x:f>
        <x:v>#REF!</x:v>
      </x:c>
      <x:c r="H110" s="165" t="e">
        <x:f>IF(Matriz[[#This Row],[Cat]]="0",0,IF(Matriz[[#This Row],[Par]]=0,1,LEN(Matriz[[#This Row],[EDT]])-LEN(SUBSTITUTE(Matriz[[#This Row],[EDT]],".",""))))</x:f>
        <x:v>#NAME?</x:v>
      </x:c>
      <x:c r="I110" s="13" t="s">
        <x:v>251</x:v>
      </x:c>
      <x:c r="K110" s="291"/>
      <x:c r="L110" s="291"/>
      <x:c r="M110" s="13" t="s">
        <x:v>120</x:v>
      </x:c>
      <x:c r="O110" s="165">
        <x:v>1</x:v>
      </x:c>
      <x:c r="R110" s="13">
        <x:v>9</x:v>
      </x:c>
      <x:c r="S110" s="13" t="s">
        <x:v>38</x:v>
      </x:c>
      <x:c r="X110" s="284" t="str">
        <x:v>Oracle Primavera Cloud Schedule</x:v>
      </x:c>
      <x:c r="Y110" s="285"/>
      <x:c r="Z110" s="284"/>
      <x:c r="AA110" s="13"/>
      <x:c r="AB110" s="286"/>
    </x:row>
    <x:row r="111" ht="22.5">
      <x:c r="A111" s="290" t="e">
        <x:f>_xlfn.XLOOKUP(Matriz[[#This Row],[Categoría]],Categoría[Categoría],Categoría[Cat],"NA",0)</x:f>
        <x:v>#NAME?</x:v>
      </x:c>
      <x:c r="B111" s="165" t="s">
        <x:v>247</x:v>
      </x:c>
      <x:c r="C111" s="288" t="e">
        <x:f>_xlfn.XLOOKUP(Matriz[[#This Row],[Parámetro]],Parámetro[Parámetro],Parámetro[Par],0,0)</x:f>
        <x:v>#NAME?</x:v>
      </x:c>
      <x:c r="D111" s="165" t="s">
        <x:v>252</x:v>
      </x:c>
      <x:c r="E111" s="165" t="e">
        <x:f>Matriz[[#This Row],[Cat]]&amp;IF(Matriz[[#This Row],[Par]]=0,"","."&amp;Matriz[[#This Row],[Par]]&amp;"."&amp;TEXT(COUNTIFS(A$2:A111,Matriz[[#This Row],[Cat]],C$2:C111,Matriz[[#This Row],[Par]]),"000"))</x:f>
        <x:v>#NAME?</x:v>
      </x:c>
      <x:c r="F111" s="289" t="e">
        <x:f>IF(LEN(Matriz[[#This Row],[EDT]])=1,COUNTIF(Matriz[EDT],"?????????*"),IF(LEN(Matriz[[#This Row],[EDT]])=2,COUNTIF(Matriz[EDT],Matriz[[#This Row],[Cat]]&amp;"*")-1,0))</x:f>
        <x:v>#NAME?</x:v>
      </x:c>
      <x:c r="G111" s="165" t="e">
        <x:f>IF(Matriz[[#This Row],['# reque-rimientos]]&gt;0,"Sí","No")</x:f>
        <x:v>#REF!</x:v>
      </x:c>
      <x:c r="H111" s="165" t="e">
        <x:f>IF(Matriz[[#This Row],[Cat]]="0",0,IF(Matriz[[#This Row],[Par]]=0,1,LEN(Matriz[[#This Row],[EDT]])-LEN(SUBSTITUTE(Matriz[[#This Row],[EDT]],".",""))))</x:f>
        <x:v>#NAME?</x:v>
      </x:c>
      <x:c r="I111" s="13" t="s">
        <x:v>253</x:v>
      </x:c>
      <x:c r="M111" s="13" t="s">
        <x:v>120</x:v>
      </x:c>
      <x:c r="O111" s="165">
        <x:v>1</x:v>
      </x:c>
      <x:c r="R111" s="13">
        <x:v>9</x:v>
      </x:c>
      <x:c r="S111" s="13" t="s">
        <x:v>38</x:v>
      </x:c>
      <x:c r="X111" s="284" t="str">
        <x:v>Oracle Primavera Cloud Schedule</x:v>
      </x:c>
      <x:c r="Y111" s="285"/>
      <x:c r="Z111" s="284"/>
      <x:c r="AA111" s="13"/>
      <x:c r="AB111" s="286"/>
    </x:row>
    <x:row r="112" ht="56.25">
      <x:c r="A112" s="290" t="e">
        <x:f>_xlfn.XLOOKUP(Matriz[[#This Row],[Categoría]],Categoría[Categoría],Categoría[Cat],"NA",0)</x:f>
        <x:v>#NAME?</x:v>
      </x:c>
      <x:c r="B112" s="165" t="s">
        <x:v>247</x:v>
      </x:c>
      <x:c r="C112" s="288" t="e">
        <x:f>_xlfn.XLOOKUP(Matriz[[#This Row],[Parámetro]],Parámetro[Parámetro],Parámetro[Par],0,0)</x:f>
        <x:v>#NAME?</x:v>
      </x:c>
      <x:c r="D112" s="165" t="s">
        <x:v>252</x:v>
      </x:c>
      <x:c r="E112" s="165" t="e">
        <x:f>Matriz[[#This Row],[Cat]]&amp;IF(Matriz[[#This Row],[Par]]=0,"","."&amp;Matriz[[#This Row],[Par]]&amp;"."&amp;TEXT(COUNTIFS(A$2:A112,Matriz[[#This Row],[Cat]],C$2:C112,Matriz[[#This Row],[Par]]),"000"))</x:f>
        <x:v>#NAME?</x:v>
      </x:c>
      <x:c r="F112" s="289" t="e">
        <x:f>IF(LEN(Matriz[[#This Row],[EDT]])=1,COUNTIF(Matriz[EDT],"?????????*"),IF(LEN(Matriz[[#This Row],[EDT]])=2,COUNTIF(Matriz[EDT],Matriz[[#This Row],[Cat]]&amp;"*")-1,0))</x:f>
        <x:v>#NAME?</x:v>
      </x:c>
      <x:c r="G112" s="165" t="e">
        <x:f>IF(Matriz[[#This Row],['# reque-rimientos]]&gt;0,"Sí","No")</x:f>
        <x:v>#REF!</x:v>
      </x:c>
      <x:c r="H112" s="165" t="e">
        <x:f>IF(Matriz[[#This Row],[Cat]]="0",0,IF(Matriz[[#This Row],[Par]]=0,1,LEN(Matriz[[#This Row],[EDT]])-LEN(SUBSTITUTE(Matriz[[#This Row],[EDT]],".",""))))</x:f>
        <x:v>#NAME?</x:v>
      </x:c>
      <x:c r="I112" s="13" t="s">
        <x:v>254</x:v>
      </x:c>
      <x:c r="M112" s="13" t="s">
        <x:v>120</x:v>
      </x:c>
      <x:c r="N112" s="13" t="s">
        <x:v>255</x:v>
      </x:c>
      <x:c r="O112" s="165">
        <x:v>1</x:v>
      </x:c>
      <x:c r="R112" s="13">
        <x:v>9</x:v>
      </x:c>
      <x:c r="S112" s="13" t="s">
        <x:v>38</x:v>
      </x:c>
      <x:c r="X112" s="284" t="str">
        <x:v>Oracle Primavera Cloud Schedule</x:v>
      </x:c>
      <x:c r="Y112" s="285"/>
      <x:c r="Z112" s="284"/>
      <x:c r="AA112" s="13"/>
      <x:c r="AB112" s="286"/>
    </x:row>
    <x:row r="113">
      <x:c r="A113" s="290" t="e">
        <x:f>_xlfn.XLOOKUP(Matriz[[#This Row],[Categoría]],Categoría[Categoría],Categoría[Cat],"NA",0)</x:f>
        <x:v>#NAME?</x:v>
      </x:c>
      <x:c r="B113" s="165" t="s">
        <x:v>247</x:v>
      </x:c>
      <x:c r="C113" s="288" t="e">
        <x:f>_xlfn.XLOOKUP(Matriz[[#This Row],[Parámetro]],Parámetro[Parámetro],Parámetro[Par],0,0)</x:f>
        <x:v>#NAME?</x:v>
      </x:c>
      <x:c r="D113" s="165" t="s">
        <x:v>252</x:v>
      </x:c>
      <x:c r="E113" s="165" t="e">
        <x:f>Matriz[[#This Row],[Cat]]&amp;IF(Matriz[[#This Row],[Par]]=0,"","."&amp;Matriz[[#This Row],[Par]]&amp;"."&amp;TEXT(COUNTIFS(A$2:A113,Matriz[[#This Row],[Cat]],C$2:C113,Matriz[[#This Row],[Par]]),"000"))</x:f>
        <x:v>#NAME?</x:v>
      </x:c>
      <x:c r="F113" s="289" t="e">
        <x:f>IF(LEN(Matriz[[#This Row],[EDT]])=1,COUNTIF(Matriz[EDT],"?????????*"),IF(LEN(Matriz[[#This Row],[EDT]])=2,COUNTIF(Matriz[EDT],Matriz[[#This Row],[Cat]]&amp;"*")-1,0))</x:f>
        <x:v>#NAME?</x:v>
      </x:c>
      <x:c r="G113" s="165" t="e">
        <x:f>IF(Matriz[[#This Row],['# reque-rimientos]]&gt;0,"Sí","No")</x:f>
        <x:v>#REF!</x:v>
      </x:c>
      <x:c r="H113" s="165" t="e">
        <x:f>IF(Matriz[[#This Row],[Cat]]="0",0,IF(Matriz[[#This Row],[Par]]=0,1,LEN(Matriz[[#This Row],[EDT]])-LEN(SUBSTITUTE(Matriz[[#This Row],[EDT]],".",""))))</x:f>
        <x:v>#NAME?</x:v>
      </x:c>
      <x:c r="I113" s="13" t="s">
        <x:v>256</x:v>
      </x:c>
      <x:c r="M113" s="13" t="s">
        <x:v>120</x:v>
      </x:c>
      <x:c r="O113" s="165">
        <x:v>1</x:v>
      </x:c>
      <x:c r="R113" s="13">
        <x:v>9</x:v>
      </x:c>
      <x:c r="S113" s="13" t="s">
        <x:v>38</x:v>
      </x:c>
      <x:c r="X113" s="284" t="str">
        <x:v>Oracle Primavera Cloud Schedule</x:v>
      </x:c>
      <x:c r="Y113" s="285"/>
      <x:c r="Z113" s="284"/>
      <x:c r="AA113" s="13"/>
      <x:c r="AB113" s="286"/>
    </x:row>
    <x:row r="114">
      <x:c r="A114" s="290" t="e">
        <x:f>_xlfn.XLOOKUP(Matriz[[#This Row],[Categoría]],Categoría[Categoría],Categoría[Cat],"NA",0)</x:f>
        <x:v>#NAME?</x:v>
      </x:c>
      <x:c r="B114" s="165" t="s">
        <x:v>247</x:v>
      </x:c>
      <x:c r="C114" s="288" t="e">
        <x:f>_xlfn.XLOOKUP(Matriz[[#This Row],[Parámetro]],Parámetro[Parámetro],Parámetro[Par],0,0)</x:f>
        <x:v>#NAME?</x:v>
      </x:c>
      <x:c r="D114" s="165" t="s">
        <x:v>252</x:v>
      </x:c>
      <x:c r="E114" s="165" t="e">
        <x:f>Matriz[[#This Row],[Cat]]&amp;IF(Matriz[[#This Row],[Par]]=0,"","."&amp;Matriz[[#This Row],[Par]]&amp;"."&amp;TEXT(COUNTIFS(A$2:A114,Matriz[[#This Row],[Cat]],C$2:C114,Matriz[[#This Row],[Par]]),"000"))</x:f>
        <x:v>#NAME?</x:v>
      </x:c>
      <x:c r="F114" s="289" t="e">
        <x:f>IF(LEN(Matriz[[#This Row],[EDT]])=1,COUNTIF(Matriz[EDT],"?????????*"),IF(LEN(Matriz[[#This Row],[EDT]])=2,COUNTIF(Matriz[EDT],Matriz[[#This Row],[Cat]]&amp;"*")-1,0))</x:f>
        <x:v>#NAME?</x:v>
      </x:c>
      <x:c r="G114" s="165" t="e">
        <x:f>IF(Matriz[[#This Row],['# reque-rimientos]]&gt;0,"Sí","No")</x:f>
        <x:v>#REF!</x:v>
      </x:c>
      <x:c r="H114" s="165" t="e">
        <x:f>IF(Matriz[[#This Row],[Cat]]="0",0,IF(Matriz[[#This Row],[Par]]=0,1,LEN(Matriz[[#This Row],[EDT]])-LEN(SUBSTITUTE(Matriz[[#This Row],[EDT]],".",""))))</x:f>
        <x:v>#NAME?</x:v>
      </x:c>
      <x:c r="I114" s="13" t="s">
        <x:v>257</x:v>
      </x:c>
      <x:c r="M114" s="13" t="s">
        <x:v>120</x:v>
      </x:c>
      <x:c r="O114" s="165">
        <x:v>1</x:v>
      </x:c>
      <x:c r="R114" s="13">
        <x:v>9</x:v>
      </x:c>
      <x:c r="S114" s="13" t="s">
        <x:v>38</x:v>
      </x:c>
      <x:c r="X114" s="284" t="str">
        <x:v>Oracle Primavera Cloud Schedule</x:v>
      </x:c>
      <x:c r="Y114" s="285"/>
      <x:c r="Z114" s="284"/>
      <x:c r="AA114" s="13"/>
      <x:c r="AB114" s="286"/>
    </x:row>
    <x:row r="115">
      <x:c r="A115" s="290" t="e">
        <x:f>_xlfn.XLOOKUP(Matriz[[#This Row],[Categoría]],Categoría[Categoría],Categoría[Cat],"NA",0)</x:f>
        <x:v>#NAME?</x:v>
      </x:c>
      <x:c r="B115" s="165" t="s">
        <x:v>247</x:v>
      </x:c>
      <x:c r="C115" s="288" t="e">
        <x:f>_xlfn.XLOOKUP(Matriz[[#This Row],[Parámetro]],Parámetro[Parámetro],Parámetro[Par],0,0)</x:f>
        <x:v>#NAME?</x:v>
      </x:c>
      <x:c r="D115" s="165" t="s">
        <x:v>252</x:v>
      </x:c>
      <x:c r="E115" s="165" t="e">
        <x:f>Matriz[[#This Row],[Cat]]&amp;IF(Matriz[[#This Row],[Par]]=0,"","."&amp;Matriz[[#This Row],[Par]]&amp;"."&amp;TEXT(COUNTIFS(A$2:A115,Matriz[[#This Row],[Cat]],C$2:C115,Matriz[[#This Row],[Par]]),"000"))</x:f>
        <x:v>#NAME?</x:v>
      </x:c>
      <x:c r="F115" s="289" t="e">
        <x:f>IF(LEN(Matriz[[#This Row],[EDT]])=1,COUNTIF(Matriz[EDT],"?????????*"),IF(LEN(Matriz[[#This Row],[EDT]])=2,COUNTIF(Matriz[EDT],Matriz[[#This Row],[Cat]]&amp;"*")-1,0))</x:f>
        <x:v>#NAME?</x:v>
      </x:c>
      <x:c r="G115" s="165" t="e">
        <x:f>IF(Matriz[[#This Row],['# reque-rimientos]]&gt;0,"Sí","No")</x:f>
        <x:v>#REF!</x:v>
      </x:c>
      <x:c r="H115" s="165" t="e">
        <x:f>IF(Matriz[[#This Row],[Cat]]="0",0,IF(Matriz[[#This Row],[Par]]=0,1,LEN(Matriz[[#This Row],[EDT]])-LEN(SUBSTITUTE(Matriz[[#This Row],[EDT]],".",""))))</x:f>
        <x:v>#NAME?</x:v>
      </x:c>
      <x:c r="I115" s="13" t="s">
        <x:v>258</x:v>
      </x:c>
      <x:c r="M115" s="13" t="s">
        <x:v>120</x:v>
      </x:c>
      <x:c r="N115" s="13" t="s">
        <x:v>259</x:v>
      </x:c>
      <x:c r="O115" s="165">
        <x:v>1</x:v>
      </x:c>
      <x:c r="R115" s="13">
        <x:v>9</x:v>
      </x:c>
      <x:c r="S115" s="13" t="s">
        <x:v>38</x:v>
      </x:c>
      <x:c r="X115" s="284" t="str">
        <x:v>Oracle Primavera Cloud Schedule</x:v>
      </x:c>
      <x:c r="Y115" s="285"/>
      <x:c r="Z115" s="284"/>
      <x:c r="AA115" s="13"/>
      <x:c r="AB115" s="286"/>
    </x:row>
    <x:row r="116" ht="33.75">
      <x:c r="A116" s="290" t="e">
        <x:f>_xlfn.XLOOKUP(Matriz[[#This Row],[Categoría]],Categoría[Categoría],Categoría[Cat],"NA",0)</x:f>
        <x:v>#NAME?</x:v>
      </x:c>
      <x:c r="B116" s="165" t="s">
        <x:v>247</x:v>
      </x:c>
      <x:c r="C116" s="288" t="e">
        <x:f>_xlfn.XLOOKUP(Matriz[[#This Row],[Parámetro]],Parámetro[Parámetro],Parámetro[Par],0,0)</x:f>
        <x:v>#NAME?</x:v>
      </x:c>
      <x:c r="D116" s="165" t="s">
        <x:v>252</x:v>
      </x:c>
      <x:c r="E116" s="165" t="e">
        <x:f>Matriz[[#This Row],[Cat]]&amp;IF(Matriz[[#This Row],[Par]]=0,"","."&amp;Matriz[[#This Row],[Par]]&amp;"."&amp;TEXT(COUNTIFS(A$2:A116,Matriz[[#This Row],[Cat]],C$2:C116,Matriz[[#This Row],[Par]]),"000"))</x:f>
        <x:v>#NAME?</x:v>
      </x:c>
      <x:c r="F116" s="289" t="e">
        <x:f>IF(LEN(Matriz[[#This Row],[EDT]])=1,COUNTIF(Matriz[EDT],"?????????*"),IF(LEN(Matriz[[#This Row],[EDT]])=2,COUNTIF(Matriz[EDT],Matriz[[#This Row],[Cat]]&amp;"*")-1,0))</x:f>
        <x:v>#NAME?</x:v>
      </x:c>
      <x:c r="G116" s="165" t="e">
        <x:f>IF(Matriz[[#This Row],['# reque-rimientos]]&gt;0,"Sí","No")</x:f>
        <x:v>#REF!</x:v>
      </x:c>
      <x:c r="H116" s="165" t="e">
        <x:f>IF(Matriz[[#This Row],[Cat]]="0",0,IF(Matriz[[#This Row],[Par]]=0,1,LEN(Matriz[[#This Row],[EDT]])-LEN(SUBSTITUTE(Matriz[[#This Row],[EDT]],".",""))))</x:f>
        <x:v>#NAME?</x:v>
      </x:c>
      <x:c r="I116" s="13" t="s">
        <x:v>260</x:v>
      </x:c>
      <x:c r="M116" s="13" t="s">
        <x:v>120</x:v>
      </x:c>
      <x:c r="O116" s="165">
        <x:v>1</x:v>
      </x:c>
      <x:c r="R116" s="13">
        <x:v>10</x:v>
      </x:c>
      <x:c r="S116" s="13" t="s">
        <x:v>38</x:v>
      </x:c>
      <x:c r="X116" s="284" t="str">
        <x:v>Oracle Primavera Cloud (Portfolios/Programs) + Analytics</x:v>
      </x:c>
      <x:c r="Y116" s="285"/>
      <x:c r="Z116" s="284"/>
      <x:c r="AA116" s="13"/>
      <x:c r="AB116" s="286"/>
    </x:row>
    <x:row r="117" ht="22.5">
      <x:c r="A117" s="290" t="e">
        <x:f>_xlfn.XLOOKUP(Matriz[[#This Row],[Categoría]],Categoría[Categoría],Categoría[Cat],"NA",0)</x:f>
        <x:v>#NAME?</x:v>
      </x:c>
      <x:c r="B117" s="165" t="s">
        <x:v>247</x:v>
      </x:c>
      <x:c r="C117" s="288" t="e">
        <x:f>_xlfn.XLOOKUP(Matriz[[#This Row],[Parámetro]],Parámetro[Parámetro],Parámetro[Par],0,0)</x:f>
        <x:v>#NAME?</x:v>
      </x:c>
      <x:c r="D117" s="165" t="s">
        <x:v>252</x:v>
      </x:c>
      <x:c r="E117" s="165" t="e">
        <x:f>Matriz[[#This Row],[Cat]]&amp;IF(Matriz[[#This Row],[Par]]=0,"","."&amp;Matriz[[#This Row],[Par]]&amp;"."&amp;TEXT(COUNTIFS(A$2:A117,Matriz[[#This Row],[Cat]],C$2:C117,Matriz[[#This Row],[Par]]),"000"))</x:f>
        <x:v>#NAME?</x:v>
      </x:c>
      <x:c r="F117" s="289" t="e">
        <x:f>IF(LEN(Matriz[[#This Row],[EDT]])=1,COUNTIF(Matriz[EDT],"?????????*"),IF(LEN(Matriz[[#This Row],[EDT]])=2,COUNTIF(Matriz[EDT],Matriz[[#This Row],[Cat]]&amp;"*")-1,0))</x:f>
        <x:v>#NAME?</x:v>
      </x:c>
      <x:c r="G117" s="165" t="e">
        <x:f>IF(Matriz[[#This Row],['# reque-rimientos]]&gt;0,"Sí","No")</x:f>
        <x:v>#REF!</x:v>
      </x:c>
      <x:c r="H117" s="165" t="e">
        <x:f>IF(Matriz[[#This Row],[Cat]]="0",0,IF(Matriz[[#This Row],[Par]]=0,1,LEN(Matriz[[#This Row],[EDT]])-LEN(SUBSTITUTE(Matriz[[#This Row],[EDT]],".",""))))</x:f>
        <x:v>#NAME?</x:v>
      </x:c>
      <x:c r="I117" s="13" t="s">
        <x:v>261</x:v>
      </x:c>
      <x:c r="M117" s="13" t="s">
        <x:v>120</x:v>
      </x:c>
      <x:c r="O117" s="165">
        <x:v>1</x:v>
      </x:c>
      <x:c r="R117" s="13">
        <x:v>8</x:v>
      </x:c>
      <x:c r="S117" s="13" t="s">
        <x:v>118</x:v>
      </x:c>
      <x:c r="X117" s="284" t="str">
        <x:v>Oracle Primavera Cloud (Portfolios/Programs) + Analytics</x:v>
      </x:c>
      <x:c r="Y117" s="285"/>
      <x:c r="Z117" s="284"/>
      <x:c r="AA117" s="13"/>
      <x:c r="AB117" s="286"/>
    </x:row>
    <x:row r="118" ht="22.5">
      <x:c r="A118" s="290" t="e">
        <x:f>_xlfn.XLOOKUP(Matriz[[#This Row],[Categoría]],Categoría[Categoría],Categoría[Cat],"NA",0)</x:f>
        <x:v>#NAME?</x:v>
      </x:c>
      <x:c r="B118" s="165" t="s">
        <x:v>247</x:v>
      </x:c>
      <x:c r="C118" s="288" t="e">
        <x:f>_xlfn.XLOOKUP(Matriz[[#This Row],[Parámetro]],Parámetro[Parámetro],Parámetro[Par],0,0)</x:f>
        <x:v>#NAME?</x:v>
      </x:c>
      <x:c r="D118" s="165" t="s">
        <x:v>252</x:v>
      </x:c>
      <x:c r="E118" s="165" t="e">
        <x:f>Matriz[[#This Row],[Cat]]&amp;IF(Matriz[[#This Row],[Par]]=0,"","."&amp;Matriz[[#This Row],[Par]]&amp;"."&amp;TEXT(COUNTIFS(A$2:A118,Matriz[[#This Row],[Cat]],C$2:C118,Matriz[[#This Row],[Par]]),"000"))</x:f>
        <x:v>#NAME?</x:v>
      </x:c>
      <x:c r="F118" s="289" t="e">
        <x:f>IF(LEN(Matriz[[#This Row],[EDT]])=1,COUNTIF(Matriz[EDT],"?????????*"),IF(LEN(Matriz[[#This Row],[EDT]])=2,COUNTIF(Matriz[EDT],Matriz[[#This Row],[Cat]]&amp;"*")-1,0))</x:f>
        <x:v>#NAME?</x:v>
      </x:c>
      <x:c r="G118" s="165" t="e">
        <x:f>IF(Matriz[[#This Row],['# reque-rimientos]]&gt;0,"Sí","No")</x:f>
        <x:v>#REF!</x:v>
      </x:c>
      <x:c r="H118" s="165" t="e">
        <x:f>IF(Matriz[[#This Row],[Cat]]="0",0,IF(Matriz[[#This Row],[Par]]=0,1,LEN(Matriz[[#This Row],[EDT]])-LEN(SUBSTITUTE(Matriz[[#This Row],[EDT]],".",""))))</x:f>
        <x:v>#NAME?</x:v>
      </x:c>
      <x:c r="I118" s="13" t="s">
        <x:v>262</x:v>
      </x:c>
      <x:c r="M118" s="13" t="s">
        <x:v>30</x:v>
      </x:c>
      <x:c r="O118" s="165">
        <x:v>1</x:v>
      </x:c>
      <x:c r="R118" s="13">
        <x:v>9</x:v>
      </x:c>
      <x:c r="S118" s="13" t="s">
        <x:v>118</x:v>
      </x:c>
      <x:c r="X118" s="284" t="str">
        <x:v>Oracle Primavera Cloud (Portfolios/Programs) + Analytics</x:v>
      </x:c>
      <x:c r="Y118" s="285"/>
      <x:c r="Z118" s="284"/>
      <x:c r="AA118" s="13"/>
      <x:c r="AB118" s="286"/>
    </x:row>
    <x:row r="119" ht="22.5">
      <x:c r="A119" s="290" t="e">
        <x:f>_xlfn.XLOOKUP(Matriz[[#This Row],[Categoría]],Categoría[Categoría],Categoría[Cat],"NA",0)</x:f>
        <x:v>#NAME?</x:v>
      </x:c>
      <x:c r="B119" s="165" t="s">
        <x:v>247</x:v>
      </x:c>
      <x:c r="C119" s="288" t="e">
        <x:f>_xlfn.XLOOKUP(Matriz[[#This Row],[Parámetro]],Parámetro[Parámetro],Parámetro[Par],0,0)</x:f>
        <x:v>#NAME?</x:v>
      </x:c>
      <x:c r="D119" s="165" t="s">
        <x:v>252</x:v>
      </x:c>
      <x:c r="E119" s="165" t="e">
        <x:f>Matriz[[#This Row],[Cat]]&amp;IF(Matriz[[#This Row],[Par]]=0,"","."&amp;Matriz[[#This Row],[Par]]&amp;"."&amp;TEXT(COUNTIFS(A$2:A119,Matriz[[#This Row],[Cat]],C$2:C119,Matriz[[#This Row],[Par]]),"000"))</x:f>
        <x:v>#NAME?</x:v>
      </x:c>
      <x:c r="F119" s="289" t="e">
        <x:f>IF(LEN(Matriz[[#This Row],[EDT]])=1,COUNTIF(Matriz[EDT],"?????????*"),IF(LEN(Matriz[[#This Row],[EDT]])=2,COUNTIF(Matriz[EDT],Matriz[[#This Row],[Cat]]&amp;"*")-1,0))</x:f>
        <x:v>#NAME?</x:v>
      </x:c>
      <x:c r="G119" s="165" t="e">
        <x:f>IF(Matriz[[#This Row],['# reque-rimientos]]&gt;0,"Sí","No")</x:f>
        <x:v>#REF!</x:v>
      </x:c>
      <x:c r="H119" s="165" t="e">
        <x:f>IF(Matriz[[#This Row],[Cat]]="0",0,IF(Matriz[[#This Row],[Par]]=0,1,LEN(Matriz[[#This Row],[EDT]])-LEN(SUBSTITUTE(Matriz[[#This Row],[EDT]],".",""))))</x:f>
        <x:v>#NAME?</x:v>
      </x:c>
      <x:c r="I119" s="13" t="s">
        <x:v>263</x:v>
      </x:c>
      <x:c r="M119" s="13" t="s">
        <x:v>120</x:v>
      </x:c>
      <x:c r="O119" s="165">
        <x:v>1</x:v>
      </x:c>
      <x:c r="R119" s="13">
        <x:v>8</x:v>
      </x:c>
      <x:c r="S119" s="13" t="s">
        <x:v>118</x:v>
      </x:c>
      <x:c r="X119" s="284" t="str">
        <x:v>Oracle Primavera Cloud Schedule</x:v>
      </x:c>
      <x:c r="Y119" s="285"/>
      <x:c r="Z119" s="284"/>
      <x:c r="AA119" s="13"/>
      <x:c r="AB119" s="286"/>
    </x:row>
    <x:row r="120" ht="22.5">
      <x:c r="A120" s="290" t="e">
        <x:f>_xlfn.XLOOKUP(Matriz[[#This Row],[Categoría]],Categoría[Categoría],Categoría[Cat],"NA",0)</x:f>
        <x:v>#NAME?</x:v>
      </x:c>
      <x:c r="B120" s="165" t="s">
        <x:v>247</x:v>
      </x:c>
      <x:c r="C120" s="288" t="e">
        <x:f>_xlfn.XLOOKUP(Matriz[[#This Row],[Parámetro]],Parámetro[Parámetro],Parámetro[Par],0,0)</x:f>
        <x:v>#NAME?</x:v>
      </x:c>
      <x:c r="D120" s="165" t="s">
        <x:v>252</x:v>
      </x:c>
      <x:c r="E120" s="165" t="e">
        <x:f>Matriz[[#This Row],[Cat]]&amp;IF(Matriz[[#This Row],[Par]]=0,"","."&amp;Matriz[[#This Row],[Par]]&amp;"."&amp;TEXT(COUNTIFS(A$2:A120,Matriz[[#This Row],[Cat]],C$2:C120,Matriz[[#This Row],[Par]]),"000"))</x:f>
        <x:v>#NAME?</x:v>
      </x:c>
      <x:c r="F120" s="289" t="e">
        <x:f>IF(LEN(Matriz[[#This Row],[EDT]])=1,COUNTIF(Matriz[EDT],"?????????*"),IF(LEN(Matriz[[#This Row],[EDT]])=2,COUNTIF(Matriz[EDT],Matriz[[#This Row],[Cat]]&amp;"*")-1,0))</x:f>
        <x:v>#NAME?</x:v>
      </x:c>
      <x:c r="G120" s="165" t="e">
        <x:f>IF(Matriz[[#This Row],['# reque-rimientos]]&gt;0,"Sí","No")</x:f>
        <x:v>#REF!</x:v>
      </x:c>
      <x:c r="H120" s="165" t="e">
        <x:f>IF(Matriz[[#This Row],[Cat]]="0",0,IF(Matriz[[#This Row],[Par]]=0,1,LEN(Matriz[[#This Row],[EDT]])-LEN(SUBSTITUTE(Matriz[[#This Row],[EDT]],".",""))))</x:f>
        <x:v>#NAME?</x:v>
      </x:c>
      <x:c r="I120" s="13" t="s">
        <x:v>264</x:v>
      </x:c>
      <x:c r="M120" s="13" t="s">
        <x:v>120</x:v>
      </x:c>
      <x:c r="O120" s="165">
        <x:v>1</x:v>
      </x:c>
      <x:c r="R120" s="13">
        <x:v>9</x:v>
      </x:c>
      <x:c r="S120" s="13" t="s">
        <x:v>118</x:v>
      </x:c>
      <x:c r="W120" s="13" t="s">
        <x:v>265</x:v>
      </x:c>
      <x:c r="X120" s="284" t="str">
        <x:v>Oracle Primavera Cloud Schedule</x:v>
      </x:c>
      <x:c r="Y120" s="285"/>
      <x:c r="Z120" s="284"/>
      <x:c r="AA120" s="13"/>
      <x:c r="AB120" s="286"/>
    </x:row>
    <x:row r="121">
      <x:c r="A121" s="290" t="e">
        <x:f>_xlfn.XLOOKUP(Matriz[[#This Row],[Categoría]],Categoría[Categoría],Categoría[Cat],"NA",0)</x:f>
        <x:v>#NAME?</x:v>
      </x:c>
      <x:c r="B121" s="165" t="s">
        <x:v>247</x:v>
      </x:c>
      <x:c r="C121" s="288" t="e">
        <x:f>_xlfn.XLOOKUP(Matriz[[#This Row],[Parámetro]],Parámetro[Parámetro],Parámetro[Par],0,0)</x:f>
        <x:v>#NAME?</x:v>
      </x:c>
      <x:c r="D121" s="165" t="s">
        <x:v>252</x:v>
      </x:c>
      <x:c r="E121" s="165" t="e">
        <x:f>Matriz[[#This Row],[Cat]]&amp;IF(Matriz[[#This Row],[Par]]=0,"","."&amp;Matriz[[#This Row],[Par]]&amp;"."&amp;TEXT(COUNTIFS(A$2:A121,Matriz[[#This Row],[Cat]],C$2:C121,Matriz[[#This Row],[Par]]),"000"))</x:f>
        <x:v>#NAME?</x:v>
      </x:c>
      <x:c r="F121" s="289" t="e">
        <x:f>IF(LEN(Matriz[[#This Row],[EDT]])=1,COUNTIF(Matriz[EDT],"?????????*"),IF(LEN(Matriz[[#This Row],[EDT]])=2,COUNTIF(Matriz[EDT],Matriz[[#This Row],[Cat]]&amp;"*")-1,0))</x:f>
        <x:v>#NAME?</x:v>
      </x:c>
      <x:c r="G121" s="165" t="e">
        <x:f>IF(Matriz[[#This Row],['# reque-rimientos]]&gt;0,"Sí","No")</x:f>
        <x:v>#REF!</x:v>
      </x:c>
      <x:c r="H121" s="165" t="e">
        <x:f>IF(Matriz[[#This Row],[Cat]]="0",0,IF(Matriz[[#This Row],[Par]]=0,1,LEN(Matriz[[#This Row],[EDT]])-LEN(SUBSTITUTE(Matriz[[#This Row],[EDT]],".",""))))</x:f>
        <x:v>#NAME?</x:v>
      </x:c>
      <x:c r="I121" s="13" t="s">
        <x:v>266</x:v>
      </x:c>
      <x:c r="M121" s="13" t="s">
        <x:v>120</x:v>
      </x:c>
      <x:c r="O121" s="165">
        <x:v>1</x:v>
      </x:c>
      <x:c r="R121" s="13">
        <x:v>9</x:v>
      </x:c>
      <x:c r="S121" s="13" t="s">
        <x:v>38</x:v>
      </x:c>
      <x:c r="X121" s="284" t="str">
        <x:v>Oracle Primavera Cloud Schedule</x:v>
      </x:c>
      <x:c r="Y121" s="285"/>
      <x:c r="Z121" s="284"/>
      <x:c r="AA121" s="13"/>
      <x:c r="AB121" s="286"/>
    </x:row>
    <x:row r="122" ht="22.5">
      <x:c r="A122" s="290" t="e">
        <x:f>_xlfn.XLOOKUP(Matriz[[#This Row],[Categoría]],Categoría[Categoría],Categoría[Cat],"NA",0)</x:f>
        <x:v>#NAME?</x:v>
      </x:c>
      <x:c r="B122" s="165" t="s">
        <x:v>247</x:v>
      </x:c>
      <x:c r="C122" s="288" t="e">
        <x:f>_xlfn.XLOOKUP(Matriz[[#This Row],[Parámetro]],Parámetro[Parámetro],Parámetro[Par],0,0)</x:f>
        <x:v>#NAME?</x:v>
      </x:c>
      <x:c r="D122" s="165" t="s">
        <x:v>252</x:v>
      </x:c>
      <x:c r="E122" s="165" t="e">
        <x:f>Matriz[[#This Row],[Cat]]&amp;IF(Matriz[[#This Row],[Par]]=0,"","."&amp;Matriz[[#This Row],[Par]]&amp;"."&amp;TEXT(COUNTIFS(A$2:A122,Matriz[[#This Row],[Cat]],C$2:C122,Matriz[[#This Row],[Par]]),"000"))</x:f>
        <x:v>#NAME?</x:v>
      </x:c>
      <x:c r="F122" s="289" t="e">
        <x:f>IF(LEN(Matriz[[#This Row],[EDT]])=1,COUNTIF(Matriz[EDT],"?????????*"),IF(LEN(Matriz[[#This Row],[EDT]])=2,COUNTIF(Matriz[EDT],Matriz[[#This Row],[Cat]]&amp;"*")-1,0))</x:f>
        <x:v>#NAME?</x:v>
      </x:c>
      <x:c r="G122" s="165" t="e">
        <x:f>IF(Matriz[[#This Row],['# reque-rimientos]]&gt;0,"Sí","No")</x:f>
        <x:v>#REF!</x:v>
      </x:c>
      <x:c r="H122" s="165" t="e">
        <x:f>IF(Matriz[[#This Row],[Cat]]="0",0,IF(Matriz[[#This Row],[Par]]=0,1,LEN(Matriz[[#This Row],[EDT]])-LEN(SUBSTITUTE(Matriz[[#This Row],[EDT]],".",""))))</x:f>
        <x:v>#NAME?</x:v>
      </x:c>
      <x:c r="I122" s="13" t="s">
        <x:v>267</x:v>
      </x:c>
      <x:c r="M122" s="13" t="s">
        <x:v>120</x:v>
      </x:c>
      <x:c r="O122" s="165">
        <x:v>1</x:v>
      </x:c>
      <x:c r="R122" s="13">
        <x:v>9</x:v>
      </x:c>
      <x:c r="S122" s="13" t="s">
        <x:v>38</x:v>
      </x:c>
      <x:c r="X122" s="284" t="str">
        <x:v>Oracle Primavera Cloud (Portfolios/Programs) + Analytics</x:v>
      </x:c>
      <x:c r="Y122" s="285"/>
      <x:c r="Z122" s="284"/>
      <x:c r="AA122" s="13"/>
      <x:c r="AB122" s="286"/>
    </x:row>
    <x:row r="123">
      <x:c r="A123" s="290" t="e">
        <x:f>_xlfn.XLOOKUP(Matriz[[#This Row],[Categoría]],Categoría[Categoría],Categoría[Cat],"NA",0)</x:f>
        <x:v>#NAME?</x:v>
      </x:c>
      <x:c r="B123" s="165" t="s">
        <x:v>247</x:v>
      </x:c>
      <x:c r="C123" s="288" t="e">
        <x:f>_xlfn.XLOOKUP(Matriz[[#This Row],[Parámetro]],Parámetro[Parámetro],Parámetro[Par],0,0)</x:f>
        <x:v>#NAME?</x:v>
      </x:c>
      <x:c r="D123" s="165" t="s">
        <x:v>252</x:v>
      </x:c>
      <x:c r="E123" s="165" t="e">
        <x:f>Matriz[[#This Row],[Cat]]&amp;IF(Matriz[[#This Row],[Par]]=0,"","."&amp;Matriz[[#This Row],[Par]]&amp;"."&amp;TEXT(COUNTIFS(A$2:A123,Matriz[[#This Row],[Cat]],C$2:C123,Matriz[[#This Row],[Par]]),"000"))</x:f>
        <x:v>#NAME?</x:v>
      </x:c>
      <x:c r="F123" s="289" t="e">
        <x:f>IF(LEN(Matriz[[#This Row],[EDT]])=1,COUNTIF(Matriz[EDT],"?????????*"),IF(LEN(Matriz[[#This Row],[EDT]])=2,COUNTIF(Matriz[EDT],Matriz[[#This Row],[Cat]]&amp;"*")-1,0))</x:f>
        <x:v>#NAME?</x:v>
      </x:c>
      <x:c r="G123" s="165" t="e">
        <x:f>IF(Matriz[[#This Row],['# reque-rimientos]]&gt;0,"Sí","No")</x:f>
        <x:v>#REF!</x:v>
      </x:c>
      <x:c r="H123" s="165" t="e">
        <x:f>IF(Matriz[[#This Row],[Cat]]="0",0,IF(Matriz[[#This Row],[Par]]=0,1,LEN(Matriz[[#This Row],[EDT]])-LEN(SUBSTITUTE(Matriz[[#This Row],[EDT]],".",""))))</x:f>
        <x:v>#NAME?</x:v>
      </x:c>
      <x:c r="I123" s="13" t="s">
        <x:v>268</x:v>
      </x:c>
      <x:c r="M123" s="13" t="s">
        <x:v>120</x:v>
      </x:c>
      <x:c r="O123" s="165">
        <x:v>1</x:v>
      </x:c>
      <x:c r="R123" s="13">
        <x:v>9</x:v>
      </x:c>
      <x:c r="S123" s="13" t="s">
        <x:v>83</x:v>
      </x:c>
      <x:c r="X123" s="284" t="str">
        <x:v>Oracle Primavera Cloud + Unifier + Aconex + APIs/Gateway/ETL</x:v>
      </x:c>
      <x:c r="Y123" s="285"/>
      <x:c r="Z123" s="284"/>
      <x:c r="AA123" s="13"/>
      <x:c r="AB123" s="286"/>
    </x:row>
    <x:row r="124" hidden="1">
      <x:c r="A124" s="290" t="e">
        <x:f>_xlfn.XLOOKUP(Matriz[[#This Row],[Categoría]],Categoría[Categoría],Categoría[Cat],"NA",0)</x:f>
        <x:v>#NAME?</x:v>
      </x:c>
      <x:c r="B124" s="165" t="s">
        <x:v>247</x:v>
      </x:c>
      <x:c r="C124" s="288" t="e">
        <x:f>_xlfn.XLOOKUP(Matriz[[#This Row],[Parámetro]],Parámetro[Parámetro],Parámetro[Par],0,0)</x:f>
        <x:v>#NAME?</x:v>
      </x:c>
      <x:c r="D124" s="165" t="s">
        <x:v>252</x:v>
      </x:c>
      <x:c r="E124" s="165" t="e">
        <x:f>Matriz[[#This Row],[Cat]]&amp;IF(Matriz[[#This Row],[Par]]=0,"","."&amp;Matriz[[#This Row],[Par]]&amp;"."&amp;TEXT(COUNTIFS(A$2:A124,Matriz[[#This Row],[Cat]],C$2:C124,Matriz[[#This Row],[Par]]),"000"))</x:f>
        <x:v>#NAME?</x:v>
      </x:c>
      <x:c r="F124" s="289" t="e">
        <x:f>IF(LEN(Matriz[[#This Row],[EDT]])=1,COUNTIF(Matriz[EDT],"?????????*"),IF(LEN(Matriz[[#This Row],[EDT]])=2,COUNTIF(Matriz[EDT],Matriz[[#This Row],[Cat]]&amp;"*")-1,0))</x:f>
        <x:v>#NAME?</x:v>
      </x:c>
      <x:c r="G124" s="165" t="e">
        <x:f>IF(Matriz[[#This Row],['# reque-rimientos]]&gt;0,"Sí","No")</x:f>
        <x:v>#REF!</x:v>
      </x:c>
      <x:c r="H124" s="165" t="e">
        <x:f>IF(Matriz[[#This Row],[Cat]]="0",0,IF(Matriz[[#This Row],[Par]]=0,1,LEN(Matriz[[#This Row],[EDT]])-LEN(SUBSTITUTE(Matriz[[#This Row],[EDT]],".",""))))</x:f>
        <x:v>#NAME?</x:v>
      </x:c>
      <x:c r="I124" s="13" t="s">
        <x:v>269</x:v>
      </x:c>
      <x:c r="M124" s="13" t="s">
        <x:v>120</x:v>
      </x:c>
      <x:c r="N124" s="165" t="s">
        <x:v>270</x:v>
      </x:c>
      <x:c r="O124" s="165">
        <x:v>3</x:v>
      </x:c>
      <x:c r="P124" s="291"/>
      <x:c r="Q124" s="291"/>
      <x:c r="R124" s="13">
        <x:v>5</x:v>
      </x:c>
      <x:c r="S124" s="13" t="s">
        <x:v>38</x:v>
      </x:c>
      <x:c r="X124" s="284" t="str">
        <x:v>Oracle Primavera Cloud Schedule</x:v>
      </x:c>
      <x:c r="Y124" s="285"/>
      <x:c r="Z124" s="284"/>
      <x:c r="AA124" s="13"/>
      <x:c r="AB124" s="286"/>
    </x:row>
    <x:row r="125" ht="22.5">
      <x:c r="A125" s="290" t="e">
        <x:f>_xlfn.XLOOKUP(Matriz[[#This Row],[Categoría]],Categoría[Categoría],Categoría[Cat],"NA",0)</x:f>
        <x:v>#NAME?</x:v>
      </x:c>
      <x:c r="B125" s="165" t="s">
        <x:v>247</x:v>
      </x:c>
      <x:c r="C125" s="288" t="e">
        <x:f>_xlfn.XLOOKUP(Matriz[[#This Row],[Parámetro]],Parámetro[Parámetro],Parámetro[Par],0,0)</x:f>
        <x:v>#NAME?</x:v>
      </x:c>
      <x:c r="D125" s="165" t="s">
        <x:v>252</x:v>
      </x:c>
      <x:c r="E125" s="165" t="e">
        <x:f>Matriz[[#This Row],[Cat]]&amp;IF(Matriz[[#This Row],[Par]]=0,"","."&amp;Matriz[[#This Row],[Par]]&amp;"."&amp;TEXT(COUNTIFS(A$2:A125,Matriz[[#This Row],[Cat]],C$2:C125,Matriz[[#This Row],[Par]]),"000"))</x:f>
        <x:v>#NAME?</x:v>
      </x:c>
      <x:c r="F125" s="289" t="e">
        <x:f>IF(LEN(Matriz[[#This Row],[EDT]])=1,COUNTIF(Matriz[EDT],"?????????*"),IF(LEN(Matriz[[#This Row],[EDT]])=2,COUNTIF(Matriz[EDT],Matriz[[#This Row],[Cat]]&amp;"*")-1,0))</x:f>
        <x:v>#NAME?</x:v>
      </x:c>
      <x:c r="G125" s="165" t="e">
        <x:f>IF(Matriz[[#This Row],['# reque-rimientos]]&gt;0,"Sí","No")</x:f>
        <x:v>#REF!</x:v>
      </x:c>
      <x:c r="H125" s="165" t="e">
        <x:f>IF(Matriz[[#This Row],[Cat]]="0",0,IF(Matriz[[#This Row],[Par]]=0,1,LEN(Matriz[[#This Row],[EDT]])-LEN(SUBSTITUTE(Matriz[[#This Row],[EDT]],".",""))))</x:f>
        <x:v>#NAME?</x:v>
      </x:c>
      <x:c r="I125" s="13" t="s">
        <x:v>271</x:v>
      </x:c>
      <x:c r="M125" s="13" t="s">
        <x:v>120</x:v>
      </x:c>
      <x:c r="O125" s="165">
        <x:v>1</x:v>
      </x:c>
      <x:c r="R125" s="13">
        <x:v>9</x:v>
      </x:c>
      <x:c r="S125" s="13" t="s">
        <x:v>118</x:v>
      </x:c>
      <x:c r="X125" s="284" t="str">
        <x:v>Oracle Primavera Cloud Schedule</x:v>
      </x:c>
      <x:c r="Y125" s="285"/>
      <x:c r="Z125" s="284"/>
      <x:c r="AA125" s="13"/>
      <x:c r="AB125" s="286"/>
    </x:row>
    <x:row r="126" ht="101.25">
      <x:c r="A126" s="290" t="e">
        <x:f>_xlfn.XLOOKUP(Matriz[[#This Row],[Categoría]],Categoría[Categoría],Categoría[Cat],"NA",0)</x:f>
        <x:v>#NAME?</x:v>
      </x:c>
      <x:c r="B126" s="165" t="s">
        <x:v>247</x:v>
      </x:c>
      <x:c r="C126" s="288" t="e">
        <x:f>_xlfn.XLOOKUP(Matriz[[#This Row],[Parámetro]],Parámetro[Parámetro],Parámetro[Par],0,0)</x:f>
        <x:v>#NAME?</x:v>
      </x:c>
      <x:c r="D126" s="165" t="s">
        <x:v>252</x:v>
      </x:c>
      <x:c r="E126" s="165" t="e">
        <x:f>Matriz[[#This Row],[Cat]]&amp;IF(Matriz[[#This Row],[Par]]=0,"","."&amp;Matriz[[#This Row],[Par]]&amp;"."&amp;TEXT(COUNTIFS(A$2:A126,Matriz[[#This Row],[Cat]],C$2:C126,Matriz[[#This Row],[Par]]),"000"))</x:f>
        <x:v>#NAME?</x:v>
      </x:c>
      <x:c r="F126" s="289" t="e">
        <x:f>IF(LEN(Matriz[[#This Row],[EDT]])=1,COUNTIF(Matriz[EDT],"?????????*"),IF(LEN(Matriz[[#This Row],[EDT]])=2,COUNTIF(Matriz[EDT],Matriz[[#This Row],[Cat]]&amp;"*")-1,0))</x:f>
        <x:v>#NAME?</x:v>
      </x:c>
      <x:c r="G126" s="165" t="e">
        <x:f>IF(Matriz[[#This Row],['# reque-rimientos]]&gt;0,"Sí","No")</x:f>
        <x:v>#REF!</x:v>
      </x:c>
      <x:c r="H126" s="165" t="e">
        <x:f>IF(Matriz[[#This Row],[Cat]]="0",0,IF(Matriz[[#This Row],[Par]]=0,1,LEN(Matriz[[#This Row],[EDT]])-LEN(SUBSTITUTE(Matriz[[#This Row],[EDT]],".",""))))</x:f>
        <x:v>#NAME?</x:v>
      </x:c>
      <x:c r="I126" s="13" t="s">
        <x:v>272</x:v>
      </x:c>
      <x:c r="M126" s="13" t="s">
        <x:v>120</x:v>
      </x:c>
      <x:c r="N126" s="13" t="s">
        <x:v>273</x:v>
      </x:c>
      <x:c r="O126" s="165">
        <x:v>1</x:v>
      </x:c>
      <x:c r="R126" s="13">
        <x:v>5</x:v>
      </x:c>
      <x:c r="S126" s="13" t="s">
        <x:v>118</x:v>
      </x:c>
      <x:c r="X126" s="284" t="str">
        <x:v>Oracle Primavera Cloud Schedule</x:v>
      </x:c>
      <x:c r="Y126" s="285"/>
      <x:c r="Z126" s="284"/>
      <x:c r="AA126" s="13"/>
      <x:c r="AB126" s="286"/>
    </x:row>
    <x:row r="127" ht="33.75" hidden="1">
      <x:c r="A127" s="290" t="e">
        <x:f>_xlfn.XLOOKUP(Matriz[[#This Row],[Categoría]],Categoría[Categoría],Categoría[Cat],"NA",0)</x:f>
        <x:v>#NAME?</x:v>
      </x:c>
      <x:c r="B127" s="165" t="s">
        <x:v>247</x:v>
      </x:c>
      <x:c r="C127" s="288" t="e">
        <x:f>_xlfn.XLOOKUP(Matriz[[#This Row],[Parámetro]],Parámetro[Parámetro],Parámetro[Par],0,0)</x:f>
        <x:v>#NAME?</x:v>
      </x:c>
      <x:c r="D127" s="165" t="s">
        <x:v>252</x:v>
      </x:c>
      <x:c r="E127" s="165" t="e">
        <x:f>Matriz[[#This Row],[Cat]]&amp;IF(Matriz[[#This Row],[Par]]=0,"","."&amp;Matriz[[#This Row],[Par]]&amp;"."&amp;TEXT(COUNTIFS(A$2:A127,Matriz[[#This Row],[Cat]],C$2:C127,Matriz[[#This Row],[Par]]),"000"))</x:f>
        <x:v>#NAME?</x:v>
      </x:c>
      <x:c r="F127" s="289" t="e">
        <x:f>IF(LEN(Matriz[[#This Row],[EDT]])=1,COUNTIF(Matriz[EDT],"?????????*"),IF(LEN(Matriz[[#This Row],[EDT]])=2,COUNTIF(Matriz[EDT],Matriz[[#This Row],[Cat]]&amp;"*")-1,0))</x:f>
        <x:v>#NAME?</x:v>
      </x:c>
      <x:c r="G127" s="165" t="e">
        <x:f>IF(Matriz[[#This Row],['# reque-rimientos]]&gt;0,"Sí","No")</x:f>
        <x:v>#REF!</x:v>
      </x:c>
      <x:c r="H127" s="165" t="e">
        <x:f>IF(Matriz[[#This Row],[Cat]]="0",0,IF(Matriz[[#This Row],[Par]]=0,1,LEN(Matriz[[#This Row],[EDT]])-LEN(SUBSTITUTE(Matriz[[#This Row],[EDT]],".",""))))</x:f>
        <x:v>#NAME?</x:v>
      </x:c>
      <x:c r="I127" s="13" t="s">
        <x:v>274</x:v>
      </x:c>
      <x:c r="M127" s="13" t="s">
        <x:v>120</x:v>
      </x:c>
      <x:c r="O127" s="165">
        <x:v>4</x:v>
      </x:c>
      <x:c r="R127" s="13">
        <x:v>7</x:v>
      </x:c>
      <x:c r="S127" s="13" t="s">
        <x:v>83</x:v>
      </x:c>
      <x:c r="X127" s="284" t="str">
        <x:v>Oracle Aconex + Oracle Primavera Cloud/Unifier</x:v>
      </x:c>
      <x:c r="Y127" s="285"/>
      <x:c r="Z127" s="284"/>
      <x:c r="AA127" s="13"/>
      <x:c r="AB127" s="286"/>
    </x:row>
    <x:row r="128">
      <x:c r="A128" s="290" t="e">
        <x:f>_xlfn.XLOOKUP(Matriz[[#This Row],[Categoría]],Categoría[Categoría],Categoría[Cat],"NA",0)</x:f>
        <x:v>#NAME?</x:v>
      </x:c>
      <x:c r="B128" s="165" t="s">
        <x:v>247</x:v>
      </x:c>
      <x:c r="C128" s="288" t="e">
        <x:f>_xlfn.XLOOKUP(Matriz[[#This Row],[Parámetro]],Parámetro[Parámetro],Parámetro[Par],0,0)</x:f>
        <x:v>#NAME?</x:v>
      </x:c>
      <x:c r="D128" s="165" t="s">
        <x:v>252</x:v>
      </x:c>
      <x:c r="E128" s="165" t="e">
        <x:f>Matriz[[#This Row],[Cat]]&amp;IF(Matriz[[#This Row],[Par]]=0,"","."&amp;Matriz[[#This Row],[Par]]&amp;"."&amp;TEXT(COUNTIFS(A$2:A128,Matriz[[#This Row],[Cat]],C$2:C128,Matriz[[#This Row],[Par]]),"000"))</x:f>
        <x:v>#NAME?</x:v>
      </x:c>
      <x:c r="F128" s="289" t="e">
        <x:f>IF(LEN(Matriz[[#This Row],[EDT]])=1,COUNTIF(Matriz[EDT],"?????????*"),IF(LEN(Matriz[[#This Row],[EDT]])=2,COUNTIF(Matriz[EDT],Matriz[[#This Row],[Cat]]&amp;"*")-1,0))</x:f>
        <x:v>#NAME?</x:v>
      </x:c>
      <x:c r="G128" s="165" t="e">
        <x:f>IF(Matriz[[#This Row],['# reque-rimientos]]&gt;0,"Sí","No")</x:f>
        <x:v>#REF!</x:v>
      </x:c>
      <x:c r="H128" s="165" t="e">
        <x:f>IF(Matriz[[#This Row],[Cat]]="0",0,IF(Matriz[[#This Row],[Par]]=0,1,LEN(Matriz[[#This Row],[EDT]])-LEN(SUBSTITUTE(Matriz[[#This Row],[EDT]],".",""))))</x:f>
        <x:v>#NAME?</x:v>
      </x:c>
      <x:c r="I128" s="13" t="s">
        <x:v>275</x:v>
      </x:c>
      <x:c r="M128" s="13" t="s">
        <x:v>120</x:v>
      </x:c>
      <x:c r="O128" s="165">
        <x:v>1</x:v>
      </x:c>
      <x:c r="R128" s="13">
        <x:v>9</x:v>
      </x:c>
      <x:c r="S128" s="13" t="s">
        <x:v>38</x:v>
      </x:c>
      <x:c r="X128" s="284" t="str">
        <x:v>Oracle Primavera Cloud (Portfolios/Programs) + Analytics</x:v>
      </x:c>
      <x:c r="Y128" s="285"/>
      <x:c r="Z128" s="284"/>
      <x:c r="AA128" s="13"/>
      <x:c r="AB128" s="286"/>
    </x:row>
    <x:row r="129" ht="22.5">
      <x:c r="A129" s="290" t="e">
        <x:f>_xlfn.XLOOKUP(Matriz[[#This Row],[Categoría]],Categoría[Categoría],Categoría[Cat],"NA",0)</x:f>
        <x:v>#NAME?</x:v>
      </x:c>
      <x:c r="B129" s="165" t="s">
        <x:v>247</x:v>
      </x:c>
      <x:c r="C129" s="288" t="e">
        <x:f>_xlfn.XLOOKUP(Matriz[[#This Row],[Parámetro]],Parámetro[Parámetro],Parámetro[Par],0,0)</x:f>
        <x:v>#NAME?</x:v>
      </x:c>
      <x:c r="D129" s="165" t="s">
        <x:v>252</x:v>
      </x:c>
      <x:c r="E129" s="165" t="e">
        <x:f>Matriz[[#This Row],[Cat]]&amp;IF(Matriz[[#This Row],[Par]]=0,"","."&amp;Matriz[[#This Row],[Par]]&amp;"."&amp;TEXT(COUNTIFS(A$2:A129,Matriz[[#This Row],[Cat]],C$2:C129,Matriz[[#This Row],[Par]]),"000"))</x:f>
        <x:v>#NAME?</x:v>
      </x:c>
      <x:c r="F129" s="289" t="e">
        <x:f>IF(LEN(Matriz[[#This Row],[EDT]])=1,COUNTIF(Matriz[EDT],"?????????*"),IF(LEN(Matriz[[#This Row],[EDT]])=2,COUNTIF(Matriz[EDT],Matriz[[#This Row],[Cat]]&amp;"*")-1,0))</x:f>
        <x:v>#NAME?</x:v>
      </x:c>
      <x:c r="G129" s="165" t="e">
        <x:f>IF(Matriz[[#This Row],['# reque-rimientos]]&gt;0,"Sí","No")</x:f>
        <x:v>#REF!</x:v>
      </x:c>
      <x:c r="H129" s="165" t="e">
        <x:f>IF(Matriz[[#This Row],[Cat]]="0",0,IF(Matriz[[#This Row],[Par]]=0,1,LEN(Matriz[[#This Row],[EDT]])-LEN(SUBSTITUTE(Matriz[[#This Row],[EDT]],".",""))))</x:f>
        <x:v>#NAME?</x:v>
      </x:c>
      <x:c r="I129" s="13" t="s">
        <x:v>276</x:v>
      </x:c>
      <x:c r="M129" s="13" t="s">
        <x:v>120</x:v>
      </x:c>
      <x:c r="O129" s="165">
        <x:v>1</x:v>
      </x:c>
      <x:c r="R129" s="13">
        <x:v>9</x:v>
      </x:c>
      <x:c r="S129" s="13" t="s">
        <x:v>38</x:v>
      </x:c>
      <x:c r="X129" s="284" t="str">
        <x:v>Oracle Primavera Cloud (Portfolios/Programs) + Analytics</x:v>
      </x:c>
      <x:c r="Y129" s="285"/>
      <x:c r="Z129" s="284"/>
      <x:c r="AA129" s="13"/>
      <x:c r="AB129" s="286"/>
    </x:row>
    <x:row r="130" ht="22.5">
      <x:c r="A130" s="290" t="e">
        <x:f>_xlfn.XLOOKUP(Matriz[[#This Row],[Categoría]],Categoría[Categoría],Categoría[Cat],"NA",0)</x:f>
        <x:v>#NAME?</x:v>
      </x:c>
      <x:c r="B130" s="165" t="s">
        <x:v>247</x:v>
      </x:c>
      <x:c r="C130" s="288" t="e">
        <x:f>_xlfn.XLOOKUP(Matriz[[#This Row],[Parámetro]],Parámetro[Parámetro],Parámetro[Par],0,0)</x:f>
        <x:v>#NAME?</x:v>
      </x:c>
      <x:c r="D130" s="165" t="s">
        <x:v>252</x:v>
      </x:c>
      <x:c r="E130" s="165" t="e">
        <x:f>Matriz[[#This Row],[Cat]]&amp;IF(Matriz[[#This Row],[Par]]=0,"","."&amp;Matriz[[#This Row],[Par]]&amp;"."&amp;TEXT(COUNTIFS(A$2:A130,Matriz[[#This Row],[Cat]],C$2:C130,Matriz[[#This Row],[Par]]),"000"))</x:f>
        <x:v>#NAME?</x:v>
      </x:c>
      <x:c r="F130" s="289" t="e">
        <x:f>IF(LEN(Matriz[[#This Row],[EDT]])=1,COUNTIF(Matriz[EDT],"?????????*"),IF(LEN(Matriz[[#This Row],[EDT]])=2,COUNTIF(Matriz[EDT],Matriz[[#This Row],[Cat]]&amp;"*")-1,0))</x:f>
        <x:v>#NAME?</x:v>
      </x:c>
      <x:c r="G130" s="165" t="e">
        <x:f>IF(Matriz[[#This Row],['# reque-rimientos]]&gt;0,"Sí","No")</x:f>
        <x:v>#REF!</x:v>
      </x:c>
      <x:c r="H130" s="165" t="e">
        <x:f>IF(Matriz[[#This Row],[Cat]]="0",0,IF(Matriz[[#This Row],[Par]]=0,1,LEN(Matriz[[#This Row],[EDT]])-LEN(SUBSTITUTE(Matriz[[#This Row],[EDT]],".",""))))</x:f>
        <x:v>#NAME?</x:v>
      </x:c>
      <x:c r="I130" s="13" t="s">
        <x:v>277</x:v>
      </x:c>
      <x:c r="M130" s="13" t="s">
        <x:v>120</x:v>
      </x:c>
      <x:c r="O130" s="165">
        <x:v>1</x:v>
      </x:c>
      <x:c r="R130" s="13">
        <x:v>9</x:v>
      </x:c>
      <x:c r="S130" s="13" t="s">
        <x:v>38</x:v>
      </x:c>
      <x:c r="X130" s="284" t="str">
        <x:v>Oracle Primavera Cloud (Portfolios/Programs) + Analytics</x:v>
      </x:c>
      <x:c r="Y130" s="285"/>
      <x:c r="Z130" s="284"/>
      <x:c r="AA130" s="13"/>
      <x:c r="AB130" s="286"/>
    </x:row>
    <x:row r="131">
      <x:c r="A131" s="290" t="e">
        <x:f>_xlfn.XLOOKUP(Matriz[[#This Row],[Categoría]],Categoría[Categoría],Categoría[Cat],"NA",0)</x:f>
        <x:v>#NAME?</x:v>
      </x:c>
      <x:c r="B131" s="165" t="s">
        <x:v>247</x:v>
      </x:c>
      <x:c r="C131" s="288" t="e">
        <x:f>_xlfn.XLOOKUP(Matriz[[#This Row],[Parámetro]],Parámetro[Parámetro],Parámetro[Par],0,0)</x:f>
        <x:v>#NAME?</x:v>
      </x:c>
      <x:c r="D131" s="165" t="s">
        <x:v>252</x:v>
      </x:c>
      <x:c r="E131" s="165" t="e">
        <x:f>Matriz[[#This Row],[Cat]]&amp;IF(Matriz[[#This Row],[Par]]=0,"","."&amp;Matriz[[#This Row],[Par]]&amp;"."&amp;TEXT(COUNTIFS(A$2:A131,Matriz[[#This Row],[Cat]],C$2:C131,Matriz[[#This Row],[Par]]),"000"))</x:f>
        <x:v>#NAME?</x:v>
      </x:c>
      <x:c r="F131" s="289" t="e">
        <x:f>IF(LEN(Matriz[[#This Row],[EDT]])=1,COUNTIF(Matriz[EDT],"?????????*"),IF(LEN(Matriz[[#This Row],[EDT]])=2,COUNTIF(Matriz[EDT],Matriz[[#This Row],[Cat]]&amp;"*")-1,0))</x:f>
        <x:v>#NAME?</x:v>
      </x:c>
      <x:c r="G131" s="165" t="e">
        <x:f>IF(Matriz[[#This Row],['# reque-rimientos]]&gt;0,"Sí","No")</x:f>
        <x:v>#REF!</x:v>
      </x:c>
      <x:c r="H131" s="165" t="e">
        <x:f>IF(Matriz[[#This Row],[Cat]]="0",0,IF(Matriz[[#This Row],[Par]]=0,1,LEN(Matriz[[#This Row],[EDT]])-LEN(SUBSTITUTE(Matriz[[#This Row],[EDT]],".",""))))</x:f>
        <x:v>#NAME?</x:v>
      </x:c>
      <x:c r="I131" s="13" t="s">
        <x:v>278</x:v>
      </x:c>
      <x:c r="J131" s="13" t="s">
        <x:v>66</x:v>
      </x:c>
      <x:c r="M131" s="13" t="s">
        <x:v>120</x:v>
      </x:c>
      <x:c r="O131" s="165">
        <x:v>1</x:v>
      </x:c>
      <x:c r="R131" s="13">
        <x:v>9</x:v>
      </x:c>
      <x:c r="S131" s="13" t="s">
        <x:v>67</x:v>
      </x:c>
      <x:c r="T131" s="13" t="s">
        <x:v>39</x:v>
      </x:c>
      <x:c r="X131" s="284" t="str">
        <x:v>Oracle Primavera Cloud Schedule</x:v>
      </x:c>
      <x:c r="Y131" s="285"/>
      <x:c r="Z131" s="284"/>
      <x:c r="AA131" s="13"/>
      <x:c r="AB131" s="286"/>
    </x:row>
    <x:row r="132">
      <x:c r="A132" s="290" t="e">
        <x:f>_xlfn.XLOOKUP(Matriz[[#This Row],[Categoría]],Categoría[Categoría],Categoría[Cat],"NA",0)</x:f>
        <x:v>#NAME?</x:v>
      </x:c>
      <x:c r="B132" s="165" t="s">
        <x:v>247</x:v>
      </x:c>
      <x:c r="C132" s="288" t="e">
        <x:f>_xlfn.XLOOKUP(Matriz[[#This Row],[Parámetro]],Parámetro[Parámetro],Parámetro[Par],0,0)</x:f>
        <x:v>#NAME?</x:v>
      </x:c>
      <x:c r="D132" s="165" t="s">
        <x:v>252</x:v>
      </x:c>
      <x:c r="E132" s="165" t="e">
        <x:f>Matriz[[#This Row],[Cat]]&amp;IF(Matriz[[#This Row],[Par]]=0,"","."&amp;Matriz[[#This Row],[Par]]&amp;"."&amp;TEXT(COUNTIFS(A$2:A132,Matriz[[#This Row],[Cat]],C$2:C132,Matriz[[#This Row],[Par]]),"000"))</x:f>
        <x:v>#NAME?</x:v>
      </x:c>
      <x:c r="F132" s="289" t="e">
        <x:f>IF(LEN(Matriz[[#This Row],[EDT]])=1,COUNTIF(Matriz[EDT],"?????????*"),IF(LEN(Matriz[[#This Row],[EDT]])=2,COUNTIF(Matriz[EDT],Matriz[[#This Row],[Cat]]&amp;"*")-1,0))</x:f>
        <x:v>#NAME?</x:v>
      </x:c>
      <x:c r="G132" s="165" t="e">
        <x:f>IF(Matriz[[#This Row],['# reque-rimientos]]&gt;0,"Sí","No")</x:f>
        <x:v>#REF!</x:v>
      </x:c>
      <x:c r="H132" s="165" t="e">
        <x:f>IF(Matriz[[#This Row],[Cat]]="0",0,IF(Matriz[[#This Row],[Par]]=0,1,LEN(Matriz[[#This Row],[EDT]])-LEN(SUBSTITUTE(Matriz[[#This Row],[EDT]],".",""))))</x:f>
        <x:v>#NAME?</x:v>
      </x:c>
      <x:c r="I132" s="13" t="s">
        <x:v>279</x:v>
      </x:c>
      <x:c r="M132" s="13" t="s">
        <x:v>120</x:v>
      </x:c>
      <x:c r="O132" s="165">
        <x:v>1</x:v>
      </x:c>
      <x:c r="R132" s="13">
        <x:v>9</x:v>
      </x:c>
      <x:c r="S132" s="13" t="s">
        <x:v>38</x:v>
      </x:c>
      <x:c r="X132" s="284" t="str">
        <x:v>Oracle Primavera Cloud Schedule</x:v>
      </x:c>
      <x:c r="Y132" s="285"/>
      <x:c r="Z132" s="284"/>
      <x:c r="AA132" s="13"/>
      <x:c r="AB132" s="286"/>
    </x:row>
    <x:row r="133" ht="56.25">
      <x:c r="A133" s="290" t="e">
        <x:f>_xlfn.XLOOKUP(Matriz[[#This Row],[Categoría]],Categoría[Categoría],Categoría[Cat],"NA",0)</x:f>
        <x:v>#NAME?</x:v>
      </x:c>
      <x:c r="B133" s="165" t="s">
        <x:v>247</x:v>
      </x:c>
      <x:c r="C133" s="288" t="e">
        <x:f>_xlfn.XLOOKUP(Matriz[[#This Row],[Parámetro]],Parámetro[Parámetro],Parámetro[Par],0,0)</x:f>
        <x:v>#NAME?</x:v>
      </x:c>
      <x:c r="D133" s="165" t="s">
        <x:v>252</x:v>
      </x:c>
      <x:c r="E133" s="165" t="e">
        <x:f>Matriz[[#This Row],[Cat]]&amp;IF(Matriz[[#This Row],[Par]]=0,"","."&amp;Matriz[[#This Row],[Par]]&amp;"."&amp;TEXT(COUNTIFS(A$2:A133,Matriz[[#This Row],[Cat]],C$2:C133,Matriz[[#This Row],[Par]]),"000"))</x:f>
        <x:v>#NAME?</x:v>
      </x:c>
      <x:c r="F133" s="289" t="e">
        <x:f>IF(LEN(Matriz[[#This Row],[EDT]])=1,COUNTIF(Matriz[EDT],"?????????*"),IF(LEN(Matriz[[#This Row],[EDT]])=2,COUNTIF(Matriz[EDT],Matriz[[#This Row],[Cat]]&amp;"*")-1,0))</x:f>
        <x:v>#NAME?</x:v>
      </x:c>
      <x:c r="G133" s="165" t="e">
        <x:f>IF(Matriz[[#This Row],['# reque-rimientos]]&gt;0,"Sí","No")</x:f>
        <x:v>#REF!</x:v>
      </x:c>
      <x:c r="H133" s="165" t="e">
        <x:f>IF(Matriz[[#This Row],[Cat]]="0",0,IF(Matriz[[#This Row],[Par]]=0,1,LEN(Matriz[[#This Row],[EDT]])-LEN(SUBSTITUTE(Matriz[[#This Row],[EDT]],".",""))))</x:f>
        <x:v>#NAME?</x:v>
      </x:c>
      <x:c r="I133" s="13" t="s">
        <x:v>280</x:v>
      </x:c>
      <x:c r="M133" s="13" t="s">
        <x:v>120</x:v>
      </x:c>
      <x:c r="N133" s="13" t="s">
        <x:v>281</x:v>
      </x:c>
      <x:c r="O133" s="165">
        <x:v>1</x:v>
      </x:c>
      <x:c r="R133" s="13">
        <x:v>8</x:v>
      </x:c>
      <x:c r="S133" s="13" t="s">
        <x:v>38</x:v>
      </x:c>
      <x:c r="X133" s="284" t="str">
        <x:v>Oracle Primavera Cloud Schedule</x:v>
      </x:c>
      <x:c r="Y133" s="285"/>
      <x:c r="Z133" s="284"/>
      <x:c r="AA133" s="13"/>
      <x:c r="AB133" s="286"/>
    </x:row>
    <x:row r="134">
      <x:c r="A134" s="290" t="e">
        <x:f>_xlfn.XLOOKUP(Matriz[[#This Row],[Categoría]],Categoría[Categoría],Categoría[Cat],"NA",0)</x:f>
        <x:v>#NAME?</x:v>
      </x:c>
      <x:c r="B134" s="165" t="s">
        <x:v>247</x:v>
      </x:c>
      <x:c r="C134" s="288" t="e">
        <x:f>_xlfn.XLOOKUP(Matriz[[#This Row],[Parámetro]],Parámetro[Parámetro],Parámetro[Par],0,0)</x:f>
        <x:v>#NAME?</x:v>
      </x:c>
      <x:c r="D134" s="165" t="s">
        <x:v>252</x:v>
      </x:c>
      <x:c r="E134" s="165" t="e">
        <x:f>Matriz[[#This Row],[Cat]]&amp;IF(Matriz[[#This Row],[Par]]=0,"","."&amp;Matriz[[#This Row],[Par]]&amp;"."&amp;TEXT(COUNTIFS(A$2:A134,Matriz[[#This Row],[Cat]],C$2:C134,Matriz[[#This Row],[Par]]),"000"))</x:f>
        <x:v>#NAME?</x:v>
      </x:c>
      <x:c r="F134" s="289" t="e">
        <x:f>IF(LEN(Matriz[[#This Row],[EDT]])=1,COUNTIF(Matriz[EDT],"?????????*"),IF(LEN(Matriz[[#This Row],[EDT]])=2,COUNTIF(Matriz[EDT],Matriz[[#This Row],[Cat]]&amp;"*")-1,0))</x:f>
        <x:v>#NAME?</x:v>
      </x:c>
      <x:c r="G134" s="165" t="e">
        <x:f>IF(Matriz[[#This Row],['# reque-rimientos]]&gt;0,"Sí","No")</x:f>
        <x:v>#REF!</x:v>
      </x:c>
      <x:c r="H134" s="165" t="e">
        <x:f>IF(Matriz[[#This Row],[Cat]]="0",0,IF(Matriz[[#This Row],[Par]]=0,1,LEN(Matriz[[#This Row],[EDT]])-LEN(SUBSTITUTE(Matriz[[#This Row],[EDT]],".",""))))</x:f>
        <x:v>#NAME?</x:v>
      </x:c>
      <x:c r="I134" s="13" t="s">
        <x:v>282</x:v>
      </x:c>
      <x:c r="M134" s="13" t="s">
        <x:v>120</x:v>
      </x:c>
      <x:c r="O134" s="165">
        <x:v>1</x:v>
      </x:c>
      <x:c r="R134" s="13">
        <x:v>9</x:v>
      </x:c>
      <x:c r="S134" s="13" t="s">
        <x:v>38</x:v>
      </x:c>
      <x:c r="X134" s="284" t="str">
        <x:v>Oracle Primavera Cloud Schedule</x:v>
      </x:c>
      <x:c r="Y134" s="285"/>
      <x:c r="Z134" s="284"/>
      <x:c r="AA134" s="13"/>
      <x:c r="AB134" s="286"/>
    </x:row>
    <x:row r="135">
      <x:c r="A135" s="290" t="e">
        <x:f>_xlfn.XLOOKUP(Matriz[[#This Row],[Categoría]],Categoría[Categoría],Categoría[Cat],"NA",0)</x:f>
        <x:v>#NAME?</x:v>
      </x:c>
      <x:c r="B135" s="165" t="s">
        <x:v>247</x:v>
      </x:c>
      <x:c r="C135" s="288" t="e">
        <x:f>_xlfn.XLOOKUP(Matriz[[#This Row],[Parámetro]],Parámetro[Parámetro],Parámetro[Par],0,0)</x:f>
        <x:v>#NAME?</x:v>
      </x:c>
      <x:c r="D135" s="165" t="s">
        <x:v>283</x:v>
      </x:c>
      <x:c r="E135" s="165" t="e">
        <x:f>Matriz[[#This Row],[Cat]]&amp;IF(Matriz[[#This Row],[Par]]=0,"","."&amp;Matriz[[#This Row],[Par]]&amp;"."&amp;TEXT(COUNTIFS(A$2:A135,Matriz[[#This Row],[Cat]],C$2:C135,Matriz[[#This Row],[Par]]),"000"))</x:f>
        <x:v>#NAME?</x:v>
      </x:c>
      <x:c r="F135" s="289" t="e">
        <x:f>IF(LEN(Matriz[[#This Row],[EDT]])=1,COUNTIF(Matriz[EDT],"?????????*"),IF(LEN(Matriz[[#This Row],[EDT]])=2,COUNTIF(Matriz[EDT],Matriz[[#This Row],[Cat]]&amp;"*")-1,0))</x:f>
        <x:v>#NAME?</x:v>
      </x:c>
      <x:c r="G135" s="165" t="e">
        <x:f>IF(Matriz[[#This Row],['# reque-rimientos]]&gt;0,"Sí","No")</x:f>
        <x:v>#REF!</x:v>
      </x:c>
      <x:c r="H135" s="165" t="e">
        <x:f>IF(Matriz[[#This Row],[Cat]]="0",0,IF(Matriz[[#This Row],[Par]]=0,1,LEN(Matriz[[#This Row],[EDT]])-LEN(SUBSTITUTE(Matriz[[#This Row],[EDT]],".",""))))</x:f>
        <x:v>#NAME?</x:v>
      </x:c>
      <x:c r="I135" s="13" t="s">
        <x:v>284</x:v>
      </x:c>
      <x:c r="M135" s="13" t="s">
        <x:v>120</x:v>
      </x:c>
      <x:c r="O135" s="165">
        <x:v>1</x:v>
      </x:c>
      <x:c r="R135" s="13">
        <x:v>9</x:v>
      </x:c>
      <x:c r="S135" s="13" t="s">
        <x:v>118</x:v>
      </x:c>
      <x:c r="X135" s="284" t="str">
        <x:v>OPC Cost/Funds + Oracle Primavera Unifier</x:v>
      </x:c>
      <x:c r="Y135" s="285"/>
      <x:c r="Z135" s="284"/>
      <x:c r="AA135" s="13"/>
      <x:c r="AB135" s="286"/>
    </x:row>
    <x:row r="136" ht="22.5" hidden="1">
      <x:c r="A136" s="290" t="e">
        <x:f>_xlfn.XLOOKUP(Matriz[[#This Row],[Categoría]],Categoría[Categoría],Categoría[Cat],"NA",0)</x:f>
        <x:v>#NAME?</x:v>
      </x:c>
      <x:c r="B136" s="165" t="s">
        <x:v>247</x:v>
      </x:c>
      <x:c r="C136" s="288" t="e">
        <x:f>_xlfn.XLOOKUP(Matriz[[#This Row],[Parámetro]],Parámetro[Parámetro],Parámetro[Par],0,0)</x:f>
        <x:v>#NAME?</x:v>
      </x:c>
      <x:c r="D136" s="165" t="s">
        <x:v>283</x:v>
      </x:c>
      <x:c r="E136" s="165" t="e">
        <x:f>Matriz[[#This Row],[Cat]]&amp;IF(Matriz[[#This Row],[Par]]=0,"","."&amp;Matriz[[#This Row],[Par]]&amp;"."&amp;TEXT(COUNTIFS(A$2:A136,Matriz[[#This Row],[Cat]],C$2:C136,Matriz[[#This Row],[Par]]),"000"))</x:f>
        <x:v>#NAME?</x:v>
      </x:c>
      <x:c r="F136" s="289" t="e">
        <x:f>IF(LEN(Matriz[[#This Row],[EDT]])=1,COUNTIF(Matriz[EDT],"?????????*"),IF(LEN(Matriz[[#This Row],[EDT]])=2,COUNTIF(Matriz[EDT],Matriz[[#This Row],[Cat]]&amp;"*")-1,0))</x:f>
        <x:v>#NAME?</x:v>
      </x:c>
      <x:c r="G136" s="165" t="e">
        <x:f>IF(Matriz[[#This Row],['# reque-rimientos]]&gt;0,"Sí","No")</x:f>
        <x:v>#REF!</x:v>
      </x:c>
      <x:c r="H136" s="165" t="e">
        <x:f>IF(Matriz[[#This Row],[Cat]]="0",0,IF(Matriz[[#This Row],[Par]]=0,1,LEN(Matriz[[#This Row],[EDT]])-LEN(SUBSTITUTE(Matriz[[#This Row],[EDT]],".",""))))</x:f>
        <x:v>#NAME?</x:v>
      </x:c>
      <x:c r="I136" s="13" t="s">
        <x:v>285</x:v>
      </x:c>
      <x:c r="M136" s="13" t="s">
        <x:v>120</x:v>
      </x:c>
      <x:c r="O136" s="165">
        <x:v>2</x:v>
      </x:c>
      <x:c r="R136" s="13">
        <x:v>7</x:v>
      </x:c>
      <x:c r="S136" s="13" t="s">
        <x:v>83</x:v>
      </x:c>
      <x:c r="X136" s="284" t="str">
        <x:v>Integración OPC/Unifier ↔ SAP vía API/ETL/middleware</x:v>
      </x:c>
      <x:c r="Y136" s="285"/>
      <x:c r="Z136" s="284"/>
      <x:c r="AA136" s="13"/>
      <x:c r="AB136" s="286"/>
    </x:row>
    <x:row r="137" ht="33.75">
      <x:c r="A137" s="290" t="e">
        <x:f>_xlfn.XLOOKUP(Matriz[[#This Row],[Categoría]],Categoría[Categoría],Categoría[Cat],"NA",0)</x:f>
        <x:v>#NAME?</x:v>
      </x:c>
      <x:c r="B137" s="165" t="s">
        <x:v>247</x:v>
      </x:c>
      <x:c r="C137" s="288" t="e">
        <x:f>_xlfn.XLOOKUP(Matriz[[#This Row],[Parámetro]],Parámetro[Parámetro],Parámetro[Par],0,0)</x:f>
        <x:v>#NAME?</x:v>
      </x:c>
      <x:c r="D137" s="165" t="s">
        <x:v>283</x:v>
      </x:c>
      <x:c r="E137" s="165" t="e">
        <x:f>Matriz[[#This Row],[Cat]]&amp;IF(Matriz[[#This Row],[Par]]=0,"","."&amp;Matriz[[#This Row],[Par]]&amp;"."&amp;TEXT(COUNTIFS(A$2:A137,Matriz[[#This Row],[Cat]],C$2:C137,Matriz[[#This Row],[Par]]),"000"))</x:f>
        <x:v>#NAME?</x:v>
      </x:c>
      <x:c r="F137" s="289" t="e">
        <x:f>IF(LEN(Matriz[[#This Row],[EDT]])=1,COUNTIF(Matriz[EDT],"?????????*"),IF(LEN(Matriz[[#This Row],[EDT]])=2,COUNTIF(Matriz[EDT],Matriz[[#This Row],[Cat]]&amp;"*")-1,0))</x:f>
        <x:v>#NAME?</x:v>
      </x:c>
      <x:c r="G137" s="165" t="e">
        <x:f>IF(Matriz[[#This Row],['# reque-rimientos]]&gt;0,"Sí","No")</x:f>
        <x:v>#REF!</x:v>
      </x:c>
      <x:c r="H137" s="165" t="e">
        <x:f>IF(Matriz[[#This Row],[Cat]]="0",0,IF(Matriz[[#This Row],[Par]]=0,1,LEN(Matriz[[#This Row],[EDT]])-LEN(SUBSTITUTE(Matriz[[#This Row],[EDT]],".",""))))</x:f>
        <x:v>#NAME?</x:v>
      </x:c>
      <x:c r="I137" s="13" t="s">
        <x:v>286</x:v>
      </x:c>
      <x:c r="M137" s="13" t="s">
        <x:v>120</x:v>
      </x:c>
      <x:c r="N137" s="13" t="s">
        <x:v>287</x:v>
      </x:c>
      <x:c r="O137" s="165">
        <x:v>1</x:v>
      </x:c>
      <x:c r="R137" s="13">
        <x:v>9</x:v>
      </x:c>
      <x:c r="S137" s="13" t="s">
        <x:v>118</x:v>
      </x:c>
      <x:c r="X137" s="284" t="str">
        <x:v>OPC Cost/Funds + Oracle Primavera Unifier</x:v>
      </x:c>
      <x:c r="Y137" s="285"/>
      <x:c r="Z137" s="284"/>
      <x:c r="AA137" s="13"/>
      <x:c r="AB137" s="286"/>
    </x:row>
    <x:row r="138" ht="22.5" hidden="1">
      <x:c r="A138" s="290" t="e">
        <x:f>_xlfn.XLOOKUP(Matriz[[#This Row],[Categoría]],Categoría[Categoría],Categoría[Cat],"NA",0)</x:f>
        <x:v>#NAME?</x:v>
      </x:c>
      <x:c r="B138" s="165" t="s">
        <x:v>247</x:v>
      </x:c>
      <x:c r="C138" s="288" t="e">
        <x:f>_xlfn.XLOOKUP(Matriz[[#This Row],[Parámetro]],Parámetro[Parámetro],Parámetro[Par],0,0)</x:f>
        <x:v>#NAME?</x:v>
      </x:c>
      <x:c r="D138" s="165" t="s">
        <x:v>283</x:v>
      </x:c>
      <x:c r="E138" s="165" t="e">
        <x:f>Matriz[[#This Row],[Cat]]&amp;IF(Matriz[[#This Row],[Par]]=0,"","."&amp;Matriz[[#This Row],[Par]]&amp;"."&amp;TEXT(COUNTIFS(A$2:A138,Matriz[[#This Row],[Cat]],C$2:C138,Matriz[[#This Row],[Par]]),"000"))</x:f>
        <x:v>#NAME?</x:v>
      </x:c>
      <x:c r="F138" s="289" t="e">
        <x:f>IF(LEN(Matriz[[#This Row],[EDT]])=1,COUNTIF(Matriz[EDT],"?????????*"),IF(LEN(Matriz[[#This Row],[EDT]])=2,COUNTIF(Matriz[EDT],Matriz[[#This Row],[Cat]]&amp;"*")-1,0))</x:f>
        <x:v>#NAME?</x:v>
      </x:c>
      <x:c r="G138" s="165" t="e">
        <x:f>IF(Matriz[[#This Row],['# reque-rimientos]]&gt;0,"Sí","No")</x:f>
        <x:v>#REF!</x:v>
      </x:c>
      <x:c r="H138" s="165" t="e">
        <x:f>IF(Matriz[[#This Row],[Cat]]="0",0,IF(Matriz[[#This Row],[Par]]=0,1,LEN(Matriz[[#This Row],[EDT]])-LEN(SUBSTITUTE(Matriz[[#This Row],[EDT]],".",""))))</x:f>
        <x:v>#NAME?</x:v>
      </x:c>
      <x:c r="I138" s="13" t="s">
        <x:v>288</x:v>
      </x:c>
      <x:c r="M138" s="13" t="s">
        <x:v>120</x:v>
      </x:c>
      <x:c r="N138" s="13" t="s">
        <x:v>287</x:v>
      </x:c>
      <x:c r="O138" s="165">
        <x:v>2</x:v>
      </x:c>
      <x:c r="R138" s="13">
        <x:v>7</x:v>
      </x:c>
      <x:c r="S138" s="13" t="s">
        <x:v>118</x:v>
      </x:c>
      <x:c r="W138" s="13" t="s">
        <x:v>289</x:v>
      </x:c>
      <x:c r="X138" s="284" t="str">
        <x:v>OPC Cost/Funds + Oracle Primavera Unifier</x:v>
      </x:c>
      <x:c r="Y138" s="285"/>
      <x:c r="Z138" s="284"/>
      <x:c r="AA138" s="13"/>
      <x:c r="AB138" s="286"/>
    </x:row>
    <x:row r="139" hidden="1">
      <x:c r="A139" s="290" t="e">
        <x:f>_xlfn.XLOOKUP(Matriz[[#This Row],[Categoría]],Categoría[Categoría],Categoría[Cat],"NA",0)</x:f>
        <x:v>#NAME?</x:v>
      </x:c>
      <x:c r="B139" s="165" t="s">
        <x:v>247</x:v>
      </x:c>
      <x:c r="C139" s="288" t="e">
        <x:f>_xlfn.XLOOKUP(Matriz[[#This Row],[Parámetro]],Parámetro[Parámetro],Parámetro[Par],0,0)</x:f>
        <x:v>#NAME?</x:v>
      </x:c>
      <x:c r="D139" s="165" t="s">
        <x:v>283</x:v>
      </x:c>
      <x:c r="E139" s="165" t="e">
        <x:f>Matriz[[#This Row],[Cat]]&amp;IF(Matriz[[#This Row],[Par]]=0,"","."&amp;Matriz[[#This Row],[Par]]&amp;"."&amp;TEXT(COUNTIFS(A$2:A139,Matriz[[#This Row],[Cat]],C$2:C139,Matriz[[#This Row],[Par]]),"000"))</x:f>
        <x:v>#NAME?</x:v>
      </x:c>
      <x:c r="F139" s="289" t="e">
        <x:f>IF(LEN(Matriz[[#This Row],[EDT]])=1,COUNTIF(Matriz[EDT],"?????????*"),IF(LEN(Matriz[[#This Row],[EDT]])=2,COUNTIF(Matriz[EDT],Matriz[[#This Row],[Cat]]&amp;"*")-1,0))</x:f>
        <x:v>#NAME?</x:v>
      </x:c>
      <x:c r="G139" s="165" t="e">
        <x:f>IF(Matriz[[#This Row],['# reque-rimientos]]&gt;0,"Sí","No")</x:f>
        <x:v>#REF!</x:v>
      </x:c>
      <x:c r="H139" s="165" t="e">
        <x:f>IF(Matriz[[#This Row],[Cat]]="0",0,IF(Matriz[[#This Row],[Par]]=0,1,LEN(Matriz[[#This Row],[EDT]])-LEN(SUBSTITUTE(Matriz[[#This Row],[EDT]],".",""))))</x:f>
        <x:v>#NAME?</x:v>
      </x:c>
      <x:c r="I139" s="13" t="s">
        <x:v>290</x:v>
      </x:c>
      <x:c r="M139" s="13" t="s">
        <x:v>120</x:v>
      </x:c>
      <x:c r="N139" s="13" t="s">
        <x:v>287</x:v>
      </x:c>
      <x:c r="O139" s="165">
        <x:v>2</x:v>
      </x:c>
      <x:c r="R139" s="13">
        <x:v>7</x:v>
      </x:c>
      <x:c r="S139" s="13" t="s">
        <x:v>118</x:v>
      </x:c>
      <x:c r="X139" s="284" t="str">
        <x:v>OPC Cost/Funds + Oracle Primavera Unifier</x:v>
      </x:c>
      <x:c r="Y139" s="285"/>
      <x:c r="Z139" s="284"/>
      <x:c r="AA139" s="13"/>
      <x:c r="AB139" s="286"/>
    </x:row>
    <x:row r="140" ht="22.5" hidden="1">
      <x:c r="A140" s="290" t="e">
        <x:f>_xlfn.XLOOKUP(Matriz[[#This Row],[Categoría]],Categoría[Categoría],Categoría[Cat],"NA",0)</x:f>
        <x:v>#NAME?</x:v>
      </x:c>
      <x:c r="B140" s="165" t="s">
        <x:v>247</x:v>
      </x:c>
      <x:c r="C140" s="288" t="e">
        <x:f>_xlfn.XLOOKUP(Matriz[[#This Row],[Parámetro]],Parámetro[Parámetro],Parámetro[Par],0,0)</x:f>
        <x:v>#NAME?</x:v>
      </x:c>
      <x:c r="D140" s="165" t="s">
        <x:v>283</x:v>
      </x:c>
      <x:c r="E140" s="165" t="e">
        <x:f>Matriz[[#This Row],[Cat]]&amp;IF(Matriz[[#This Row],[Par]]=0,"","."&amp;Matriz[[#This Row],[Par]]&amp;"."&amp;TEXT(COUNTIFS(A$2:A140,Matriz[[#This Row],[Cat]],C$2:C140,Matriz[[#This Row],[Par]]),"000"))</x:f>
        <x:v>#NAME?</x:v>
      </x:c>
      <x:c r="F140" s="289" t="e">
        <x:f>IF(LEN(Matriz[[#This Row],[EDT]])=1,COUNTIF(Matriz[EDT],"?????????*"),IF(LEN(Matriz[[#This Row],[EDT]])=2,COUNTIF(Matriz[EDT],Matriz[[#This Row],[Cat]]&amp;"*")-1,0))</x:f>
        <x:v>#NAME?</x:v>
      </x:c>
      <x:c r="G140" s="165" t="e">
        <x:f>IF(Matriz[[#This Row],['# reque-rimientos]]&gt;0,"Sí","No")</x:f>
        <x:v>#REF!</x:v>
      </x:c>
      <x:c r="H140" s="165" t="e">
        <x:f>IF(Matriz[[#This Row],[Cat]]="0",0,IF(Matriz[[#This Row],[Par]]=0,1,LEN(Matriz[[#This Row],[EDT]])-LEN(SUBSTITUTE(Matriz[[#This Row],[EDT]],".",""))))</x:f>
        <x:v>#NAME?</x:v>
      </x:c>
      <x:c r="I140" s="13" t="s">
        <x:v>291</x:v>
      </x:c>
      <x:c r="M140" s="13" t="s">
        <x:v>120</x:v>
      </x:c>
      <x:c r="N140" s="13" t="s">
        <x:v>287</x:v>
      </x:c>
      <x:c r="O140" s="165">
        <x:v>2</x:v>
      </x:c>
      <x:c r="R140" s="13">
        <x:v>7</x:v>
      </x:c>
      <x:c r="S140" s="13" t="s">
        <x:v>83</x:v>
      </x:c>
      <x:c r="X140" s="284" t="str">
        <x:v>Integración OPC/Unifier ↔ SAP vía API/ETL/middleware</x:v>
      </x:c>
      <x:c r="Y140" s="285"/>
      <x:c r="Z140" s="284"/>
      <x:c r="AA140" s="13"/>
      <x:c r="AB140" s="286"/>
    </x:row>
    <x:row r="141" ht="22.5" hidden="1">
      <x:c r="A141" s="290" t="e">
        <x:f>_xlfn.XLOOKUP(Matriz[[#This Row],[Categoría]],Categoría[Categoría],Categoría[Cat],"NA",0)</x:f>
        <x:v>#NAME?</x:v>
      </x:c>
      <x:c r="B141" s="165" t="s">
        <x:v>247</x:v>
      </x:c>
      <x:c r="C141" s="288" t="e">
        <x:f>_xlfn.XLOOKUP(Matriz[[#This Row],[Parámetro]],Parámetro[Parámetro],Parámetro[Par],0,0)</x:f>
        <x:v>#NAME?</x:v>
      </x:c>
      <x:c r="D141" s="165" t="s">
        <x:v>283</x:v>
      </x:c>
      <x:c r="E141" s="165" t="e">
        <x:f>Matriz[[#This Row],[Cat]]&amp;IF(Matriz[[#This Row],[Par]]=0,"","."&amp;Matriz[[#This Row],[Par]]&amp;"."&amp;TEXT(COUNTIFS(A$2:A141,Matriz[[#This Row],[Cat]],C$2:C141,Matriz[[#This Row],[Par]]),"000"))</x:f>
        <x:v>#NAME?</x:v>
      </x:c>
      <x:c r="F141" s="289" t="e">
        <x:f>IF(LEN(Matriz[[#This Row],[EDT]])=1,COUNTIF(Matriz[EDT],"?????????*"),IF(LEN(Matriz[[#This Row],[EDT]])=2,COUNTIF(Matriz[EDT],Matriz[[#This Row],[Cat]]&amp;"*")-1,0))</x:f>
        <x:v>#NAME?</x:v>
      </x:c>
      <x:c r="G141" s="165" t="e">
        <x:f>IF(Matriz[[#This Row],['# reque-rimientos]]&gt;0,"Sí","No")</x:f>
        <x:v>#REF!</x:v>
      </x:c>
      <x:c r="H141" s="165" t="e">
        <x:f>IF(Matriz[[#This Row],[Cat]]="0",0,IF(Matriz[[#This Row],[Par]]=0,1,LEN(Matriz[[#This Row],[EDT]])-LEN(SUBSTITUTE(Matriz[[#This Row],[EDT]],".",""))))</x:f>
        <x:v>#NAME?</x:v>
      </x:c>
      <x:c r="I141" s="13" t="s">
        <x:v>292</x:v>
      </x:c>
      <x:c r="M141" s="13" t="s">
        <x:v>120</x:v>
      </x:c>
      <x:c r="N141" s="13" t="s">
        <x:v>287</x:v>
      </x:c>
      <x:c r="O141" s="165">
        <x:v>2</x:v>
      </x:c>
      <x:c r="R141" s="13">
        <x:v>7</x:v>
      </x:c>
      <x:c r="S141" s="13" t="s">
        <x:v>118</x:v>
      </x:c>
      <x:c r="X141" s="284" t="str">
        <x:v>OPC Cost/Funds + Oracle Primavera Unifier</x:v>
      </x:c>
      <x:c r="Y141" s="285"/>
      <x:c r="Z141" s="284"/>
      <x:c r="AA141" s="13"/>
      <x:c r="AB141" s="286"/>
    </x:row>
    <x:row r="142" hidden="1">
      <x:c r="A142" s="290" t="e">
        <x:f>_xlfn.XLOOKUP(Matriz[[#This Row],[Categoría]],Categoría[Categoría],Categoría[Cat],"NA",0)</x:f>
        <x:v>#NAME?</x:v>
      </x:c>
      <x:c r="B142" s="165" t="s">
        <x:v>247</x:v>
      </x:c>
      <x:c r="C142" s="288" t="e">
        <x:f>_xlfn.XLOOKUP(Matriz[[#This Row],[Parámetro]],Parámetro[Parámetro],Parámetro[Par],0,0)</x:f>
        <x:v>#NAME?</x:v>
      </x:c>
      <x:c r="D142" s="165" t="s">
        <x:v>283</x:v>
      </x:c>
      <x:c r="E142" s="165" t="e">
        <x:f>Matriz[[#This Row],[Cat]]&amp;IF(Matriz[[#This Row],[Par]]=0,"","."&amp;Matriz[[#This Row],[Par]]&amp;"."&amp;TEXT(COUNTIFS(A$2:A142,Matriz[[#This Row],[Cat]],C$2:C142,Matriz[[#This Row],[Par]]),"000"))</x:f>
        <x:v>#NAME?</x:v>
      </x:c>
      <x:c r="F142" s="289" t="e">
        <x:f>IF(LEN(Matriz[[#This Row],[EDT]])=1,COUNTIF(Matriz[EDT],"?????????*"),IF(LEN(Matriz[[#This Row],[EDT]])=2,COUNTIF(Matriz[EDT],Matriz[[#This Row],[Cat]]&amp;"*")-1,0))</x:f>
        <x:v>#NAME?</x:v>
      </x:c>
      <x:c r="G142" s="165" t="e">
        <x:f>IF(Matriz[[#This Row],['# reque-rimientos]]&gt;0,"Sí","No")</x:f>
        <x:v>#REF!</x:v>
      </x:c>
      <x:c r="H142" s="165" t="e">
        <x:f>IF(Matriz[[#This Row],[Cat]]="0",0,IF(Matriz[[#This Row],[Par]]=0,1,LEN(Matriz[[#This Row],[EDT]])-LEN(SUBSTITUTE(Matriz[[#This Row],[EDT]],".",""))))</x:f>
        <x:v>#NAME?</x:v>
      </x:c>
      <x:c r="I142" s="13" t="s">
        <x:v>293</x:v>
      </x:c>
      <x:c r="M142" s="13" t="s">
        <x:v>120</x:v>
      </x:c>
      <x:c r="N142" s="13" t="s">
        <x:v>287</x:v>
      </x:c>
      <x:c r="O142" s="165">
        <x:v>2</x:v>
      </x:c>
      <x:c r="R142" s="13">
        <x:v>7</x:v>
      </x:c>
      <x:c r="S142" s="13" t="s">
        <x:v>118</x:v>
      </x:c>
      <x:c r="X142" s="284" t="str">
        <x:v>OPC Cost/Funds + Oracle Primavera Unifier</x:v>
      </x:c>
      <x:c r="Y142" s="285"/>
      <x:c r="Z142" s="284"/>
      <x:c r="AA142" s="13"/>
      <x:c r="AB142" s="286"/>
    </x:row>
    <x:row r="143" ht="22.5" hidden="1">
      <x:c r="A143" s="290" t="e">
        <x:f>_xlfn.XLOOKUP(Matriz[[#This Row],[Categoría]],Categoría[Categoría],Categoría[Cat],"NA",0)</x:f>
        <x:v>#NAME?</x:v>
      </x:c>
      <x:c r="B143" s="165" t="s">
        <x:v>247</x:v>
      </x:c>
      <x:c r="C143" s="288" t="e">
        <x:f>_xlfn.XLOOKUP(Matriz[[#This Row],[Parámetro]],Parámetro[Parámetro],Parámetro[Par],0,0)</x:f>
        <x:v>#NAME?</x:v>
      </x:c>
      <x:c r="D143" s="165" t="s">
        <x:v>283</x:v>
      </x:c>
      <x:c r="E143" s="165" t="e">
        <x:f>Matriz[[#This Row],[Cat]]&amp;IF(Matriz[[#This Row],[Par]]=0,"","."&amp;Matriz[[#This Row],[Par]]&amp;"."&amp;TEXT(COUNTIFS(A$2:A143,Matriz[[#This Row],[Cat]],C$2:C143,Matriz[[#This Row],[Par]]),"000"))</x:f>
        <x:v>#NAME?</x:v>
      </x:c>
      <x:c r="F143" s="289" t="e">
        <x:f>IF(LEN(Matriz[[#This Row],[EDT]])=1,COUNTIF(Matriz[EDT],"?????????*"),IF(LEN(Matriz[[#This Row],[EDT]])=2,COUNTIF(Matriz[EDT],Matriz[[#This Row],[Cat]]&amp;"*")-1,0))</x:f>
        <x:v>#NAME?</x:v>
      </x:c>
      <x:c r="G143" s="165" t="e">
        <x:f>IF(Matriz[[#This Row],['# reque-rimientos]]&gt;0,"Sí","No")</x:f>
        <x:v>#REF!</x:v>
      </x:c>
      <x:c r="H143" s="165" t="e">
        <x:f>IF(Matriz[[#This Row],[Cat]]="0",0,IF(Matriz[[#This Row],[Par]]=0,1,LEN(Matriz[[#This Row],[EDT]])-LEN(SUBSTITUTE(Matriz[[#This Row],[EDT]],".",""))))</x:f>
        <x:v>#NAME?</x:v>
      </x:c>
      <x:c r="I143" s="13" t="s">
        <x:v>294</x:v>
      </x:c>
      <x:c r="M143" s="13" t="s">
        <x:v>120</x:v>
      </x:c>
      <x:c r="N143" s="13" t="s">
        <x:v>287</x:v>
      </x:c>
      <x:c r="O143" s="165">
        <x:v>2</x:v>
      </x:c>
      <x:c r="R143" s="13">
        <x:v>7</x:v>
      </x:c>
      <x:c r="S143" s="13" t="s">
        <x:v>118</x:v>
      </x:c>
      <x:c r="X143" s="284" t="str">
        <x:v>OPC Cost/Funds + Oracle Primavera Unifier</x:v>
      </x:c>
      <x:c r="Y143" s="285"/>
      <x:c r="Z143" s="284"/>
      <x:c r="AA143" s="13"/>
      <x:c r="AB143" s="286"/>
    </x:row>
    <x:row r="144" ht="22.5" hidden="1">
      <x:c r="A144" s="290" t="e">
        <x:f>_xlfn.XLOOKUP(Matriz[[#This Row],[Categoría]],Categoría[Categoría],Categoría[Cat],"NA",0)</x:f>
        <x:v>#NAME?</x:v>
      </x:c>
      <x:c r="B144" s="165" t="s">
        <x:v>247</x:v>
      </x:c>
      <x:c r="C144" s="288" t="e">
        <x:f>_xlfn.XLOOKUP(Matriz[[#This Row],[Parámetro]],Parámetro[Parámetro],Parámetro[Par],0,0)</x:f>
        <x:v>#NAME?</x:v>
      </x:c>
      <x:c r="D144" s="165" t="s">
        <x:v>283</x:v>
      </x:c>
      <x:c r="E144" s="165" t="e">
        <x:f>Matriz[[#This Row],[Cat]]&amp;IF(Matriz[[#This Row],[Par]]=0,"","."&amp;Matriz[[#This Row],[Par]]&amp;"."&amp;TEXT(COUNTIFS(A$2:A144,Matriz[[#This Row],[Cat]],C$2:C144,Matriz[[#This Row],[Par]]),"000"))</x:f>
        <x:v>#NAME?</x:v>
      </x:c>
      <x:c r="F144" s="289" t="e">
        <x:f>IF(LEN(Matriz[[#This Row],[EDT]])=1,COUNTIF(Matriz[EDT],"?????????*"),IF(LEN(Matriz[[#This Row],[EDT]])=2,COUNTIF(Matriz[EDT],Matriz[[#This Row],[Cat]]&amp;"*")-1,0))</x:f>
        <x:v>#NAME?</x:v>
      </x:c>
      <x:c r="G144" s="165" t="e">
        <x:f>IF(Matriz[[#This Row],['# reque-rimientos]]&gt;0,"Sí","No")</x:f>
        <x:v>#REF!</x:v>
      </x:c>
      <x:c r="H144" s="165" t="e">
        <x:f>IF(Matriz[[#This Row],[Cat]]="0",0,IF(Matriz[[#This Row],[Par]]=0,1,LEN(Matriz[[#This Row],[EDT]])-LEN(SUBSTITUTE(Matriz[[#This Row],[EDT]],".",""))))</x:f>
        <x:v>#NAME?</x:v>
      </x:c>
      <x:c r="I144" s="13" t="s">
        <x:v>295</x:v>
      </x:c>
      <x:c r="M144" s="13" t="s">
        <x:v>120</x:v>
      </x:c>
      <x:c r="O144" s="165">
        <x:v>2</x:v>
      </x:c>
      <x:c r="R144" s="13">
        <x:v>7</x:v>
      </x:c>
      <x:c r="S144" s="13" t="s">
        <x:v>118</x:v>
      </x:c>
      <x:c r="X144" s="284" t="str">
        <x:v>OPC Cost/Funds + Oracle Primavera Unifier</x:v>
      </x:c>
      <x:c r="Y144" s="285"/>
      <x:c r="Z144" s="284"/>
      <x:c r="AA144" s="13"/>
      <x:c r="AB144" s="286"/>
    </x:row>
    <x:row r="145" hidden="1">
      <x:c r="A145" s="290" t="e">
        <x:f>_xlfn.XLOOKUP(Matriz[[#This Row],[Categoría]],Categoría[Categoría],Categoría[Cat],"NA",0)</x:f>
        <x:v>#NAME?</x:v>
      </x:c>
      <x:c r="B145" s="165" t="s">
        <x:v>247</x:v>
      </x:c>
      <x:c r="C145" s="288" t="e">
        <x:f>_xlfn.XLOOKUP(Matriz[[#This Row],[Parámetro]],Parámetro[Parámetro],Parámetro[Par],0,0)</x:f>
        <x:v>#NAME?</x:v>
      </x:c>
      <x:c r="D145" s="165" t="s">
        <x:v>283</x:v>
      </x:c>
      <x:c r="E145" s="165" t="e">
        <x:f>Matriz[[#This Row],[Cat]]&amp;IF(Matriz[[#This Row],[Par]]=0,"","."&amp;Matriz[[#This Row],[Par]]&amp;"."&amp;TEXT(COUNTIFS(A$2:A145,Matriz[[#This Row],[Cat]],C$2:C145,Matriz[[#This Row],[Par]]),"000"))</x:f>
        <x:v>#NAME?</x:v>
      </x:c>
      <x:c r="F145" s="289" t="e">
        <x:f>IF(LEN(Matriz[[#This Row],[EDT]])=1,COUNTIF(Matriz[EDT],"?????????*"),IF(LEN(Matriz[[#This Row],[EDT]])=2,COUNTIF(Matriz[EDT],Matriz[[#This Row],[Cat]]&amp;"*")-1,0))</x:f>
        <x:v>#NAME?</x:v>
      </x:c>
      <x:c r="G145" s="165" t="e">
        <x:f>IF(Matriz[[#This Row],['# reque-rimientos]]&gt;0,"Sí","No")</x:f>
        <x:v>#REF!</x:v>
      </x:c>
      <x:c r="H145" s="165" t="e">
        <x:f>IF(Matriz[[#This Row],[Cat]]="0",0,IF(Matriz[[#This Row],[Par]]=0,1,LEN(Matriz[[#This Row],[EDT]])-LEN(SUBSTITUTE(Matriz[[#This Row],[EDT]],".",""))))</x:f>
        <x:v>#NAME?</x:v>
      </x:c>
      <x:c r="I145" s="13" t="s">
        <x:v>296</x:v>
      </x:c>
      <x:c r="M145" s="13" t="s">
        <x:v>120</x:v>
      </x:c>
      <x:c r="N145" s="13" t="s">
        <x:v>287</x:v>
      </x:c>
      <x:c r="O145" s="165">
        <x:v>2</x:v>
      </x:c>
      <x:c r="R145" s="13">
        <x:v>7</x:v>
      </x:c>
      <x:c r="S145" s="13" t="s">
        <x:v>83</x:v>
      </x:c>
      <x:c r="X145" s="284" t="str">
        <x:v>OPC Cost/Funds + Oracle Primavera Unifier</x:v>
      </x:c>
      <x:c r="Y145" s="285"/>
      <x:c r="Z145" s="284"/>
      <x:c r="AA145" s="13"/>
      <x:c r="AB145" s="286"/>
    </x:row>
    <x:row r="146" ht="22.5" hidden="1">
      <x:c r="A146" s="290" t="e">
        <x:f>_xlfn.XLOOKUP(Matriz[[#This Row],[Categoría]],Categoría[Categoría],Categoría[Cat],"NA",0)</x:f>
        <x:v>#NAME?</x:v>
      </x:c>
      <x:c r="B146" s="165" t="s">
        <x:v>247</x:v>
      </x:c>
      <x:c r="C146" s="288" t="e">
        <x:f>_xlfn.XLOOKUP(Matriz[[#This Row],[Parámetro]],Parámetro[Parámetro],Parámetro[Par],0,0)</x:f>
        <x:v>#NAME?</x:v>
      </x:c>
      <x:c r="D146" s="165" t="s">
        <x:v>283</x:v>
      </x:c>
      <x:c r="E146" s="165" t="e">
        <x:f>Matriz[[#This Row],[Cat]]&amp;IF(Matriz[[#This Row],[Par]]=0,"","."&amp;Matriz[[#This Row],[Par]]&amp;"."&amp;TEXT(COUNTIFS(A$2:A146,Matriz[[#This Row],[Cat]],C$2:C146,Matriz[[#This Row],[Par]]),"000"))</x:f>
        <x:v>#NAME?</x:v>
      </x:c>
      <x:c r="F146" s="289" t="e">
        <x:f>IF(LEN(Matriz[[#This Row],[EDT]])=1,COUNTIF(Matriz[EDT],"?????????*"),IF(LEN(Matriz[[#This Row],[EDT]])=2,COUNTIF(Matriz[EDT],Matriz[[#This Row],[Cat]]&amp;"*")-1,0))</x:f>
        <x:v>#NAME?</x:v>
      </x:c>
      <x:c r="G146" s="165" t="e">
        <x:f>IF(Matriz[[#This Row],['# reque-rimientos]]&gt;0,"Sí","No")</x:f>
        <x:v>#REF!</x:v>
      </x:c>
      <x:c r="H146" s="165" t="e">
        <x:f>IF(Matriz[[#This Row],[Cat]]="0",0,IF(Matriz[[#This Row],[Par]]=0,1,LEN(Matriz[[#This Row],[EDT]])-LEN(SUBSTITUTE(Matriz[[#This Row],[EDT]],".",""))))</x:f>
        <x:v>#NAME?</x:v>
      </x:c>
      <x:c r="I146" s="13" t="s">
        <x:v>297</x:v>
      </x:c>
      <x:c r="M146" s="13" t="s">
        <x:v>120</x:v>
      </x:c>
      <x:c r="N146" s="13" t="s">
        <x:v>298</x:v>
      </x:c>
      <x:c r="O146" s="165">
        <x:v>2</x:v>
      </x:c>
      <x:c r="R146" s="13">
        <x:v>7</x:v>
      </x:c>
      <x:c r="S146" s="13" t="s">
        <x:v>118</x:v>
      </x:c>
      <x:c r="X146" s="284" t="str">
        <x:v>OPC Cost/Funds + Oracle Primavera Unifier</x:v>
      </x:c>
      <x:c r="Y146" s="285"/>
      <x:c r="Z146" s="284"/>
      <x:c r="AA146" s="13"/>
      <x:c r="AB146" s="286"/>
    </x:row>
    <x:row r="147" ht="22.5" hidden="1">
      <x:c r="A147" s="290" t="e">
        <x:f>_xlfn.XLOOKUP(Matriz[[#This Row],[Categoría]],Categoría[Categoría],Categoría[Cat],"NA",0)</x:f>
        <x:v>#NAME?</x:v>
      </x:c>
      <x:c r="B147" s="165" t="s">
        <x:v>247</x:v>
      </x:c>
      <x:c r="C147" s="288" t="e">
        <x:f>_xlfn.XLOOKUP(Matriz[[#This Row],[Parámetro]],Parámetro[Parámetro],Parámetro[Par],0,0)</x:f>
        <x:v>#NAME?</x:v>
      </x:c>
      <x:c r="D147" s="165" t="s">
        <x:v>283</x:v>
      </x:c>
      <x:c r="E147" s="165" t="e">
        <x:f>Matriz[[#This Row],[Cat]]&amp;IF(Matriz[[#This Row],[Par]]=0,"","."&amp;Matriz[[#This Row],[Par]]&amp;"."&amp;TEXT(COUNTIFS(A$2:A147,Matriz[[#This Row],[Cat]],C$2:C147,Matriz[[#This Row],[Par]]),"000"))</x:f>
        <x:v>#NAME?</x:v>
      </x:c>
      <x:c r="F147" s="289" t="e">
        <x:f>IF(LEN(Matriz[[#This Row],[EDT]])=1,COUNTIF(Matriz[EDT],"?????????*"),IF(LEN(Matriz[[#This Row],[EDT]])=2,COUNTIF(Matriz[EDT],Matriz[[#This Row],[Cat]]&amp;"*")-1,0))</x:f>
        <x:v>#NAME?</x:v>
      </x:c>
      <x:c r="G147" s="165" t="e">
        <x:f>IF(Matriz[[#This Row],['# reque-rimientos]]&gt;0,"Sí","No")</x:f>
        <x:v>#REF!</x:v>
      </x:c>
      <x:c r="H147" s="165" t="e">
        <x:f>IF(Matriz[[#This Row],[Cat]]="0",0,IF(Matriz[[#This Row],[Par]]=0,1,LEN(Matriz[[#This Row],[EDT]])-LEN(SUBSTITUTE(Matriz[[#This Row],[EDT]],".",""))))</x:f>
        <x:v>#NAME?</x:v>
      </x:c>
      <x:c r="I147" s="13" t="s">
        <x:v>299</x:v>
      </x:c>
      <x:c r="M147" s="13" t="s">
        <x:v>120</x:v>
      </x:c>
      <x:c r="O147" s="165">
        <x:v>2</x:v>
      </x:c>
      <x:c r="R147" s="13">
        <x:v>7</x:v>
      </x:c>
      <x:c r="S147" s="13" t="s">
        <x:v>118</x:v>
      </x:c>
      <x:c r="X147" s="284" t="str">
        <x:v>OPC Cost/Funds + Oracle Primavera Unifier</x:v>
      </x:c>
      <x:c r="Y147" s="285"/>
      <x:c r="Z147" s="284"/>
      <x:c r="AA147" s="13"/>
      <x:c r="AB147" s="286"/>
    </x:row>
    <x:row r="148" ht="56.25" hidden="1">
      <x:c r="A148" s="290" t="e">
        <x:f>_xlfn.XLOOKUP(Matriz[[#This Row],[Categoría]],Categoría[Categoría],Categoría[Cat],"NA",0)</x:f>
        <x:v>#NAME?</x:v>
      </x:c>
      <x:c r="B148" s="165" t="s">
        <x:v>247</x:v>
      </x:c>
      <x:c r="C148" s="288" t="e">
        <x:f>_xlfn.XLOOKUP(Matriz[[#This Row],[Parámetro]],Parámetro[Parámetro],Parámetro[Par],0,0)</x:f>
        <x:v>#NAME?</x:v>
      </x:c>
      <x:c r="D148" s="165" t="s">
        <x:v>300</x:v>
      </x:c>
      <x:c r="E148" s="165" t="e">
        <x:f>Matriz[[#This Row],[Cat]]&amp;IF(Matriz[[#This Row],[Par]]=0,"","."&amp;Matriz[[#This Row],[Par]]&amp;"."&amp;TEXT(COUNTIFS(A$2:A148,Matriz[[#This Row],[Cat]],C$2:C148,Matriz[[#This Row],[Par]]),"000"))</x:f>
        <x:v>#NAME?</x:v>
      </x:c>
      <x:c r="F148" s="289" t="e">
        <x:f>IF(LEN(Matriz[[#This Row],[EDT]])=1,COUNTIF(Matriz[EDT],"?????????*"),IF(LEN(Matriz[[#This Row],[EDT]])=2,COUNTIF(Matriz[EDT],Matriz[[#This Row],[Cat]]&amp;"*")-1,0))</x:f>
        <x:v>#NAME?</x:v>
      </x:c>
      <x:c r="G148" s="165" t="e">
        <x:f>IF(Matriz[[#This Row],['# reque-rimientos]]&gt;0,"Sí","No")</x:f>
        <x:v>#REF!</x:v>
      </x:c>
      <x:c r="H148" s="165" t="e">
        <x:f>IF(Matriz[[#This Row],[Cat]]="0",0,IF(Matriz[[#This Row],[Par]]=0,1,LEN(Matriz[[#This Row],[EDT]])-LEN(SUBSTITUTE(Matriz[[#This Row],[EDT]],".",""))))</x:f>
        <x:v>#NAME?</x:v>
      </x:c>
      <x:c r="I148" s="13" t="s">
        <x:v>301</x:v>
      </x:c>
      <x:c r="M148" s="13" t="s">
        <x:v>120</x:v>
      </x:c>
      <x:c r="N148" s="13" t="s">
        <x:v>302</x:v>
      </x:c>
      <x:c r="O148" s="165">
        <x:v>2</x:v>
      </x:c>
      <x:c r="R148" s="13">
        <x:v>8</x:v>
      </x:c>
      <x:c r="S148" s="13" t="s">
        <x:v>38</x:v>
      </x:c>
      <x:c r="X148" s="284" t="str">
        <x:v>Oracle Primavera Cloud Risk + Analytics/IA</x:v>
      </x:c>
      <x:c r="Y148" s="285"/>
      <x:c r="Z148" s="284"/>
      <x:c r="AA148" s="13"/>
      <x:c r="AB148" s="286"/>
    </x:row>
    <x:row r="149" ht="56.25">
      <x:c r="A149" s="290" t="e">
        <x:f>_xlfn.XLOOKUP(Matriz[[#This Row],[Categoría]],Categoría[Categoría],Categoría[Cat],"NA",0)</x:f>
        <x:v>#NAME?</x:v>
      </x:c>
      <x:c r="B149" s="290" t="s">
        <x:v>247</x:v>
      </x:c>
      <x:c r="C149" s="288" t="e">
        <x:f>_xlfn.XLOOKUP(Matriz[[#This Row],[Parámetro]],Parámetro[Parámetro],Parámetro[Par],0,0)</x:f>
        <x:v>#NAME?</x:v>
      </x:c>
      <x:c r="D149" s="288" t="s">
        <x:v>300</x:v>
      </x:c>
      <x:c r="E149" s="165" t="e">
        <x:f>Matriz[[#This Row],[Cat]]&amp;IF(Matriz[[#This Row],[Par]]=0,"","."&amp;Matriz[[#This Row],[Par]]&amp;"."&amp;TEXT(COUNTIFS(A$2:A149,Matriz[[#This Row],[Cat]],C$2:C149,Matriz[[#This Row],[Par]]),"000"))</x:f>
        <x:v>#NAME?</x:v>
      </x:c>
      <x:c r="F149" s="289" t="e">
        <x:f>IF(LEN(Matriz[[#This Row],[EDT]])=1,COUNTIF(Matriz[EDT],"?????????*"),IF(LEN(Matriz[[#This Row],[EDT]])=2,COUNTIF(Matriz[EDT],Matriz[[#This Row],[Cat]]&amp;"*")-1,0))</x:f>
        <x:v>#NAME?</x:v>
      </x:c>
      <x:c r="G149" s="165" t="e">
        <x:f>IF(Matriz[[#This Row],['# reque-rimientos]]&gt;0,"Sí","No")</x:f>
        <x:v>#REF!</x:v>
      </x:c>
      <x:c r="H149" s="165" t="e">
        <x:f>IF(Matriz[[#This Row],[Cat]]="0",0,IF(Matriz[[#This Row],[Par]]=0,1,LEN(Matriz[[#This Row],[EDT]])-LEN(SUBSTITUTE(Matriz[[#This Row],[EDT]],".",""))))</x:f>
        <x:v>#NAME?</x:v>
      </x:c>
      <x:c r="I149" s="165" t="s">
        <x:v>303</x:v>
      </x:c>
      <x:c r="M149" s="13" t="s">
        <x:v>120</x:v>
      </x:c>
      <x:c r="N149" s="13" t="s">
        <x:v>304</x:v>
      </x:c>
      <x:c r="O149" s="165">
        <x:v>1</x:v>
      </x:c>
      <x:c r="R149" s="13">
        <x:v>7</x:v>
      </x:c>
      <x:c r="S149" s="13" t="s">
        <x:v>118</x:v>
      </x:c>
      <x:c r="W149" s="13" t="s">
        <x:v>305</x:v>
      </x:c>
      <x:c r="X149" s="284" t="str">
        <x:v>Oracle Primavera Cloud Risk + Analytics/IA</x:v>
      </x:c>
      <x:c r="Y149" s="285"/>
      <x:c r="Z149" s="284"/>
      <x:c r="AA149" s="13"/>
      <x:c r="AB149" s="286"/>
    </x:row>
    <x:row r="150" ht="45" hidden="1">
      <x:c r="A150" s="290" t="e">
        <x:f>_xlfn.XLOOKUP(Matriz[[#This Row],[Categoría]],Categoría[Categoría],Categoría[Cat],"NA",0)</x:f>
        <x:v>#NAME?</x:v>
      </x:c>
      <x:c r="B150" s="165" t="s">
        <x:v>247</x:v>
      </x:c>
      <x:c r="C150" s="288" t="e">
        <x:f>_xlfn.XLOOKUP(Matriz[[#This Row],[Parámetro]],Parámetro[Parámetro],Parámetro[Par],0,0)</x:f>
        <x:v>#NAME?</x:v>
      </x:c>
      <x:c r="D150" s="165" t="s">
        <x:v>300</x:v>
      </x:c>
      <x:c r="E150" s="165" t="e">
        <x:f>Matriz[[#This Row],[Cat]]&amp;IF(Matriz[[#This Row],[Par]]=0,"","."&amp;Matriz[[#This Row],[Par]]&amp;"."&amp;TEXT(COUNTIFS(A$2:A150,Matriz[[#This Row],[Cat]],C$2:C150,Matriz[[#This Row],[Par]]),"000"))</x:f>
        <x:v>#NAME?</x:v>
      </x:c>
      <x:c r="F150" s="289" t="e">
        <x:f>IF(LEN(Matriz[[#This Row],[EDT]])=1,COUNTIF(Matriz[EDT],"?????????*"),IF(LEN(Matriz[[#This Row],[EDT]])=2,COUNTIF(Matriz[EDT],Matriz[[#This Row],[Cat]]&amp;"*")-1,0))</x:f>
        <x:v>#NAME?</x:v>
      </x:c>
      <x:c r="G150" s="165" t="e">
        <x:f>IF(Matriz[[#This Row],['# reque-rimientos]]&gt;0,"Sí","No")</x:f>
        <x:v>#REF!</x:v>
      </x:c>
      <x:c r="H150" s="165" t="e">
        <x:f>IF(Matriz[[#This Row],[Cat]]="0",0,IF(Matriz[[#This Row],[Par]]=0,1,LEN(Matriz[[#This Row],[EDT]])-LEN(SUBSTITUTE(Matriz[[#This Row],[EDT]],".",""))))</x:f>
        <x:v>#NAME?</x:v>
      </x:c>
      <x:c r="I150" s="13" t="s">
        <x:v>306</x:v>
      </x:c>
      <x:c r="M150" s="13" t="s">
        <x:v>120</x:v>
      </x:c>
      <x:c r="N150" s="13" t="s">
        <x:v>307</x:v>
      </x:c>
      <x:c r="O150" s="165">
        <x:v>2</x:v>
      </x:c>
      <x:c r="R150" s="13">
        <x:v>6</x:v>
      </x:c>
      <x:c r="S150" s="13" t="s">
        <x:v>83</x:v>
      </x:c>
      <x:c r="X150" s="284" t="str">
        <x:v>OPC Cost/Funds + Oracle Primavera Unifier</x:v>
      </x:c>
      <x:c r="Y150" s="285"/>
      <x:c r="Z150" s="284"/>
      <x:c r="AA150" s="13"/>
      <x:c r="AB150" s="286"/>
    </x:row>
    <x:row r="151" hidden="1">
      <x:c r="A151" s="290" t="e">
        <x:f>_xlfn.XLOOKUP(Matriz[[#This Row],[Categoría]],Categoría[Categoría],Categoría[Cat],"NA",0)</x:f>
        <x:v>#NAME?</x:v>
      </x:c>
      <x:c r="B151" s="165" t="s">
        <x:v>247</x:v>
      </x:c>
      <x:c r="C151" s="288" t="e">
        <x:f>_xlfn.XLOOKUP(Matriz[[#This Row],[Parámetro]],Parámetro[Parámetro],Parámetro[Par],0,0)</x:f>
        <x:v>#NAME?</x:v>
      </x:c>
      <x:c r="D151" s="165" t="s">
        <x:v>300</x:v>
      </x:c>
      <x:c r="E151" s="165" t="e">
        <x:f>Matriz[[#This Row],[Cat]]&amp;IF(Matriz[[#This Row],[Par]]=0,"","."&amp;Matriz[[#This Row],[Par]]&amp;"."&amp;TEXT(COUNTIFS(A$2:A151,Matriz[[#This Row],[Cat]],C$2:C151,Matriz[[#This Row],[Par]]),"000"))</x:f>
        <x:v>#NAME?</x:v>
      </x:c>
      <x:c r="F151" s="289" t="e">
        <x:f>IF(LEN(Matriz[[#This Row],[EDT]])=1,COUNTIF(Matriz[EDT],"?????????*"),IF(LEN(Matriz[[#This Row],[EDT]])=2,COUNTIF(Matriz[EDT],Matriz[[#This Row],[Cat]]&amp;"*")-1,0))</x:f>
        <x:v>#NAME?</x:v>
      </x:c>
      <x:c r="G151" s="165" t="e">
        <x:f>IF(Matriz[[#This Row],['# reque-rimientos]]&gt;0,"Sí","No")</x:f>
        <x:v>#REF!</x:v>
      </x:c>
      <x:c r="H151" s="165" t="e">
        <x:f>IF(Matriz[[#This Row],[Cat]]="0",0,IF(Matriz[[#This Row],[Par]]=0,1,LEN(Matriz[[#This Row],[EDT]])-LEN(SUBSTITUTE(Matriz[[#This Row],[EDT]],".",""))))</x:f>
        <x:v>#NAME?</x:v>
      </x:c>
      <x:c r="I151" s="13" t="s">
        <x:v>308</x:v>
      </x:c>
      <x:c r="M151" s="13" t="s">
        <x:v>120</x:v>
      </x:c>
      <x:c r="O151" s="165">
        <x:v>2</x:v>
      </x:c>
      <x:c r="R151" s="13">
        <x:v>7</x:v>
      </x:c>
      <x:c r="S151" s="13" t="s">
        <x:v>83</x:v>
      </x:c>
      <x:c r="X151" s="284" t="str">
        <x:v>Oracle Primavera Cloud + Unifier + Aconex + APIs/Gateway/ETL</x:v>
      </x:c>
      <x:c r="Y151" s="285"/>
      <x:c r="Z151" s="284"/>
      <x:c r="AA151" s="13"/>
      <x:c r="AB151" s="286"/>
    </x:row>
    <x:row r="152" ht="90" hidden="1">
      <x:c r="A152" s="290" t="e">
        <x:f>_xlfn.XLOOKUP(Matriz[[#This Row],[Categoría]],Categoría[Categoría],Categoría[Cat],"NA",0)</x:f>
        <x:v>#NAME?</x:v>
      </x:c>
      <x:c r="B152" s="165" t="s">
        <x:v>247</x:v>
      </x:c>
      <x:c r="C152" s="288" t="e">
        <x:f>_xlfn.XLOOKUP(Matriz[[#This Row],[Parámetro]],Parámetro[Parámetro],Parámetro[Par],0,0)</x:f>
        <x:v>#NAME?</x:v>
      </x:c>
      <x:c r="D152" s="165" t="s">
        <x:v>300</x:v>
      </x:c>
      <x:c r="E152" s="165" t="e">
        <x:f>Matriz[[#This Row],[Cat]]&amp;IF(Matriz[[#This Row],[Par]]=0,"","."&amp;Matriz[[#This Row],[Par]]&amp;"."&amp;TEXT(COUNTIFS(A$2:A152,Matriz[[#This Row],[Cat]],C$2:C152,Matriz[[#This Row],[Par]]),"000"))</x:f>
        <x:v>#NAME?</x:v>
      </x:c>
      <x:c r="F152" s="289" t="e">
        <x:f>IF(LEN(Matriz[[#This Row],[EDT]])=1,COUNTIF(Matriz[EDT],"?????????*"),IF(LEN(Matriz[[#This Row],[EDT]])=2,COUNTIF(Matriz[EDT],Matriz[[#This Row],[Cat]]&amp;"*")-1,0))</x:f>
        <x:v>#NAME?</x:v>
      </x:c>
      <x:c r="G152" s="165" t="e">
        <x:f>IF(Matriz[[#This Row],['# reque-rimientos]]&gt;0,"Sí","No")</x:f>
        <x:v>#REF!</x:v>
      </x:c>
      <x:c r="H152" s="165" t="e">
        <x:f>IF(Matriz[[#This Row],[Cat]]="0",0,IF(Matriz[[#This Row],[Par]]=0,1,LEN(Matriz[[#This Row],[EDT]])-LEN(SUBSTITUTE(Matriz[[#This Row],[EDT]],".",""))))</x:f>
        <x:v>#NAME?</x:v>
      </x:c>
      <x:c r="I152" s="13" t="s">
        <x:v>309</x:v>
      </x:c>
      <x:c r="M152" s="13" t="s">
        <x:v>120</x:v>
      </x:c>
      <x:c r="N152" s="13" t="s">
        <x:v>310</x:v>
      </x:c>
      <x:c r="O152" s="165">
        <x:v>2</x:v>
      </x:c>
      <x:c r="R152" s="13">
        <x:v>6</x:v>
      </x:c>
      <x:c r="S152" s="13" t="s">
        <x:v>217</x:v>
      </x:c>
      <x:c r="X152" s="284" t="str">
        <x:v>Oracle Primavera Cloud Risk + Analytics/IA</x:v>
      </x:c>
      <x:c r="Y152" s="285"/>
      <x:c r="Z152" s="284"/>
      <x:c r="AA152" s="13"/>
      <x:c r="AB152" s="286"/>
    </x:row>
    <x:row r="153" hidden="1">
      <x:c r="A153" s="290" t="e">
        <x:f>_xlfn.XLOOKUP(Matriz[[#This Row],[Categoría]],Categoría[Categoría],Categoría[Cat],"NA",0)</x:f>
        <x:v>#NAME?</x:v>
      </x:c>
      <x:c r="B153" s="165" t="s">
        <x:v>247</x:v>
      </x:c>
      <x:c r="C153" s="288" t="e">
        <x:f>_xlfn.XLOOKUP(Matriz[[#This Row],[Parámetro]],Parámetro[Parámetro],Parámetro[Par],0,0)</x:f>
        <x:v>#NAME?</x:v>
      </x:c>
      <x:c r="D153" s="165" t="s">
        <x:v>300</x:v>
      </x:c>
      <x:c r="E153" s="165" t="e">
        <x:f>Matriz[[#This Row],[Cat]]&amp;IF(Matriz[[#This Row],[Par]]=0,"","."&amp;Matriz[[#This Row],[Par]]&amp;"."&amp;TEXT(COUNTIFS(A$2:A153,Matriz[[#This Row],[Cat]],C$2:C153,Matriz[[#This Row],[Par]]),"000"))</x:f>
        <x:v>#NAME?</x:v>
      </x:c>
      <x:c r="F153" s="289" t="e">
        <x:f>IF(LEN(Matriz[[#This Row],[EDT]])=1,COUNTIF(Matriz[EDT],"?????????*"),IF(LEN(Matriz[[#This Row],[EDT]])=2,COUNTIF(Matriz[EDT],Matriz[[#This Row],[Cat]]&amp;"*")-1,0))</x:f>
        <x:v>#NAME?</x:v>
      </x:c>
      <x:c r="G153" s="165" t="e">
        <x:f>IF(Matriz[[#This Row],['# reque-rimientos]]&gt;0,"Sí","No")</x:f>
        <x:v>#REF!</x:v>
      </x:c>
      <x:c r="H153" s="165" t="e">
        <x:f>IF(Matriz[[#This Row],[Cat]]="0",0,IF(Matriz[[#This Row],[Par]]=0,1,LEN(Matriz[[#This Row],[EDT]])-LEN(SUBSTITUTE(Matriz[[#This Row],[EDT]],".",""))))</x:f>
        <x:v>#NAME?</x:v>
      </x:c>
      <x:c r="I153" s="13" t="s">
        <x:v>311</x:v>
      </x:c>
      <x:c r="M153" s="13" t="s">
        <x:v>120</x:v>
      </x:c>
      <x:c r="O153" s="165">
        <x:v>2</x:v>
      </x:c>
      <x:c r="R153" s="13">
        <x:v>6</x:v>
      </x:c>
      <x:c r="S153" s="13" t="s">
        <x:v>118</x:v>
      </x:c>
      <x:c r="X153" s="284" t="str">
        <x:v>Oracle Primavera Cloud Risk + Analytics/IA</x:v>
      </x:c>
      <x:c r="Y153" s="285"/>
      <x:c r="Z153" s="284"/>
      <x:c r="AA153" s="13"/>
      <x:c r="AB153" s="286"/>
    </x:row>
    <x:row r="154" hidden="1">
      <x:c r="A154" s="290" t="e">
        <x:f>_xlfn.XLOOKUP(Matriz[[#This Row],[Categoría]],Categoría[Categoría],Categoría[Cat],"NA",0)</x:f>
        <x:v>#NAME?</x:v>
      </x:c>
      <x:c r="B154" s="165" t="s">
        <x:v>247</x:v>
      </x:c>
      <x:c r="C154" s="288" t="e">
        <x:f>_xlfn.XLOOKUP(Matriz[[#This Row],[Parámetro]],Parámetro[Parámetro],Parámetro[Par],0,0)</x:f>
        <x:v>#NAME?</x:v>
      </x:c>
      <x:c r="D154" s="165" t="s">
        <x:v>300</x:v>
      </x:c>
      <x:c r="E154" s="165" t="e">
        <x:f>Matriz[[#This Row],[Cat]]&amp;IF(Matriz[[#This Row],[Par]]=0,"","."&amp;Matriz[[#This Row],[Par]]&amp;"."&amp;TEXT(COUNTIFS(A$2:A154,Matriz[[#This Row],[Cat]],C$2:C154,Matriz[[#This Row],[Par]]),"000"))</x:f>
        <x:v>#NAME?</x:v>
      </x:c>
      <x:c r="F154" s="289" t="e">
        <x:f>IF(LEN(Matriz[[#This Row],[EDT]])=1,COUNTIF(Matriz[EDT],"?????????*"),IF(LEN(Matriz[[#This Row],[EDT]])=2,COUNTIF(Matriz[EDT],Matriz[[#This Row],[Cat]]&amp;"*")-1,0))</x:f>
        <x:v>#NAME?</x:v>
      </x:c>
      <x:c r="G154" s="165" t="e">
        <x:f>IF(Matriz[[#This Row],['# reque-rimientos]]&gt;0,"Sí","No")</x:f>
        <x:v>#REF!</x:v>
      </x:c>
      <x:c r="H154" s="165" t="e">
        <x:f>IF(Matriz[[#This Row],[Cat]]="0",0,IF(Matriz[[#This Row],[Par]]=0,1,LEN(Matriz[[#This Row],[EDT]])-LEN(SUBSTITUTE(Matriz[[#This Row],[EDT]],".",""))))</x:f>
        <x:v>#NAME?</x:v>
      </x:c>
      <x:c r="I154" s="13" t="s">
        <x:v>312</x:v>
      </x:c>
      <x:c r="M154" s="13" t="s">
        <x:v>120</x:v>
      </x:c>
      <x:c r="O154" s="165">
        <x:v>2</x:v>
      </x:c>
      <x:c r="R154" s="13">
        <x:v>6</x:v>
      </x:c>
      <x:c r="S154" s="13" t="s">
        <x:v>38</x:v>
      </x:c>
      <x:c r="X154" s="284" t="str">
        <x:v>Oracle Primavera Cloud Risk + Analytics/IA</x:v>
      </x:c>
      <x:c r="Y154" s="285"/>
      <x:c r="Z154" s="284"/>
      <x:c r="AA154" s="13"/>
      <x:c r="AB154" s="286"/>
    </x:row>
    <x:row r="155" hidden="1">
      <x:c r="A155" s="290" t="e">
        <x:f>_xlfn.XLOOKUP(Matriz[[#This Row],[Categoría]],Categoría[Categoría],Categoría[Cat],"NA",0)</x:f>
        <x:v>#NAME?</x:v>
      </x:c>
      <x:c r="B155" s="165" t="s">
        <x:v>247</x:v>
      </x:c>
      <x:c r="C155" s="288" t="e">
        <x:f>_xlfn.XLOOKUP(Matriz[[#This Row],[Parámetro]],Parámetro[Parámetro],Parámetro[Par],0,0)</x:f>
        <x:v>#NAME?</x:v>
      </x:c>
      <x:c r="D155" s="165" t="s">
        <x:v>300</x:v>
      </x:c>
      <x:c r="E155" s="165" t="e">
        <x:f>Matriz[[#This Row],[Cat]]&amp;IF(Matriz[[#This Row],[Par]]=0,"","."&amp;Matriz[[#This Row],[Par]]&amp;"."&amp;TEXT(COUNTIFS(A$2:A155,Matriz[[#This Row],[Cat]],C$2:C155,Matriz[[#This Row],[Par]]),"000"))</x:f>
        <x:v>#NAME?</x:v>
      </x:c>
      <x:c r="F155" s="289" t="e">
        <x:f>IF(LEN(Matriz[[#This Row],[EDT]])=1,COUNTIF(Matriz[EDT],"?????????*"),IF(LEN(Matriz[[#This Row],[EDT]])=2,COUNTIF(Matriz[EDT],Matriz[[#This Row],[Cat]]&amp;"*")-1,0))</x:f>
        <x:v>#NAME?</x:v>
      </x:c>
      <x:c r="G155" s="165" t="e">
        <x:f>IF(Matriz[[#This Row],['# reque-rimientos]]&gt;0,"Sí","No")</x:f>
        <x:v>#REF!</x:v>
      </x:c>
      <x:c r="H155" s="165" t="e">
        <x:f>IF(Matriz[[#This Row],[Cat]]="0",0,IF(Matriz[[#This Row],[Par]]=0,1,LEN(Matriz[[#This Row],[EDT]])-LEN(SUBSTITUTE(Matriz[[#This Row],[EDT]],".",""))))</x:f>
        <x:v>#NAME?</x:v>
      </x:c>
      <x:c r="I155" s="13" t="s">
        <x:v>313</x:v>
      </x:c>
      <x:c r="M155" s="13" t="s">
        <x:v>120</x:v>
      </x:c>
      <x:c r="O155" s="165">
        <x:v>2</x:v>
      </x:c>
      <x:c r="R155" s="13">
        <x:v>6</x:v>
      </x:c>
      <x:c r="S155" s="13" t="s">
        <x:v>38</x:v>
      </x:c>
      <x:c r="X155" s="284" t="str">
        <x:v>Oracle Primavera Cloud Schedule</x:v>
      </x:c>
      <x:c r="Y155" s="285"/>
      <x:c r="Z155" s="284"/>
      <x:c r="AA155" s="13"/>
      <x:c r="AB155" s="286"/>
    </x:row>
    <x:row r="156" ht="67.5" hidden="1">
      <x:c r="A156" s="290" t="e">
        <x:f>_xlfn.XLOOKUP(Matriz[[#This Row],[Categoría]],Categoría[Categoría],Categoría[Cat],"NA",0)</x:f>
        <x:v>#NAME?</x:v>
      </x:c>
      <x:c r="B156" s="165" t="s">
        <x:v>247</x:v>
      </x:c>
      <x:c r="C156" s="288" t="e">
        <x:f>_xlfn.XLOOKUP(Matriz[[#This Row],[Parámetro]],Parámetro[Parámetro],Parámetro[Par],0,0)</x:f>
        <x:v>#NAME?</x:v>
      </x:c>
      <x:c r="D156" s="165" t="s">
        <x:v>218</x:v>
      </x:c>
      <x:c r="E156" s="165" t="e">
        <x:f>Matriz[[#This Row],[Cat]]&amp;IF(Matriz[[#This Row],[Par]]=0,"","."&amp;Matriz[[#This Row],[Par]]&amp;"."&amp;TEXT(COUNTIFS(A$2:A156,Matriz[[#This Row],[Cat]],C$2:C156,Matriz[[#This Row],[Par]]),"000"))</x:f>
        <x:v>#NAME?</x:v>
      </x:c>
      <x:c r="F156" s="289" t="e">
        <x:f>IF(LEN(Matriz[[#This Row],[EDT]])=1,COUNTIF(Matriz[EDT],"?????????*"),IF(LEN(Matriz[[#This Row],[EDT]])=2,COUNTIF(Matriz[EDT],Matriz[[#This Row],[Cat]]&amp;"*")-1,0))</x:f>
        <x:v>#NAME?</x:v>
      </x:c>
      <x:c r="G156" s="165" t="e">
        <x:f>IF(Matriz[[#This Row],['# reque-rimientos]]&gt;0,"Sí","No")</x:f>
        <x:v>#REF!</x:v>
      </x:c>
      <x:c r="H156" s="165" t="e">
        <x:f>IF(Matriz[[#This Row],[Cat]]="0",0,IF(Matriz[[#This Row],[Par]]=0,1,LEN(Matriz[[#This Row],[EDT]])-LEN(SUBSTITUTE(Matriz[[#This Row],[EDT]],".",""))))</x:f>
        <x:v>#NAME?</x:v>
      </x:c>
      <x:c r="I156" s="13" t="s">
        <x:v>314</x:v>
      </x:c>
      <x:c r="M156" s="13" t="s">
        <x:v>32</x:v>
      </x:c>
      <x:c r="N156" s="13" t="s">
        <x:v>315</x:v>
      </x:c>
      <x:c r="O156" s="165">
        <x:v>2</x:v>
      </x:c>
      <x:c r="R156" s="13">
        <x:v>5</x:v>
      </x:c>
      <x:c r="S156" s="13" t="s">
        <x:v>217</x:v>
      </x:c>
      <x:c r="X156" s="284" t="str">
        <x:v>Oracle Primavera Cloud (Portfolios/Programs) + Analytics</x:v>
      </x:c>
      <x:c r="Y156" s="285"/>
      <x:c r="Z156" s="284"/>
      <x:c r="AA156" s="13"/>
      <x:c r="AB156" s="286"/>
    </x:row>
    <x:row r="157" ht="27" customHeight="1">
      <x:c r="A157" s="290" t="e">
        <x:f>_xlfn.XLOOKUP(Matriz[[#This Row],[Categoría]],Categoría[Categoría],Categoría[Cat],"NA",0)</x:f>
        <x:v>#NAME?</x:v>
      </x:c>
      <x:c r="B157" s="165" t="s">
        <x:v>247</x:v>
      </x:c>
      <x:c r="C157" s="288" t="e">
        <x:f>_xlfn.XLOOKUP(Matriz[[#This Row],[Parámetro]],Parámetro[Parámetro],Parámetro[Par],0,0)</x:f>
        <x:v>#NAME?</x:v>
      </x:c>
      <x:c r="D157" s="165" t="s">
        <x:v>316</x:v>
      </x:c>
      <x:c r="E157" s="165" t="e">
        <x:f>Matriz[[#This Row],[Cat]]&amp;IF(Matriz[[#This Row],[Par]]=0,"","."&amp;Matriz[[#This Row],[Par]]&amp;"."&amp;TEXT(COUNTIFS(A$2:A157,Matriz[[#This Row],[Cat]],C$2:C157,Matriz[[#This Row],[Par]]),"000"))</x:f>
        <x:v>#NAME?</x:v>
      </x:c>
      <x:c r="F157" s="289" t="e">
        <x:f>IF(LEN(Matriz[[#This Row],[EDT]])=1,COUNTIF(Matriz[EDT],"?????????*"),IF(LEN(Matriz[[#This Row],[EDT]])=2,COUNTIF(Matriz[EDT],Matriz[[#This Row],[Cat]]&amp;"*")-1,0))</x:f>
        <x:v>#NAME?</x:v>
      </x:c>
      <x:c r="G157" s="165" t="e">
        <x:f>IF(Matriz[[#This Row],['# reque-rimientos]]&gt;0,"Sí","No")</x:f>
        <x:v>#REF!</x:v>
      </x:c>
      <x:c r="H157" s="165" t="e">
        <x:f>IF(Matriz[[#This Row],[Cat]]="0",0,IF(Matriz[[#This Row],[Par]]=0,1,LEN(Matriz[[#This Row],[EDT]])-LEN(SUBSTITUTE(Matriz[[#This Row],[EDT]],".",""))))</x:f>
        <x:v>#NAME?</x:v>
      </x:c>
      <x:c r="I157" s="13" t="s">
        <x:v>317</x:v>
      </x:c>
      <x:c r="M157" s="13" t="s">
        <x:v>120</x:v>
      </x:c>
      <x:c r="O157" s="165">
        <x:v>1</x:v>
      </x:c>
      <x:c r="R157" s="13">
        <x:v>7</x:v>
      </x:c>
      <x:c r="S157" s="13" t="s">
        <x:v>38</x:v>
      </x:c>
      <x:c r="X157" s="284" t="str">
        <x:v>Oracle Primavera Cloud + Unifier + Aconex + APIs/Gateway/ETL</x:v>
      </x:c>
      <x:c r="Y157" s="285"/>
      <x:c r="Z157" s="284"/>
      <x:c r="AA157" s="13"/>
      <x:c r="AB157" s="286"/>
    </x:row>
    <x:row r="158">
      <x:c r="A158" s="290" t="e">
        <x:f>_xlfn.XLOOKUP(Matriz[[#This Row],[Categoría]],Categoría[Categoría],Categoría[Cat],"NA",0)</x:f>
        <x:v>#NAME?</x:v>
      </x:c>
      <x:c r="B158" s="165" t="s">
        <x:v>247</x:v>
      </x:c>
      <x:c r="C158" s="288" t="e">
        <x:f>_xlfn.XLOOKUP(Matriz[[#This Row],[Parámetro]],Parámetro[Parámetro],Parámetro[Par],0,0)</x:f>
        <x:v>#NAME?</x:v>
      </x:c>
      <x:c r="D158" s="165" t="s">
        <x:v>316</x:v>
      </x:c>
      <x:c r="E158" s="165" t="e">
        <x:f>Matriz[[#This Row],[Cat]]&amp;IF(Matriz[[#This Row],[Par]]=0,"","."&amp;Matriz[[#This Row],[Par]]&amp;"."&amp;TEXT(COUNTIFS(A$2:A158,Matriz[[#This Row],[Cat]],C$2:C158,Matriz[[#This Row],[Par]]),"000"))</x:f>
        <x:v>#NAME?</x:v>
      </x:c>
      <x:c r="F158" s="289" t="e">
        <x:f>IF(LEN(Matriz[[#This Row],[EDT]])=1,COUNTIF(Matriz[EDT],"?????????*"),IF(LEN(Matriz[[#This Row],[EDT]])=2,COUNTIF(Matriz[EDT],Matriz[[#This Row],[Cat]]&amp;"*")-1,0))</x:f>
        <x:v>#NAME?</x:v>
      </x:c>
      <x:c r="G158" s="165" t="e">
        <x:f>IF(Matriz[[#This Row],['# reque-rimientos]]&gt;0,"Sí","No")</x:f>
        <x:v>#REF!</x:v>
      </x:c>
      <x:c r="H158" s="165" t="e">
        <x:f>IF(Matriz[[#This Row],[Cat]]="0",0,IF(Matriz[[#This Row],[Par]]=0,1,LEN(Matriz[[#This Row],[EDT]])-LEN(SUBSTITUTE(Matriz[[#This Row],[EDT]],".",""))))</x:f>
        <x:v>#NAME?</x:v>
      </x:c>
      <x:c r="I158" s="13" t="s">
        <x:v>318</x:v>
      </x:c>
      <x:c r="M158" s="13" t="s">
        <x:v>120</x:v>
      </x:c>
      <x:c r="O158" s="165">
        <x:v>1</x:v>
      </x:c>
      <x:c r="R158" s="13">
        <x:v>9</x:v>
      </x:c>
      <x:c r="S158" s="13" t="s">
        <x:v>38</x:v>
      </x:c>
      <x:c r="X158" s="284" t="str">
        <x:v>Oracle Primavera Cloud + Unifier + Aconex + APIs/Gateway/ETL</x:v>
      </x:c>
      <x:c r="Y158" s="285"/>
      <x:c r="Z158" s="284"/>
      <x:c r="AA158" s="13"/>
      <x:c r="AB158" s="286"/>
    </x:row>
    <x:row r="159" ht="22.5" hidden="1">
      <x:c r="A159" s="290" t="e">
        <x:f>_xlfn.XLOOKUP(Matriz[[#This Row],[Categoría]],Categoría[Categoría],Categoría[Cat],"NA",0)</x:f>
        <x:v>#NAME?</x:v>
      </x:c>
      <x:c r="B159" s="165" t="s">
        <x:v>247</x:v>
      </x:c>
      <x:c r="C159" s="288" t="e">
        <x:f>_xlfn.XLOOKUP(Matriz[[#This Row],[Parámetro]],Parámetro[Parámetro],Parámetro[Par],0,0)</x:f>
        <x:v>#NAME?</x:v>
      </x:c>
      <x:c r="D159" s="165" t="s">
        <x:v>316</x:v>
      </x:c>
      <x:c r="E159" s="165" t="e">
        <x:f>Matriz[[#This Row],[Cat]]&amp;IF(Matriz[[#This Row],[Par]]=0,"","."&amp;Matriz[[#This Row],[Par]]&amp;"."&amp;TEXT(COUNTIFS(A$2:A159,Matriz[[#This Row],[Cat]],C$2:C159,Matriz[[#This Row],[Par]]),"000"))</x:f>
        <x:v>#NAME?</x:v>
      </x:c>
      <x:c r="F159" s="289" t="e">
        <x:f>IF(LEN(Matriz[[#This Row],[EDT]])=1,COUNTIF(Matriz[EDT],"?????????*"),IF(LEN(Matriz[[#This Row],[EDT]])=2,COUNTIF(Matriz[EDT],Matriz[[#This Row],[Cat]]&amp;"*")-1,0))</x:f>
        <x:v>#NAME?</x:v>
      </x:c>
      <x:c r="G159" s="165" t="e">
        <x:f>IF(Matriz[[#This Row],['# reque-rimientos]]&gt;0,"Sí","No")</x:f>
        <x:v>#REF!</x:v>
      </x:c>
      <x:c r="H159" s="165" t="e">
        <x:f>IF(Matriz[[#This Row],[Cat]]="0",0,IF(Matriz[[#This Row],[Par]]=0,1,LEN(Matriz[[#This Row],[EDT]])-LEN(SUBSTITUTE(Matriz[[#This Row],[EDT]],".",""))))</x:f>
        <x:v>#NAME?</x:v>
      </x:c>
      <x:c r="I159" s="13" t="s">
        <x:v>319</x:v>
      </x:c>
      <x:c r="M159" s="13" t="s">
        <x:v>120</x:v>
      </x:c>
      <x:c r="O159" s="165">
        <x:v>2</x:v>
      </x:c>
      <x:c r="R159" s="13">
        <x:v>7</x:v>
      </x:c>
      <x:c r="S159" s="13" t="s">
        <x:v>83</x:v>
      </x:c>
      <x:c r="X159" s="284" t="str">
        <x:v>Oracle Primavera Cloud + Unifier + Aconex + APIs/Gateway/ETL</x:v>
      </x:c>
      <x:c r="Y159" s="285"/>
      <x:c r="Z159" s="284"/>
      <x:c r="AA159" s="13"/>
      <x:c r="AB159" s="286"/>
    </x:row>
    <x:row r="160" ht="22.5">
      <x:c r="A160" s="290" t="e">
        <x:f>_xlfn.XLOOKUP(Matriz[[#This Row],[Categoría]],Categoría[Categoría],Categoría[Cat],"NA",0)</x:f>
        <x:v>#NAME?</x:v>
      </x:c>
      <x:c r="B160" s="165" t="s">
        <x:v>247</x:v>
      </x:c>
      <x:c r="C160" s="288" t="e">
        <x:f>_xlfn.XLOOKUP(Matriz[[#This Row],[Parámetro]],Parámetro[Parámetro],Parámetro[Par],0,0)</x:f>
        <x:v>#NAME?</x:v>
      </x:c>
      <x:c r="D160" s="165" t="s">
        <x:v>316</x:v>
      </x:c>
      <x:c r="E160" s="165" t="e">
        <x:f>Matriz[[#This Row],[Cat]]&amp;IF(Matriz[[#This Row],[Par]]=0,"","."&amp;Matriz[[#This Row],[Par]]&amp;"."&amp;TEXT(COUNTIFS(A$2:A160,Matriz[[#This Row],[Cat]],C$2:C160,Matriz[[#This Row],[Par]]),"000"))</x:f>
        <x:v>#NAME?</x:v>
      </x:c>
      <x:c r="F160" s="289" t="e">
        <x:f>IF(LEN(Matriz[[#This Row],[EDT]])=1,COUNTIF(Matriz[EDT],"?????????*"),IF(LEN(Matriz[[#This Row],[EDT]])=2,COUNTIF(Matriz[EDT],Matriz[[#This Row],[Cat]]&amp;"*")-1,0))</x:f>
        <x:v>#NAME?</x:v>
      </x:c>
      <x:c r="G160" s="165" t="e">
        <x:f>IF(Matriz[[#This Row],['# reque-rimientos]]&gt;0,"Sí","No")</x:f>
        <x:v>#REF!</x:v>
      </x:c>
      <x:c r="H160" s="165" t="e">
        <x:f>IF(Matriz[[#This Row],[Cat]]="0",0,IF(Matriz[[#This Row],[Par]]=0,1,LEN(Matriz[[#This Row],[EDT]])-LEN(SUBSTITUTE(Matriz[[#This Row],[EDT]],".",""))))</x:f>
        <x:v>#NAME?</x:v>
      </x:c>
      <x:c r="I160" s="13" t="s">
        <x:v>320</x:v>
      </x:c>
      <x:c r="M160" s="13" t="s">
        <x:v>30</x:v>
      </x:c>
      <x:c r="O160" s="165">
        <x:v>1</x:v>
      </x:c>
      <x:c r="R160" s="13">
        <x:v>9</x:v>
      </x:c>
      <x:c r="S160" s="13" t="s">
        <x:v>118</x:v>
      </x:c>
      <x:c r="X160" s="284" t="str">
        <x:v>Oracle Primavera Cloud + Unifier + Aconex + APIs/Gateway/ETL</x:v>
      </x:c>
      <x:c r="Y160" s="285"/>
      <x:c r="Z160" s="284"/>
      <x:c r="AA160" s="13"/>
      <x:c r="AB160" s="286"/>
    </x:row>
    <x:row r="161">
      <x:c r="A161" s="290" t="e">
        <x:f>_xlfn.XLOOKUP(Matriz[[#This Row],[Categoría]],Categoría[Categoría],Categoría[Cat],"NA",0)</x:f>
        <x:v>#NAME?</x:v>
      </x:c>
      <x:c r="B161" s="165" t="s">
        <x:v>247</x:v>
      </x:c>
      <x:c r="C161" s="288" t="e">
        <x:f>_xlfn.XLOOKUP(Matriz[[#This Row],[Parámetro]],Parámetro[Parámetro],Parámetro[Par],0,0)</x:f>
        <x:v>#NAME?</x:v>
      </x:c>
      <x:c r="D161" s="165" t="s">
        <x:v>316</x:v>
      </x:c>
      <x:c r="E161" s="165" t="e">
        <x:f>Matriz[[#This Row],[Cat]]&amp;IF(Matriz[[#This Row],[Par]]=0,"","."&amp;Matriz[[#This Row],[Par]]&amp;"."&amp;TEXT(COUNTIFS(A$2:A161,Matriz[[#This Row],[Cat]],C$2:C161,Matriz[[#This Row],[Par]]),"000"))</x:f>
        <x:v>#NAME?</x:v>
      </x:c>
      <x:c r="F161" s="289" t="e">
        <x:f>IF(LEN(Matriz[[#This Row],[EDT]])=1,COUNTIF(Matriz[EDT],"?????????*"),IF(LEN(Matriz[[#This Row],[EDT]])=2,COUNTIF(Matriz[EDT],Matriz[[#This Row],[Cat]]&amp;"*")-1,0))</x:f>
        <x:v>#NAME?</x:v>
      </x:c>
      <x:c r="G161" s="165" t="e">
        <x:f>IF(Matriz[[#This Row],['# reque-rimientos]]&gt;0,"Sí","No")</x:f>
        <x:v>#REF!</x:v>
      </x:c>
      <x:c r="H161" s="165" t="e">
        <x:f>IF(Matriz[[#This Row],[Cat]]="0",0,IF(Matriz[[#This Row],[Par]]=0,1,LEN(Matriz[[#This Row],[EDT]])-LEN(SUBSTITUTE(Matriz[[#This Row],[EDT]],".",""))))</x:f>
        <x:v>#NAME?</x:v>
      </x:c>
      <x:c r="I161" s="13" t="s">
        <x:v>321</x:v>
      </x:c>
      <x:c r="M161" s="13" t="s">
        <x:v>120</x:v>
      </x:c>
      <x:c r="O161" s="165">
        <x:v>1</x:v>
      </x:c>
      <x:c r="R161" s="13">
        <x:v>9</x:v>
      </x:c>
      <x:c r="S161" s="13" t="s">
        <x:v>83</x:v>
      </x:c>
      <x:c r="X161" s="284" t="str">
        <x:v>Oracle Aconex + Oracle Primavera Cloud/Unifier</x:v>
      </x:c>
      <x:c r="Y161" s="285"/>
      <x:c r="Z161" s="284"/>
      <x:c r="AA161" s="13"/>
      <x:c r="AB161" s="286"/>
    </x:row>
    <x:row r="162">
      <x:c r="A162" s="290" t="e">
        <x:f>_xlfn.XLOOKUP(Matriz[[#This Row],[Categoría]],Categoría[Categoría],Categoría[Cat],"NA",0)</x:f>
        <x:v>#NAME?</x:v>
      </x:c>
      <x:c r="B162" s="165" t="s">
        <x:v>247</x:v>
      </x:c>
      <x:c r="C162" s="288" t="e">
        <x:f>_xlfn.XLOOKUP(Matriz[[#This Row],[Parámetro]],Parámetro[Parámetro],Parámetro[Par],0,0)</x:f>
        <x:v>#NAME?</x:v>
      </x:c>
      <x:c r="D162" s="165" t="s">
        <x:v>316</x:v>
      </x:c>
      <x:c r="E162" s="165" t="e">
        <x:f>Matriz[[#This Row],[Cat]]&amp;IF(Matriz[[#This Row],[Par]]=0,"","."&amp;Matriz[[#This Row],[Par]]&amp;"."&amp;TEXT(COUNTIFS(A$2:A162,Matriz[[#This Row],[Cat]],C$2:C162,Matriz[[#This Row],[Par]]),"000"))</x:f>
        <x:v>#NAME?</x:v>
      </x:c>
      <x:c r="F162" s="289" t="e">
        <x:f>IF(LEN(Matriz[[#This Row],[EDT]])=1,COUNTIF(Matriz[EDT],"?????????*"),IF(LEN(Matriz[[#This Row],[EDT]])=2,COUNTIF(Matriz[EDT],Matriz[[#This Row],[Cat]]&amp;"*")-1,0))</x:f>
        <x:v>#NAME?</x:v>
      </x:c>
      <x:c r="G162" s="165" t="e">
        <x:f>IF(Matriz[[#This Row],['# reque-rimientos]]&gt;0,"Sí","No")</x:f>
        <x:v>#REF!</x:v>
      </x:c>
      <x:c r="H162" s="165" t="e">
        <x:f>IF(Matriz[[#This Row],[Cat]]="0",0,IF(Matriz[[#This Row],[Par]]=0,1,LEN(Matriz[[#This Row],[EDT]])-LEN(SUBSTITUTE(Matriz[[#This Row],[EDT]],".",""))))</x:f>
        <x:v>#NAME?</x:v>
      </x:c>
      <x:c r="I162" s="13" t="s">
        <x:v>322</x:v>
      </x:c>
      <x:c r="M162" s="13" t="s">
        <x:v>32</x:v>
      </x:c>
      <x:c r="N162" s="13" t="s">
        <x:v>323</x:v>
      </x:c>
      <x:c r="O162" s="165">
        <x:v>1</x:v>
      </x:c>
      <x:c r="R162" s="13">
        <x:v>9</x:v>
      </x:c>
      <x:c r="S162" s="13" t="s">
        <x:v>67</x:v>
      </x:c>
      <x:c r="T162" s="13" t="s">
        <x:v>39</x:v>
      </x:c>
      <x:c r="U162" s="13">
        <x:v>5000</x:v>
      </x:c>
      <x:c r="X162" s="284" t="str">
        <x:v>Oracle Primavera Cloud + Unifier + Aconex + APIs/Gateway/ETL</x:v>
      </x:c>
      <x:c r="Y162" s="285"/>
      <x:c r="Z162" s="284"/>
      <x:c r="AA162" s="13"/>
      <x:c r="AB162" s="286"/>
    </x:row>
    <x:row r="163">
      <x:c r="A163" s="290" t="e">
        <x:f>_xlfn.XLOOKUP(Matriz[[#This Row],[Categoría]],Categoría[Categoría],Categoría[Cat],"NA",0)</x:f>
        <x:v>#NAME?</x:v>
      </x:c>
      <x:c r="B163" s="165" t="s">
        <x:v>247</x:v>
      </x:c>
      <x:c r="C163" s="288" t="e">
        <x:f>_xlfn.XLOOKUP(Matriz[[#This Row],[Parámetro]],Parámetro[Parámetro],Parámetro[Par],0,0)</x:f>
        <x:v>#NAME?</x:v>
      </x:c>
      <x:c r="D163" s="165" t="s">
        <x:v>316</x:v>
      </x:c>
      <x:c r="E163" s="165" t="e">
        <x:f>Matriz[[#This Row],[Cat]]&amp;IF(Matriz[[#This Row],[Par]]=0,"","."&amp;Matriz[[#This Row],[Par]]&amp;"."&amp;TEXT(COUNTIFS(A$2:A163,Matriz[[#This Row],[Cat]],C$2:C163,Matriz[[#This Row],[Par]]),"000"))</x:f>
        <x:v>#NAME?</x:v>
      </x:c>
      <x:c r="F163" s="289" t="e">
        <x:f>IF(LEN(Matriz[[#This Row],[EDT]])=1,COUNTIF(Matriz[EDT],"?????????*"),IF(LEN(Matriz[[#This Row],[EDT]])=2,COUNTIF(Matriz[EDT],Matriz[[#This Row],[Cat]]&amp;"*")-1,0))</x:f>
        <x:v>#NAME?</x:v>
      </x:c>
      <x:c r="G163" s="165" t="e">
        <x:f>IF(Matriz[[#This Row],['# reque-rimientos]]&gt;0,"Sí","No")</x:f>
        <x:v>#REF!</x:v>
      </x:c>
      <x:c r="H163" s="165" t="e">
        <x:f>IF(Matriz[[#This Row],[Cat]]="0",0,IF(Matriz[[#This Row],[Par]]=0,1,LEN(Matriz[[#This Row],[EDT]])-LEN(SUBSTITUTE(Matriz[[#This Row],[EDT]],".",""))))</x:f>
        <x:v>#NAME?</x:v>
      </x:c>
      <x:c r="I163" s="13" t="s">
        <x:v>324</x:v>
      </x:c>
      <x:c r="M163" s="13" t="s">
        <x:v>32</x:v>
      </x:c>
      <x:c r="O163" s="165">
        <x:v>1</x:v>
      </x:c>
      <x:c r="R163" s="13">
        <x:v>9</x:v>
      </x:c>
      <x:c r="S163" s="13" t="s">
        <x:v>67</x:v>
      </x:c>
      <x:c r="T163" s="13" t="s">
        <x:v>39</x:v>
      </x:c>
      <x:c r="U163" s="13">
        <x:v>100</x:v>
      </x:c>
      <x:c r="X163" s="284" t="str">
        <x:v>Oracle Primavera Cloud + Unifier + Aconex + APIs/Gateway/ETL</x:v>
      </x:c>
      <x:c r="Y163" s="285"/>
      <x:c r="Z163" s="284"/>
      <x:c r="AA163" s="13"/>
      <x:c r="AB163" s="286"/>
    </x:row>
    <x:row r="164">
      <x:c r="A164" s="290" t="e">
        <x:f>_xlfn.XLOOKUP(Matriz[[#This Row],[Categoría]],Categoría[Categoría],Categoría[Cat],"NA",0)</x:f>
        <x:v>#NAME?</x:v>
      </x:c>
      <x:c r="B164" s="165" t="s">
        <x:v>247</x:v>
      </x:c>
      <x:c r="C164" s="288" t="e">
        <x:f>_xlfn.XLOOKUP(Matriz[[#This Row],[Parámetro]],Parámetro[Parámetro],Parámetro[Par],0,0)</x:f>
        <x:v>#NAME?</x:v>
      </x:c>
      <x:c r="D164" s="165" t="s">
        <x:v>316</x:v>
      </x:c>
      <x:c r="E164" s="165" t="e">
        <x:f>Matriz[[#This Row],[Cat]]&amp;IF(Matriz[[#This Row],[Par]]=0,"","."&amp;Matriz[[#This Row],[Par]]&amp;"."&amp;TEXT(COUNTIFS(A$2:A164,Matriz[[#This Row],[Cat]],C$2:C164,Matriz[[#This Row],[Par]]),"000"))</x:f>
        <x:v>#NAME?</x:v>
      </x:c>
      <x:c r="F164" s="289" t="e">
        <x:f>IF(LEN(Matriz[[#This Row],[EDT]])=1,COUNTIF(Matriz[EDT],"?????????*"),IF(LEN(Matriz[[#This Row],[EDT]])=2,COUNTIF(Matriz[EDT],Matriz[[#This Row],[Cat]]&amp;"*")-1,0))</x:f>
        <x:v>#NAME?</x:v>
      </x:c>
      <x:c r="G164" s="165" t="e">
        <x:f>IF(Matriz[[#This Row],['# reque-rimientos]]&gt;0,"Sí","No")</x:f>
        <x:v>#REF!</x:v>
      </x:c>
      <x:c r="H164" s="165" t="e">
        <x:f>IF(Matriz[[#This Row],[Cat]]="0",0,IF(Matriz[[#This Row],[Par]]=0,1,LEN(Matriz[[#This Row],[EDT]])-LEN(SUBSTITUTE(Matriz[[#This Row],[EDT]],".",""))))</x:f>
        <x:v>#NAME?</x:v>
      </x:c>
      <x:c r="I164" s="13" t="s">
        <x:v>325</x:v>
      </x:c>
      <x:c r="M164" s="13" t="s">
        <x:v>32</x:v>
      </x:c>
      <x:c r="N164" s="13" t="s">
        <x:v>326</x:v>
      </x:c>
      <x:c r="O164" s="165">
        <x:v>1</x:v>
      </x:c>
      <x:c r="R164" s="13">
        <x:v>8</x:v>
      </x:c>
      <x:c r="S164" s="13" t="s">
        <x:v>67</x:v>
      </x:c>
      <x:c r="T164" s="13" t="s">
        <x:v>39</x:v>
      </x:c>
      <x:c r="U164" s="13">
        <x:v>100</x:v>
      </x:c>
      <x:c r="X164" s="284" t="str">
        <x:v>Oracle Primavera Cloud + Unifier + Aconex + APIs/Gateway/ETL</x:v>
      </x:c>
      <x:c r="Y164" s="285"/>
      <x:c r="Z164" s="284"/>
      <x:c r="AA164" s="13"/>
      <x:c r="AB164" s="286"/>
    </x:row>
    <x:row r="165">
      <x:c r="A165" s="290" t="e">
        <x:f>_xlfn.XLOOKUP(Matriz[[#This Row],[Categoría]],Categoría[Categoría],Categoría[Cat],"NA",0)</x:f>
        <x:v>#NAME?</x:v>
      </x:c>
      <x:c r="B165" s="165" t="s">
        <x:v>247</x:v>
      </x:c>
      <x:c r="C165" s="288" t="e">
        <x:f>_xlfn.XLOOKUP(Matriz[[#This Row],[Parámetro]],Parámetro[Parámetro],Parámetro[Par],0,0)</x:f>
        <x:v>#NAME?</x:v>
      </x:c>
      <x:c r="D165" s="165" t="s">
        <x:v>316</x:v>
      </x:c>
      <x:c r="E165" s="165" t="e">
        <x:f>Matriz[[#This Row],[Cat]]&amp;IF(Matriz[[#This Row],[Par]]=0,"","."&amp;Matriz[[#This Row],[Par]]&amp;"."&amp;TEXT(COUNTIFS(A$2:A165,Matriz[[#This Row],[Cat]],C$2:C165,Matriz[[#This Row],[Par]]),"000"))</x:f>
        <x:v>#NAME?</x:v>
      </x:c>
      <x:c r="F165" s="289" t="e">
        <x:f>IF(LEN(Matriz[[#This Row],[EDT]])=1,COUNTIF(Matriz[EDT],"?????????*"),IF(LEN(Matriz[[#This Row],[EDT]])=2,COUNTIF(Matriz[EDT],Matriz[[#This Row],[Cat]]&amp;"*")-1,0))</x:f>
        <x:v>#NAME?</x:v>
      </x:c>
      <x:c r="G165" s="165" t="e">
        <x:f>IF(Matriz[[#This Row],['# reque-rimientos]]&gt;0,"Sí","No")</x:f>
        <x:v>#REF!</x:v>
      </x:c>
      <x:c r="H165" s="165" t="e">
        <x:f>IF(Matriz[[#This Row],[Cat]]="0",0,IF(Matriz[[#This Row],[Par]]=0,1,LEN(Matriz[[#This Row],[EDT]])-LEN(SUBSTITUTE(Matriz[[#This Row],[EDT]],".",""))))</x:f>
        <x:v>#NAME?</x:v>
      </x:c>
      <x:c r="I165" s="13" t="s">
        <x:v>327</x:v>
      </x:c>
      <x:c r="M165" s="13" t="s">
        <x:v>32</x:v>
      </x:c>
      <x:c r="O165" s="165">
        <x:v>1</x:v>
      </x:c>
      <x:c r="R165" s="13">
        <x:v>9</x:v>
      </x:c>
      <x:c r="S165" s="13" t="s">
        <x:v>118</x:v>
      </x:c>
      <x:c r="X165" s="284" t="str">
        <x:v>Oracle Primavera Cloud + Unifier + Aconex + APIs/Gateway/ETL</x:v>
      </x:c>
      <x:c r="Y165" s="285"/>
      <x:c r="Z165" s="284"/>
      <x:c r="AA165" s="13"/>
      <x:c r="AB165" s="286"/>
    </x:row>
    <x:row r="166">
      <x:c r="A166" s="290" t="e">
        <x:f>_xlfn.XLOOKUP(Matriz[[#This Row],[Categoría]],Categoría[Categoría],Categoría[Cat],"NA",0)</x:f>
        <x:v>#NAME?</x:v>
      </x:c>
      <x:c r="B166" s="165" t="s">
        <x:v>247</x:v>
      </x:c>
      <x:c r="C166" s="288" t="e">
        <x:f>_xlfn.XLOOKUP(Matriz[[#This Row],[Parámetro]],Parámetro[Parámetro],Parámetro[Par],0,0)</x:f>
        <x:v>#NAME?</x:v>
      </x:c>
      <x:c r="D166" s="165" t="s">
        <x:v>316</x:v>
      </x:c>
      <x:c r="E166" s="165" t="e">
        <x:f>Matriz[[#This Row],[Cat]]&amp;IF(Matriz[[#This Row],[Par]]=0,"","."&amp;Matriz[[#This Row],[Par]]&amp;"."&amp;TEXT(COUNTIFS(A$2:A166,Matriz[[#This Row],[Cat]],C$2:C166,Matriz[[#This Row],[Par]]),"000"))</x:f>
        <x:v>#NAME?</x:v>
      </x:c>
      <x:c r="F166" s="289" t="e">
        <x:f>IF(LEN(Matriz[[#This Row],[EDT]])=1,COUNTIF(Matriz[EDT],"?????????*"),IF(LEN(Matriz[[#This Row],[EDT]])=2,COUNTIF(Matriz[EDT],Matriz[[#This Row],[Cat]]&amp;"*")-1,0))</x:f>
        <x:v>#NAME?</x:v>
      </x:c>
      <x:c r="G166" s="165" t="e">
        <x:f>IF(Matriz[[#This Row],['# reque-rimientos]]&gt;0,"Sí","No")</x:f>
        <x:v>#REF!</x:v>
      </x:c>
      <x:c r="H166" s="165" t="e">
        <x:f>IF(Matriz[[#This Row],[Cat]]="0",0,IF(Matriz[[#This Row],[Par]]=0,1,LEN(Matriz[[#This Row],[EDT]])-LEN(SUBSTITUTE(Matriz[[#This Row],[EDT]],".",""))))</x:f>
        <x:v>#NAME?</x:v>
      </x:c>
      <x:c r="I166" s="13" t="s">
        <x:v>328</x:v>
      </x:c>
      <x:c r="M166" s="13" t="s">
        <x:v>32</x:v>
      </x:c>
      <x:c r="O166" s="165">
        <x:v>1</x:v>
      </x:c>
      <x:c r="R166" s="13">
        <x:v>9</x:v>
      </x:c>
      <x:c r="S166" s="13" t="s">
        <x:v>217</x:v>
      </x:c>
      <x:c r="X166" s="284" t="str">
        <x:v>Oracle Primavera Cloud + Unifier + Aconex + APIs/Gateway/ETL</x:v>
      </x:c>
      <x:c r="Y166" s="285"/>
      <x:c r="Z166" s="284"/>
      <x:c r="AA166" s="13"/>
      <x:c r="AB166" s="286"/>
    </x:row>
    <x:row r="167" ht="22.5">
      <x:c r="A167" s="290" t="e">
        <x:f>_xlfn.XLOOKUP(Matriz[[#This Row],[Categoría]],Categoría[Categoría],Categoría[Cat],"NA",0)</x:f>
        <x:v>#NAME?</x:v>
      </x:c>
      <x:c r="B167" s="165" t="s">
        <x:v>247</x:v>
      </x:c>
      <x:c r="C167" s="288" t="e">
        <x:f>_xlfn.XLOOKUP(Matriz[[#This Row],[Parámetro]],Parámetro[Parámetro],Parámetro[Par],0,0)</x:f>
        <x:v>#NAME?</x:v>
      </x:c>
      <x:c r="D167" s="165" t="s">
        <x:v>316</x:v>
      </x:c>
      <x:c r="E167" s="165" t="e">
        <x:f>Matriz[[#This Row],[Cat]]&amp;IF(Matriz[[#This Row],[Par]]=0,"","."&amp;Matriz[[#This Row],[Par]]&amp;"."&amp;TEXT(COUNTIFS(A$2:A167,Matriz[[#This Row],[Cat]],C$2:C167,Matriz[[#This Row],[Par]]),"000"))</x:f>
        <x:v>#NAME?</x:v>
      </x:c>
      <x:c r="F167" s="289" t="e">
        <x:f>IF(LEN(Matriz[[#This Row],[EDT]])=1,COUNTIF(Matriz[EDT],"?????????*"),IF(LEN(Matriz[[#This Row],[EDT]])=2,COUNTIF(Matriz[EDT],Matriz[[#This Row],[Cat]]&amp;"*")-1,0))</x:f>
        <x:v>#NAME?</x:v>
      </x:c>
      <x:c r="G167" s="165" t="e">
        <x:f>IF(Matriz[[#This Row],['# reque-rimientos]]&gt;0,"Sí","No")</x:f>
        <x:v>#REF!</x:v>
      </x:c>
      <x:c r="H167" s="165" t="e">
        <x:f>IF(Matriz[[#This Row],[Cat]]="0",0,IF(Matriz[[#This Row],[Par]]=0,1,LEN(Matriz[[#This Row],[EDT]])-LEN(SUBSTITUTE(Matriz[[#This Row],[EDT]],".",""))))</x:f>
        <x:v>#NAME?</x:v>
      </x:c>
      <x:c r="I167" s="13" t="s">
        <x:v>329</x:v>
      </x:c>
      <x:c r="M167" s="13" t="s">
        <x:v>120</x:v>
      </x:c>
      <x:c r="O167" s="165">
        <x:v>1</x:v>
      </x:c>
      <x:c r="R167" s="13">
        <x:v>9</x:v>
      </x:c>
      <x:c r="S167" s="13" t="s">
        <x:v>118</x:v>
      </x:c>
      <x:c r="X167" s="284" t="str">
        <x:v>Oracle Primavera Cloud + Unifier + Aconex + APIs/Gateway/ETL</x:v>
      </x:c>
      <x:c r="Y167" s="285"/>
      <x:c r="Z167" s="284"/>
      <x:c r="AA167" s="13"/>
      <x:c r="AB167" s="286"/>
    </x:row>
    <x:row r="168">
      <x:c r="A168" s="290" t="e">
        <x:f>_xlfn.XLOOKUP(Matriz[[#This Row],[Categoría]],Categoría[Categoría],Categoría[Cat],"NA",0)</x:f>
        <x:v>#NAME?</x:v>
      </x:c>
      <x:c r="B168" s="165" t="s">
        <x:v>247</x:v>
      </x:c>
      <x:c r="C168" s="288" t="e">
        <x:f>_xlfn.XLOOKUP(Matriz[[#This Row],[Parámetro]],Parámetro[Parámetro],Parámetro[Par],0,0)</x:f>
        <x:v>#NAME?</x:v>
      </x:c>
      <x:c r="D168" s="165" t="s">
        <x:v>316</x:v>
      </x:c>
      <x:c r="E168" s="165" t="e">
        <x:f>Matriz[[#This Row],[Cat]]&amp;IF(Matriz[[#This Row],[Par]]=0,"","."&amp;Matriz[[#This Row],[Par]]&amp;"."&amp;TEXT(COUNTIFS(A$2:A168,Matriz[[#This Row],[Cat]],C$2:C168,Matriz[[#This Row],[Par]]),"000"))</x:f>
        <x:v>#NAME?</x:v>
      </x:c>
      <x:c r="F168" s="289" t="e">
        <x:f>IF(LEN(Matriz[[#This Row],[EDT]])=1,COUNTIF(Matriz[EDT],"?????????*"),IF(LEN(Matriz[[#This Row],[EDT]])=2,COUNTIF(Matriz[EDT],Matriz[[#This Row],[Cat]]&amp;"*")-1,0))</x:f>
        <x:v>#NAME?</x:v>
      </x:c>
      <x:c r="G168" s="165" t="e">
        <x:f>IF(Matriz[[#This Row],['# reque-rimientos]]&gt;0,"Sí","No")</x:f>
        <x:v>#REF!</x:v>
      </x:c>
      <x:c r="H168" s="165" t="e">
        <x:f>IF(Matriz[[#This Row],[Cat]]="0",0,IF(Matriz[[#This Row],[Par]]=0,1,LEN(Matriz[[#This Row],[EDT]])-LEN(SUBSTITUTE(Matriz[[#This Row],[EDT]],".",""))))</x:f>
        <x:v>#NAME?</x:v>
      </x:c>
      <x:c r="I168" s="13" t="s">
        <x:v>330</x:v>
      </x:c>
      <x:c r="M168" s="13" t="s">
        <x:v>120</x:v>
      </x:c>
      <x:c r="O168" s="165">
        <x:v>1</x:v>
      </x:c>
      <x:c r="R168" s="13">
        <x:v>9</x:v>
      </x:c>
      <x:c r="S168" s="13" t="s">
        <x:v>118</x:v>
      </x:c>
      <x:c r="X168" s="284" t="str">
        <x:v>Oracle Primavera Cloud + Unifier + Aconex + APIs/Gateway/ETL</x:v>
      </x:c>
      <x:c r="Y168" s="285"/>
      <x:c r="Z168" s="284"/>
      <x:c r="AA168" s="13"/>
      <x:c r="AB168" s="286"/>
    </x:row>
    <x:row r="169">
      <x:c r="A169" s="290" t="e">
        <x:f>_xlfn.XLOOKUP(Matriz[[#This Row],[Categoría]],Categoría[Categoría],Categoría[Cat],"NA",0)</x:f>
        <x:v>#NAME?</x:v>
      </x:c>
      <x:c r="B169" s="165" t="s">
        <x:v>247</x:v>
      </x:c>
      <x:c r="C169" s="288" t="e">
        <x:f>_xlfn.XLOOKUP(Matriz[[#This Row],[Parámetro]],Parámetro[Parámetro],Parámetro[Par],0,0)</x:f>
        <x:v>#NAME?</x:v>
      </x:c>
      <x:c r="D169" s="165" t="s">
        <x:v>316</x:v>
      </x:c>
      <x:c r="E169" s="165" t="e">
        <x:f>Matriz[[#This Row],[Cat]]&amp;IF(Matriz[[#This Row],[Par]]=0,"","."&amp;Matriz[[#This Row],[Par]]&amp;"."&amp;TEXT(COUNTIFS(A$2:A169,Matriz[[#This Row],[Cat]],C$2:C169,Matriz[[#This Row],[Par]]),"000"))</x:f>
        <x:v>#NAME?</x:v>
      </x:c>
      <x:c r="F169" s="289" t="e">
        <x:f>IF(LEN(Matriz[[#This Row],[EDT]])=1,COUNTIF(Matriz[EDT],"?????????*"),IF(LEN(Matriz[[#This Row],[EDT]])=2,COUNTIF(Matriz[EDT],Matriz[[#This Row],[Cat]]&amp;"*")-1,0))</x:f>
        <x:v>#NAME?</x:v>
      </x:c>
      <x:c r="G169" s="165" t="e">
        <x:f>IF(Matriz[[#This Row],['# reque-rimientos]]&gt;0,"Sí","No")</x:f>
        <x:v>#REF!</x:v>
      </x:c>
      <x:c r="H169" s="165" t="e">
        <x:f>IF(Matriz[[#This Row],[Cat]]="0",0,IF(Matriz[[#This Row],[Par]]=0,1,LEN(Matriz[[#This Row],[EDT]])-LEN(SUBSTITUTE(Matriz[[#This Row],[EDT]],".",""))))</x:f>
        <x:v>#NAME?</x:v>
      </x:c>
      <x:c r="I169" s="13" t="s">
        <x:v>331</x:v>
      </x:c>
      <x:c r="M169" s="13" t="s">
        <x:v>120</x:v>
      </x:c>
      <x:c r="O169" s="165">
        <x:v>1</x:v>
      </x:c>
      <x:c r="R169" s="13">
        <x:v>9</x:v>
      </x:c>
      <x:c r="S169" s="13" t="s">
        <x:v>118</x:v>
      </x:c>
      <x:c r="X169" s="284" t="str">
        <x:v>Oracle Primavera Cloud + Unifier + Aconex + APIs/Gateway/ETL</x:v>
      </x:c>
      <x:c r="Y169" s="285"/>
      <x:c r="Z169" s="284"/>
      <x:c r="AA169" s="13"/>
      <x:c r="AB169" s="286"/>
    </x:row>
    <x:row r="170">
      <x:c r="A170" s="290" t="e">
        <x:f>_xlfn.XLOOKUP(Matriz[[#This Row],[Categoría]],Categoría[Categoría],Categoría[Cat],"NA",0)</x:f>
        <x:v>#NAME?</x:v>
      </x:c>
      <x:c r="B170" s="165" t="s">
        <x:v>247</x:v>
      </x:c>
      <x:c r="C170" s="288" t="e">
        <x:f>_xlfn.XLOOKUP(Matriz[[#This Row],[Parámetro]],Parámetro[Parámetro],Parámetro[Par],0,0)</x:f>
        <x:v>#NAME?</x:v>
      </x:c>
      <x:c r="D170" s="165" t="s">
        <x:v>316</x:v>
      </x:c>
      <x:c r="E170" s="165" t="e">
        <x:f>Matriz[[#This Row],[Cat]]&amp;IF(Matriz[[#This Row],[Par]]=0,"","."&amp;Matriz[[#This Row],[Par]]&amp;"."&amp;TEXT(COUNTIFS(A$2:A170,Matriz[[#This Row],[Cat]],C$2:C170,Matriz[[#This Row],[Par]]),"000"))</x:f>
        <x:v>#NAME?</x:v>
      </x:c>
      <x:c r="F170" s="289" t="e">
        <x:f>IF(LEN(Matriz[[#This Row],[EDT]])=1,COUNTIF(Matriz[EDT],"?????????*"),IF(LEN(Matriz[[#This Row],[EDT]])=2,COUNTIF(Matriz[EDT],Matriz[[#This Row],[Cat]]&amp;"*")-1,0))</x:f>
        <x:v>#NAME?</x:v>
      </x:c>
      <x:c r="G170" s="165" t="e">
        <x:f>IF(Matriz[[#This Row],['# reque-rimientos]]&gt;0,"Sí","No")</x:f>
        <x:v>#REF!</x:v>
      </x:c>
      <x:c r="H170" s="165" t="e">
        <x:f>IF(Matriz[[#This Row],[Cat]]="0",0,IF(Matriz[[#This Row],[Par]]=0,1,LEN(Matriz[[#This Row],[EDT]])-LEN(SUBSTITUTE(Matriz[[#This Row],[EDT]],".",""))))</x:f>
        <x:v>#NAME?</x:v>
      </x:c>
      <x:c r="I170" s="13" t="s">
        <x:v>332</x:v>
      </x:c>
      <x:c r="M170" s="13" t="s">
        <x:v>120</x:v>
      </x:c>
      <x:c r="O170" s="165">
        <x:v>1</x:v>
      </x:c>
      <x:c r="R170" s="13">
        <x:v>9</x:v>
      </x:c>
      <x:c r="S170" s="13" t="s">
        <x:v>118</x:v>
      </x:c>
      <x:c r="X170" s="284" t="str">
        <x:v>Oracle Primavera Cloud + Unifier + Aconex + APIs/Gateway/ETL</x:v>
      </x:c>
      <x:c r="Y170" s="285"/>
      <x:c r="Z170" s="284"/>
      <x:c r="AA170" s="13"/>
      <x:c r="AB170" s="286"/>
    </x:row>
    <x:row r="171">
      <x:c r="A171" s="290" t="e">
        <x:f>_xlfn.XLOOKUP(Matriz[[#This Row],[Categoría]],Categoría[Categoría],Categoría[Cat],"NA",0)</x:f>
        <x:v>#NAME?</x:v>
      </x:c>
      <x:c r="B171" s="165" t="s">
        <x:v>247</x:v>
      </x:c>
      <x:c r="C171" s="288" t="e">
        <x:f>_xlfn.XLOOKUP(Matriz[[#This Row],[Parámetro]],Parámetro[Parámetro],Parámetro[Par],0,0)</x:f>
        <x:v>#NAME?</x:v>
      </x:c>
      <x:c r="D171" s="165" t="s">
        <x:v>316</x:v>
      </x:c>
      <x:c r="E171" s="165" t="e">
        <x:f>Matriz[[#This Row],[Cat]]&amp;IF(Matriz[[#This Row],[Par]]=0,"","."&amp;Matriz[[#This Row],[Par]]&amp;"."&amp;TEXT(COUNTIFS(A$2:A171,Matriz[[#This Row],[Cat]],C$2:C171,Matriz[[#This Row],[Par]]),"000"))</x:f>
        <x:v>#NAME?</x:v>
      </x:c>
      <x:c r="F171" s="289" t="e">
        <x:f>IF(LEN(Matriz[[#This Row],[EDT]])=1,COUNTIF(Matriz[EDT],"?????????*"),IF(LEN(Matriz[[#This Row],[EDT]])=2,COUNTIF(Matriz[EDT],Matriz[[#This Row],[Cat]]&amp;"*")-1,0))</x:f>
        <x:v>#NAME?</x:v>
      </x:c>
      <x:c r="G171" s="165" t="e">
        <x:f>IF(Matriz[[#This Row],['# reque-rimientos]]&gt;0,"Sí","No")</x:f>
        <x:v>#REF!</x:v>
      </x:c>
      <x:c r="H171" s="165" t="e">
        <x:f>IF(Matriz[[#This Row],[Cat]]="0",0,IF(Matriz[[#This Row],[Par]]=0,1,LEN(Matriz[[#This Row],[EDT]])-LEN(SUBSTITUTE(Matriz[[#This Row],[EDT]],".",""))))</x:f>
        <x:v>#NAME?</x:v>
      </x:c>
      <x:c r="I171" s="13" t="s">
        <x:v>333</x:v>
      </x:c>
      <x:c r="M171" s="13" t="s">
        <x:v>120</x:v>
      </x:c>
      <x:c r="O171" s="165">
        <x:v>1</x:v>
      </x:c>
      <x:c r="R171" s="13">
        <x:v>6</x:v>
      </x:c>
      <x:c r="S171" s="13" t="s">
        <x:v>83</x:v>
      </x:c>
      <x:c r="X171" s="284" t="str">
        <x:v>Oracle Primavera Cloud + Unifier + Aconex + APIs/Gateway/ETL</x:v>
      </x:c>
      <x:c r="Y171" s="285"/>
      <x:c r="Z171" s="284"/>
      <x:c r="AA171" s="13"/>
      <x:c r="AB171" s="286"/>
    </x:row>
    <x:row r="172" ht="22.5">
      <x:c r="A172" s="290" t="e">
        <x:f>_xlfn.XLOOKUP(Matriz[[#This Row],[Categoría]],Categoría[Categoría],Categoría[Cat],"NA",0)</x:f>
        <x:v>#NAME?</x:v>
      </x:c>
      <x:c r="B172" s="165" t="s">
        <x:v>247</x:v>
      </x:c>
      <x:c r="C172" s="288" t="e">
        <x:f>_xlfn.XLOOKUP(Matriz[[#This Row],[Parámetro]],Parámetro[Parámetro],Parámetro[Par],0,0)</x:f>
        <x:v>#NAME?</x:v>
      </x:c>
      <x:c r="D172" s="165" t="s">
        <x:v>316</x:v>
      </x:c>
      <x:c r="E172" s="165" t="e">
        <x:f>Matriz[[#This Row],[Cat]]&amp;IF(Matriz[[#This Row],[Par]]=0,"","."&amp;Matriz[[#This Row],[Par]]&amp;"."&amp;TEXT(COUNTIFS(A$2:A172,Matriz[[#This Row],[Cat]],C$2:C172,Matriz[[#This Row],[Par]]),"000"))</x:f>
        <x:v>#NAME?</x:v>
      </x:c>
      <x:c r="F172" s="289" t="e">
        <x:f>IF(LEN(Matriz[[#This Row],[EDT]])=1,COUNTIF(Matriz[EDT],"?????????*"),IF(LEN(Matriz[[#This Row],[EDT]])=2,COUNTIF(Matriz[EDT],Matriz[[#This Row],[Cat]]&amp;"*")-1,0))</x:f>
        <x:v>#NAME?</x:v>
      </x:c>
      <x:c r="G172" s="165" t="e">
        <x:f>IF(Matriz[[#This Row],['# reque-rimientos]]&gt;0,"Sí","No")</x:f>
        <x:v>#REF!</x:v>
      </x:c>
      <x:c r="H172" s="165" t="e">
        <x:f>IF(Matriz[[#This Row],[Cat]]="0",0,IF(Matriz[[#This Row],[Par]]=0,1,LEN(Matriz[[#This Row],[EDT]])-LEN(SUBSTITUTE(Matriz[[#This Row],[EDT]],".",""))))</x:f>
        <x:v>#NAME?</x:v>
      </x:c>
      <x:c r="I172" s="13" t="s">
        <x:v>334</x:v>
      </x:c>
      <x:c r="M172" s="13" t="s">
        <x:v>120</x:v>
      </x:c>
      <x:c r="O172" s="165">
        <x:v>1</x:v>
      </x:c>
      <x:c r="R172" s="13">
        <x:v>9</x:v>
      </x:c>
      <x:c r="S172" s="13" t="s">
        <x:v>83</x:v>
      </x:c>
      <x:c r="X172" s="284" t="str">
        <x:v>Oracle Primavera Cloud + Unifier + Aconex + APIs/Gateway/ETL</x:v>
      </x:c>
      <x:c r="Y172" s="285"/>
      <x:c r="Z172" s="284"/>
      <x:c r="AA172" s="13"/>
      <x:c r="AB172" s="286"/>
    </x:row>
    <x:row r="173">
      <x:c r="A173" s="290" t="e">
        <x:f>_xlfn.XLOOKUP(Matriz[[#This Row],[Categoría]],Categoría[Categoría],Categoría[Cat],"NA",0)</x:f>
        <x:v>#NAME?</x:v>
      </x:c>
      <x:c r="B173" s="165" t="s">
        <x:v>247</x:v>
      </x:c>
      <x:c r="C173" s="288" t="e">
        <x:f>_xlfn.XLOOKUP(Matriz[[#This Row],[Parámetro]],Parámetro[Parámetro],Parámetro[Par],0,0)</x:f>
        <x:v>#NAME?</x:v>
      </x:c>
      <x:c r="D173" s="165" t="s">
        <x:v>316</x:v>
      </x:c>
      <x:c r="E173" s="165" t="e">
        <x:f>Matriz[[#This Row],[Cat]]&amp;IF(Matriz[[#This Row],[Par]]=0,"","."&amp;Matriz[[#This Row],[Par]]&amp;"."&amp;TEXT(COUNTIFS(A$2:A173,Matriz[[#This Row],[Cat]],C$2:C173,Matriz[[#This Row],[Par]]),"000"))</x:f>
        <x:v>#NAME?</x:v>
      </x:c>
      <x:c r="F173" s="289" t="e">
        <x:f>IF(LEN(Matriz[[#This Row],[EDT]])=1,COUNTIF(Matriz[EDT],"?????????*"),IF(LEN(Matriz[[#This Row],[EDT]])=2,COUNTIF(Matriz[EDT],Matriz[[#This Row],[Cat]]&amp;"*")-1,0))</x:f>
        <x:v>#NAME?</x:v>
      </x:c>
      <x:c r="G173" s="165" t="e">
        <x:f>IF(Matriz[[#This Row],['# reque-rimientos]]&gt;0,"Sí","No")</x:f>
        <x:v>#REF!</x:v>
      </x:c>
      <x:c r="H173" s="165" t="e">
        <x:f>IF(Matriz[[#This Row],[Cat]]="0",0,IF(Matriz[[#This Row],[Par]]=0,1,LEN(Matriz[[#This Row],[EDT]])-LEN(SUBSTITUTE(Matriz[[#This Row],[EDT]],".",""))))</x:f>
        <x:v>#NAME?</x:v>
      </x:c>
      <x:c r="I173" s="13" t="s">
        <x:v>335</x:v>
      </x:c>
      <x:c r="M173" s="13" t="s">
        <x:v>120</x:v>
      </x:c>
      <x:c r="O173" s="165">
        <x:v>1</x:v>
      </x:c>
      <x:c r="R173" s="13">
        <x:v>9</x:v>
      </x:c>
      <x:c r="S173" s="13" t="s">
        <x:v>118</x:v>
      </x:c>
      <x:c r="X173" s="284" t="str">
        <x:v>Oracle Primavera Cloud + Unifier + Aconex + APIs/Gateway/ETL</x:v>
      </x:c>
      <x:c r="Y173" s="285"/>
      <x:c r="Z173" s="284"/>
      <x:c r="AA173" s="13"/>
      <x:c r="AB173" s="286"/>
    </x:row>
    <x:row r="174">
      <x:c r="A174" s="290" t="e">
        <x:f>_xlfn.XLOOKUP(Matriz[[#This Row],[Categoría]],Categoría[Categoría],Categoría[Cat],"NA",0)</x:f>
        <x:v>#NAME?</x:v>
      </x:c>
      <x:c r="B174" s="165" t="s">
        <x:v>247</x:v>
      </x:c>
      <x:c r="C174" s="288" t="e">
        <x:f>_xlfn.XLOOKUP(Matriz[[#This Row],[Parámetro]],Parámetro[Parámetro],Parámetro[Par],0,0)</x:f>
        <x:v>#NAME?</x:v>
      </x:c>
      <x:c r="D174" s="165" t="s">
        <x:v>316</x:v>
      </x:c>
      <x:c r="E174" s="165" t="e">
        <x:f>Matriz[[#This Row],[Cat]]&amp;IF(Matriz[[#This Row],[Par]]=0,"","."&amp;Matriz[[#This Row],[Par]]&amp;"."&amp;TEXT(COUNTIFS(A$2:A174,Matriz[[#This Row],[Cat]],C$2:C174,Matriz[[#This Row],[Par]]),"000"))</x:f>
        <x:v>#NAME?</x:v>
      </x:c>
      <x:c r="F174" s="289" t="e">
        <x:f>IF(LEN(Matriz[[#This Row],[EDT]])=1,COUNTIF(Matriz[EDT],"?????????*"),IF(LEN(Matriz[[#This Row],[EDT]])=2,COUNTIF(Matriz[EDT],Matriz[[#This Row],[Cat]]&amp;"*")-1,0))</x:f>
        <x:v>#NAME?</x:v>
      </x:c>
      <x:c r="G174" s="165" t="e">
        <x:f>IF(Matriz[[#This Row],['# reque-rimientos]]&gt;0,"Sí","No")</x:f>
        <x:v>#REF!</x:v>
      </x:c>
      <x:c r="H174" s="165" t="e">
        <x:f>IF(Matriz[[#This Row],[Cat]]="0",0,IF(Matriz[[#This Row],[Par]]=0,1,LEN(Matriz[[#This Row],[EDT]])-LEN(SUBSTITUTE(Matriz[[#This Row],[EDT]],".",""))))</x:f>
        <x:v>#NAME?</x:v>
      </x:c>
      <x:c r="I174" s="13" t="s">
        <x:v>336</x:v>
      </x:c>
      <x:c r="M174" s="13" t="s">
        <x:v>120</x:v>
      </x:c>
      <x:c r="O174" s="165">
        <x:v>1</x:v>
      </x:c>
      <x:c r="R174" s="13">
        <x:v>9</x:v>
      </x:c>
      <x:c r="S174" s="13" t="s">
        <x:v>118</x:v>
      </x:c>
      <x:c r="X174" s="284" t="str">
        <x:v>Oracle Primavera Cloud + Unifier + Aconex + APIs/Gateway/ETL</x:v>
      </x:c>
      <x:c r="Y174" s="285"/>
      <x:c r="Z174" s="284"/>
      <x:c r="AA174" s="13"/>
      <x:c r="AB174" s="286"/>
    </x:row>
    <x:row r="175" hidden="1">
      <x:c r="A175" s="290" t="e">
        <x:f>_xlfn.XLOOKUP(Matriz[[#This Row],[Categoría]],Categoría[Categoría],Categoría[Cat],"NA",0)</x:f>
        <x:v>#NAME?</x:v>
      </x:c>
      <x:c r="B175" s="165" t="s">
        <x:v>247</x:v>
      </x:c>
      <x:c r="C175" s="288" t="e">
        <x:f>_xlfn.XLOOKUP(Matriz[[#This Row],[Parámetro]],Parámetro[Parámetro],Parámetro[Par],0,0)</x:f>
        <x:v>#NAME?</x:v>
      </x:c>
      <x:c r="D175" s="165" t="s">
        <x:v>316</x:v>
      </x:c>
      <x:c r="E175" s="165" t="e">
        <x:f>Matriz[[#This Row],[Cat]]&amp;IF(Matriz[[#This Row],[Par]]=0,"","."&amp;Matriz[[#This Row],[Par]]&amp;"."&amp;TEXT(COUNTIFS(A$2:A175,Matriz[[#This Row],[Cat]],C$2:C175,Matriz[[#This Row],[Par]]),"000"))</x:f>
        <x:v>#NAME?</x:v>
      </x:c>
      <x:c r="F175" s="289" t="e">
        <x:f>IF(LEN(Matriz[[#This Row],[EDT]])=1,COUNTIF(Matriz[EDT],"?????????*"),IF(LEN(Matriz[[#This Row],[EDT]])=2,COUNTIF(Matriz[EDT],Matriz[[#This Row],[Cat]]&amp;"*")-1,0))</x:f>
        <x:v>#NAME?</x:v>
      </x:c>
      <x:c r="G175" s="165" t="e">
        <x:f>IF(Matriz[[#This Row],['# reque-rimientos]]&gt;0,"Sí","No")</x:f>
        <x:v>#REF!</x:v>
      </x:c>
      <x:c r="H175" s="165" t="e">
        <x:f>IF(Matriz[[#This Row],[Cat]]="0",0,IF(Matriz[[#This Row],[Par]]=0,1,LEN(Matriz[[#This Row],[EDT]])-LEN(SUBSTITUTE(Matriz[[#This Row],[EDT]],".",""))))</x:f>
        <x:v>#NAME?</x:v>
      </x:c>
      <x:c r="I175" s="13" t="s">
        <x:v>337</x:v>
      </x:c>
      <x:c r="M175" s="13" t="s">
        <x:v>120</x:v>
      </x:c>
      <x:c r="O175" s="165">
        <x:v>2</x:v>
      </x:c>
      <x:c r="R175" s="13">
        <x:v>7</x:v>
      </x:c>
      <x:c r="S175" s="13" t="s">
        <x:v>118</x:v>
      </x:c>
      <x:c r="X175" s="284" t="str">
        <x:v>Oracle Primavera Cloud + Unifier + Aconex + APIs/Gateway/ETL</x:v>
      </x:c>
      <x:c r="Y175" s="285"/>
      <x:c r="Z175" s="284"/>
      <x:c r="AA175" s="13"/>
      <x:c r="AB175" s="286"/>
    </x:row>
    <x:row r="176">
      <x:c r="A176" s="290" t="e">
        <x:f>_xlfn.XLOOKUP(Matriz[[#This Row],[Categoría]],Categoría[Categoría],Categoría[Cat],"NA",0)</x:f>
        <x:v>#NAME?</x:v>
      </x:c>
      <x:c r="B176" s="165" t="s">
        <x:v>247</x:v>
      </x:c>
      <x:c r="C176" s="288" t="e">
        <x:f>_xlfn.XLOOKUP(Matriz[[#This Row],[Parámetro]],Parámetro[Parámetro],Parámetro[Par],0,0)</x:f>
        <x:v>#NAME?</x:v>
      </x:c>
      <x:c r="D176" s="165" t="s">
        <x:v>316</x:v>
      </x:c>
      <x:c r="E176" s="165" t="e">
        <x:f>Matriz[[#This Row],[Cat]]&amp;IF(Matriz[[#This Row],[Par]]=0,"","."&amp;Matriz[[#This Row],[Par]]&amp;"."&amp;TEXT(COUNTIFS(A$2:A176,Matriz[[#This Row],[Cat]],C$2:C176,Matriz[[#This Row],[Par]]),"000"))</x:f>
        <x:v>#NAME?</x:v>
      </x:c>
      <x:c r="F176" s="289" t="e">
        <x:f>IF(LEN(Matriz[[#This Row],[EDT]])=1,COUNTIF(Matriz[EDT],"?????????*"),IF(LEN(Matriz[[#This Row],[EDT]])=2,COUNTIF(Matriz[EDT],Matriz[[#This Row],[Cat]]&amp;"*")-1,0))</x:f>
        <x:v>#NAME?</x:v>
      </x:c>
      <x:c r="G176" s="165" t="e">
        <x:f>IF(Matriz[[#This Row],['# reque-rimientos]]&gt;0,"Sí","No")</x:f>
        <x:v>#REF!</x:v>
      </x:c>
      <x:c r="H176" s="165" t="e">
        <x:f>IF(Matriz[[#This Row],[Cat]]="0",0,IF(Matriz[[#This Row],[Par]]=0,1,LEN(Matriz[[#This Row],[EDT]])-LEN(SUBSTITUTE(Matriz[[#This Row],[EDT]],".",""))))</x:f>
        <x:v>#NAME?</x:v>
      </x:c>
      <x:c r="I176" s="13" t="s">
        <x:v>338</x:v>
      </x:c>
      <x:c r="M176" s="13" t="s">
        <x:v>120</x:v>
      </x:c>
      <x:c r="O176" s="165">
        <x:v>1</x:v>
      </x:c>
      <x:c r="R176" s="13">
        <x:v>9</x:v>
      </x:c>
      <x:c r="S176" s="13" t="s">
        <x:v>118</x:v>
      </x:c>
      <x:c r="X176" s="284" t="str">
        <x:v>Oracle Primavera Cloud + Unifier + Aconex + APIs/Gateway/ETL</x:v>
      </x:c>
      <x:c r="Y176" s="285"/>
      <x:c r="Z176" s="284"/>
      <x:c r="AA176" s="13"/>
      <x:c r="AB176" s="286"/>
    </x:row>
    <x:row r="177">
      <x:c r="A177" s="290" t="e">
        <x:f>_xlfn.XLOOKUP(Matriz[[#This Row],[Categoría]],Categoría[Categoría],Categoría[Cat],"NA",0)</x:f>
        <x:v>#NAME?</x:v>
      </x:c>
      <x:c r="B177" s="165" t="s">
        <x:v>247</x:v>
      </x:c>
      <x:c r="C177" s="288" t="e">
        <x:f>_xlfn.XLOOKUP(Matriz[[#This Row],[Parámetro]],Parámetro[Parámetro],Parámetro[Par],0,0)</x:f>
        <x:v>#NAME?</x:v>
      </x:c>
      <x:c r="D177" s="165" t="s">
        <x:v>316</x:v>
      </x:c>
      <x:c r="E177" s="165" t="e">
        <x:f>Matriz[[#This Row],[Cat]]&amp;IF(Matriz[[#This Row],[Par]]=0,"","."&amp;Matriz[[#This Row],[Par]]&amp;"."&amp;TEXT(COUNTIFS(A$2:A177,Matriz[[#This Row],[Cat]],C$2:C177,Matriz[[#This Row],[Par]]),"000"))</x:f>
        <x:v>#NAME?</x:v>
      </x:c>
      <x:c r="F177" s="289" t="e">
        <x:f>IF(LEN(Matriz[[#This Row],[EDT]])=1,COUNTIF(Matriz[EDT],"?????????*"),IF(LEN(Matriz[[#This Row],[EDT]])=2,COUNTIF(Matriz[EDT],Matriz[[#This Row],[Cat]]&amp;"*")-1,0))</x:f>
        <x:v>#NAME?</x:v>
      </x:c>
      <x:c r="G177" s="165" t="e">
        <x:f>IF(Matriz[[#This Row],['# reque-rimientos]]&gt;0,"Sí","No")</x:f>
        <x:v>#REF!</x:v>
      </x:c>
      <x:c r="H177" s="165" t="e">
        <x:f>IF(Matriz[[#This Row],[Cat]]="0",0,IF(Matriz[[#This Row],[Par]]=0,1,LEN(Matriz[[#This Row],[EDT]])-LEN(SUBSTITUTE(Matriz[[#This Row],[EDT]],".",""))))</x:f>
        <x:v>#NAME?</x:v>
      </x:c>
      <x:c r="I177" s="13" t="s">
        <x:v>339</x:v>
      </x:c>
      <x:c r="M177" s="13" t="s">
        <x:v>120</x:v>
      </x:c>
      <x:c r="O177" s="165">
        <x:v>1</x:v>
      </x:c>
      <x:c r="R177" s="13">
        <x:v>9</x:v>
      </x:c>
      <x:c r="S177" s="13" t="s">
        <x:v>118</x:v>
      </x:c>
      <x:c r="X177" s="284" t="str">
        <x:v>Oracle Primavera Cloud + Unifier + Aconex + APIs/Gateway/ETL</x:v>
      </x:c>
      <x:c r="Y177" s="285"/>
      <x:c r="Z177" s="284"/>
      <x:c r="AA177" s="13"/>
      <x:c r="AB177" s="286"/>
    </x:row>
    <x:row r="178" hidden="1">
      <x:c r="A178" s="290" t="e">
        <x:f>_xlfn.XLOOKUP(Matriz[[#This Row],[Categoría]],Categoría[Categoría],Categoría[Cat],"NA",0)</x:f>
        <x:v>#NAME?</x:v>
      </x:c>
      <x:c r="B178" s="165" t="s">
        <x:v>247</x:v>
      </x:c>
      <x:c r="C178" s="288" t="e">
        <x:f>_xlfn.XLOOKUP(Matriz[[#This Row],[Parámetro]],Parámetro[Parámetro],Parámetro[Par],0,0)</x:f>
        <x:v>#NAME?</x:v>
      </x:c>
      <x:c r="D178" s="165" t="s">
        <x:v>316</x:v>
      </x:c>
      <x:c r="E178" s="165" t="e">
        <x:f>Matriz[[#This Row],[Cat]]&amp;IF(Matriz[[#This Row],[Par]]=0,"","."&amp;Matriz[[#This Row],[Par]]&amp;"."&amp;TEXT(COUNTIFS(A$2:A178,Matriz[[#This Row],[Cat]],C$2:C178,Matriz[[#This Row],[Par]]),"000"))</x:f>
        <x:v>#NAME?</x:v>
      </x:c>
      <x:c r="F178" s="289" t="e">
        <x:f>IF(LEN(Matriz[[#This Row],[EDT]])=1,COUNTIF(Matriz[EDT],"?????????*"),IF(LEN(Matriz[[#This Row],[EDT]])=2,COUNTIF(Matriz[EDT],Matriz[[#This Row],[Cat]]&amp;"*")-1,0))</x:f>
        <x:v>#NAME?</x:v>
      </x:c>
      <x:c r="G178" s="165" t="e">
        <x:f>IF(Matriz[[#This Row],['# reque-rimientos]]&gt;0,"Sí","No")</x:f>
        <x:v>#REF!</x:v>
      </x:c>
      <x:c r="H178" s="165" t="e">
        <x:f>IF(Matriz[[#This Row],[Cat]]="0",0,IF(Matriz[[#This Row],[Par]]=0,1,LEN(Matriz[[#This Row],[EDT]])-LEN(SUBSTITUTE(Matriz[[#This Row],[EDT]],".",""))))</x:f>
        <x:v>#NAME?</x:v>
      </x:c>
      <x:c r="I178" s="13" t="s">
        <x:v>340</x:v>
      </x:c>
      <x:c r="M178" s="13" t="s">
        <x:v>120</x:v>
      </x:c>
      <x:c r="O178" s="165">
        <x:v>2</x:v>
      </x:c>
      <x:c r="R178" s="13">
        <x:v>7</x:v>
      </x:c>
      <x:c r="S178" s="13" t="s">
        <x:v>83</x:v>
      </x:c>
      <x:c r="X178" s="284" t="str">
        <x:v>Oracle Primavera Cloud + Unifier + Aconex + APIs/Gateway/ETL</x:v>
      </x:c>
      <x:c r="Y178" s="285"/>
      <x:c r="Z178" s="284"/>
      <x:c r="AA178" s="13"/>
      <x:c r="AB178" s="286"/>
    </x:row>
    <x:row r="179" ht="33.75">
      <x:c r="A179" s="290" t="e">
        <x:f>_xlfn.XLOOKUP(Matriz[[#This Row],[Categoría]],Categoría[Categoría],Categoría[Cat],"NA",0)</x:f>
        <x:v>#NAME?</x:v>
      </x:c>
      <x:c r="B179" s="165" t="s">
        <x:v>247</x:v>
      </x:c>
      <x:c r="C179" s="288" t="e">
        <x:f>_xlfn.XLOOKUP(Matriz[[#This Row],[Parámetro]],Parámetro[Parámetro],Parámetro[Par],0,0)</x:f>
        <x:v>#NAME?</x:v>
      </x:c>
      <x:c r="D179" s="165" t="s">
        <x:v>316</x:v>
      </x:c>
      <x:c r="E179" s="165" t="e">
        <x:f>Matriz[[#This Row],[Cat]]&amp;IF(Matriz[[#This Row],[Par]]=0,"","."&amp;Matriz[[#This Row],[Par]]&amp;"."&amp;TEXT(COUNTIFS(A$2:A179,Matriz[[#This Row],[Cat]],C$2:C179,Matriz[[#This Row],[Par]]),"000"))</x:f>
        <x:v>#NAME?</x:v>
      </x:c>
      <x:c r="F179" s="289" t="e">
        <x:f>IF(LEN(Matriz[[#This Row],[EDT]])=1,COUNTIF(Matriz[EDT],"?????????*"),IF(LEN(Matriz[[#This Row],[EDT]])=2,COUNTIF(Matriz[EDT],Matriz[[#This Row],[Cat]]&amp;"*")-1,0))</x:f>
        <x:v>#NAME?</x:v>
      </x:c>
      <x:c r="G179" s="165" t="e">
        <x:f>IF(Matriz[[#This Row],['# reque-rimientos]]&gt;0,"Sí","No")</x:f>
        <x:v>#REF!</x:v>
      </x:c>
      <x:c r="H179" s="165" t="e">
        <x:f>IF(Matriz[[#This Row],[Cat]]="0",0,IF(Matriz[[#This Row],[Par]]=0,1,LEN(Matriz[[#This Row],[EDT]])-LEN(SUBSTITUTE(Matriz[[#This Row],[EDT]],".",""))))</x:f>
        <x:v>#NAME?</x:v>
      </x:c>
      <x:c r="I179" s="13" t="s">
        <x:v>341</x:v>
      </x:c>
      <x:c r="M179" s="13" t="s">
        <x:v>120</x:v>
      </x:c>
      <x:c r="N179" s="13" t="s">
        <x:v>342</x:v>
      </x:c>
      <x:c r="O179" s="165">
        <x:v>1</x:v>
      </x:c>
      <x:c r="R179" s="13">
        <x:v>9</x:v>
      </x:c>
      <x:c r="S179" s="13" t="s">
        <x:v>118</x:v>
      </x:c>
      <x:c r="X179" s="284" t="str">
        <x:v>Oracle Primavera Cloud + Unifier + Aconex + APIs/Gateway/ETL</x:v>
      </x:c>
      <x:c r="Y179" s="285"/>
      <x:c r="Z179" s="284"/>
      <x:c r="AA179" s="13"/>
      <x:c r="AB179" s="286"/>
    </x:row>
    <x:row r="180">
      <x:c r="A180" s="290" t="e">
        <x:f>_xlfn.XLOOKUP(Matriz[[#This Row],[Categoría]],Categoría[Categoría],Categoría[Cat],"NA",0)</x:f>
        <x:v>#NAME?</x:v>
      </x:c>
      <x:c r="B180" s="165" t="s">
        <x:v>247</x:v>
      </x:c>
      <x:c r="C180" s="288" t="e">
        <x:f>_xlfn.XLOOKUP(Matriz[[#This Row],[Parámetro]],Parámetro[Parámetro],Parámetro[Par],0,0)</x:f>
        <x:v>#NAME?</x:v>
      </x:c>
      <x:c r="D180" s="165" t="s">
        <x:v>316</x:v>
      </x:c>
      <x:c r="E180" s="165" t="e">
        <x:f>Matriz[[#This Row],[Cat]]&amp;IF(Matriz[[#This Row],[Par]]=0,"","."&amp;Matriz[[#This Row],[Par]]&amp;"."&amp;TEXT(COUNTIFS(A$2:A180,Matriz[[#This Row],[Cat]],C$2:C180,Matriz[[#This Row],[Par]]),"000"))</x:f>
        <x:v>#NAME?</x:v>
      </x:c>
      <x:c r="F180" s="289" t="e">
        <x:f>IF(LEN(Matriz[[#This Row],[EDT]])=1,COUNTIF(Matriz[EDT],"?????????*"),IF(LEN(Matriz[[#This Row],[EDT]])=2,COUNTIF(Matriz[EDT],Matriz[[#This Row],[Cat]]&amp;"*")-1,0))</x:f>
        <x:v>#NAME?</x:v>
      </x:c>
      <x:c r="G180" s="165" t="e">
        <x:f>IF(Matriz[[#This Row],['# reque-rimientos]]&gt;0,"Sí","No")</x:f>
        <x:v>#REF!</x:v>
      </x:c>
      <x:c r="H180" s="165" t="e">
        <x:f>IF(Matriz[[#This Row],[Cat]]="0",0,IF(Matriz[[#This Row],[Par]]=0,1,LEN(Matriz[[#This Row],[EDT]])-LEN(SUBSTITUTE(Matriz[[#This Row],[EDT]],".",""))))</x:f>
        <x:v>#NAME?</x:v>
      </x:c>
      <x:c r="I180" s="13" t="s">
        <x:v>343</x:v>
      </x:c>
      <x:c r="M180" s="13" t="s">
        <x:v>120</x:v>
      </x:c>
      <x:c r="O180" s="165">
        <x:v>1</x:v>
      </x:c>
      <x:c r="R180" s="13">
        <x:v>9</x:v>
      </x:c>
      <x:c r="S180" s="13" t="s">
        <x:v>118</x:v>
      </x:c>
      <x:c r="X180" s="284" t="str">
        <x:v>Oracle Primavera Cloud + Unifier + Aconex + APIs/Gateway/ETL</x:v>
      </x:c>
      <x:c r="Y180" s="285"/>
      <x:c r="Z180" s="284"/>
      <x:c r="AA180" s="13"/>
      <x:c r="AB180" s="286"/>
    </x:row>
    <x:row r="181" hidden="1">
      <x:c r="A181" s="290" t="e">
        <x:f>_xlfn.XLOOKUP(Matriz[[#This Row],[Categoría]],Categoría[Categoría],Categoría[Cat],"NA",0)</x:f>
        <x:v>#NAME?</x:v>
      </x:c>
      <x:c r="B181" s="165" t="s">
        <x:v>247</x:v>
      </x:c>
      <x:c r="C181" s="288" t="e">
        <x:f>_xlfn.XLOOKUP(Matriz[[#This Row],[Parámetro]],Parámetro[Parámetro],Parámetro[Par],0,0)</x:f>
        <x:v>#NAME?</x:v>
      </x:c>
      <x:c r="D181" s="165" t="s">
        <x:v>316</x:v>
      </x:c>
      <x:c r="E181" s="165" t="e">
        <x:f>Matriz[[#This Row],[Cat]]&amp;IF(Matriz[[#This Row],[Par]]=0,"","."&amp;Matriz[[#This Row],[Par]]&amp;"."&amp;TEXT(COUNTIFS(A$2:A181,Matriz[[#This Row],[Cat]],C$2:C181,Matriz[[#This Row],[Par]]),"000"))</x:f>
        <x:v>#NAME?</x:v>
      </x:c>
      <x:c r="F181" s="289" t="e">
        <x:f>IF(LEN(Matriz[[#This Row],[EDT]])=1,COUNTIF(Matriz[EDT],"?????????*"),IF(LEN(Matriz[[#This Row],[EDT]])=2,COUNTIF(Matriz[EDT],Matriz[[#This Row],[Cat]]&amp;"*")-1,0))</x:f>
        <x:v>#NAME?</x:v>
      </x:c>
      <x:c r="G181" s="165" t="e">
        <x:f>IF(Matriz[[#This Row],['# reque-rimientos]]&gt;0,"Sí","No")</x:f>
        <x:v>#REF!</x:v>
      </x:c>
      <x:c r="H181" s="165" t="e">
        <x:f>IF(Matriz[[#This Row],[Cat]]="0",0,IF(Matriz[[#This Row],[Par]]=0,1,LEN(Matriz[[#This Row],[EDT]])-LEN(SUBSTITUTE(Matriz[[#This Row],[EDT]],".",""))))</x:f>
        <x:v>#NAME?</x:v>
      </x:c>
      <x:c r="I181" s="13" t="s">
        <x:v>344</x:v>
      </x:c>
      <x:c r="M181" s="13" t="s">
        <x:v>120</x:v>
      </x:c>
      <x:c r="O181" s="165">
        <x:v>2</x:v>
      </x:c>
      <x:c r="R181" s="13">
        <x:v>7</x:v>
      </x:c>
      <x:c r="S181" s="13" t="s">
        <x:v>118</x:v>
      </x:c>
      <x:c r="X181" s="284" t="str">
        <x:v>Oracle Primavera Cloud + Unifier + Aconex + APIs/Gateway/ETL</x:v>
      </x:c>
      <x:c r="Y181" s="285"/>
      <x:c r="Z181" s="284"/>
      <x:c r="AA181" s="13"/>
      <x:c r="AB181" s="286"/>
    </x:row>
    <x:row r="182">
      <x:c r="A182" s="290" t="e">
        <x:f>_xlfn.XLOOKUP(Matriz[[#This Row],[Categoría]],Categoría[Categoría],Categoría[Cat],"NA",0)</x:f>
        <x:v>#NAME?</x:v>
      </x:c>
      <x:c r="B182" s="165" t="s">
        <x:v>247</x:v>
      </x:c>
      <x:c r="C182" s="288" t="e">
        <x:f>_xlfn.XLOOKUP(Matriz[[#This Row],[Parámetro]],Parámetro[Parámetro],Parámetro[Par],0,0)</x:f>
        <x:v>#NAME?</x:v>
      </x:c>
      <x:c r="D182" s="165" t="s">
        <x:v>316</x:v>
      </x:c>
      <x:c r="E182" s="165" t="e">
        <x:f>Matriz[[#This Row],[Cat]]&amp;IF(Matriz[[#This Row],[Par]]=0,"","."&amp;Matriz[[#This Row],[Par]]&amp;"."&amp;TEXT(COUNTIFS(A$2:A182,Matriz[[#This Row],[Cat]],C$2:C182,Matriz[[#This Row],[Par]]),"000"))</x:f>
        <x:v>#NAME?</x:v>
      </x:c>
      <x:c r="F182" s="289" t="e">
        <x:f>IF(LEN(Matriz[[#This Row],[EDT]])=1,COUNTIF(Matriz[EDT],"?????????*"),IF(LEN(Matriz[[#This Row],[EDT]])=2,COUNTIF(Matriz[EDT],Matriz[[#This Row],[Cat]]&amp;"*")-1,0))</x:f>
        <x:v>#NAME?</x:v>
      </x:c>
      <x:c r="G182" s="165" t="e">
        <x:f>IF(Matriz[[#This Row],['# reque-rimientos]]&gt;0,"Sí","No")</x:f>
        <x:v>#REF!</x:v>
      </x:c>
      <x:c r="H182" s="165" t="e">
        <x:f>IF(Matriz[[#This Row],[Cat]]="0",0,IF(Matriz[[#This Row],[Par]]=0,1,LEN(Matriz[[#This Row],[EDT]])-LEN(SUBSTITUTE(Matriz[[#This Row],[EDT]],".",""))))</x:f>
        <x:v>#NAME?</x:v>
      </x:c>
      <x:c r="I182" s="13" t="s">
        <x:v>345</x:v>
      </x:c>
      <x:c r="M182" s="13" t="s">
        <x:v>120</x:v>
      </x:c>
      <x:c r="O182" s="165">
        <x:v>1</x:v>
      </x:c>
      <x:c r="R182" s="13">
        <x:v>9</x:v>
      </x:c>
      <x:c r="S182" s="13" t="s">
        <x:v>118</x:v>
      </x:c>
      <x:c r="X182" s="284" t="str">
        <x:v>Oracle Primavera Cloud + Unifier + Aconex + APIs/Gateway/ETL</x:v>
      </x:c>
      <x:c r="Y182" s="285"/>
      <x:c r="Z182" s="284"/>
      <x:c r="AA182" s="13"/>
      <x:c r="AB182" s="286"/>
    </x:row>
    <x:row r="183" ht="22.5">
      <x:c r="A183" s="290" t="e">
        <x:f>_xlfn.XLOOKUP(Matriz[[#This Row],[Categoría]],Categoría[Categoría],Categoría[Cat],"NA",0)</x:f>
        <x:v>#NAME?</x:v>
      </x:c>
      <x:c r="B183" s="165" t="s">
        <x:v>247</x:v>
      </x:c>
      <x:c r="C183" s="288" t="e">
        <x:f>_xlfn.XLOOKUP(Matriz[[#This Row],[Parámetro]],Parámetro[Parámetro],Parámetro[Par],0,0)</x:f>
        <x:v>#NAME?</x:v>
      </x:c>
      <x:c r="D183" s="165" t="s">
        <x:v>316</x:v>
      </x:c>
      <x:c r="E183" s="165" t="e">
        <x:f>Matriz[[#This Row],[Cat]]&amp;IF(Matriz[[#This Row],[Par]]=0,"","."&amp;Matriz[[#This Row],[Par]]&amp;"."&amp;TEXT(COUNTIFS(A$2:A183,Matriz[[#This Row],[Cat]],C$2:C183,Matriz[[#This Row],[Par]]),"000"))</x:f>
        <x:v>#NAME?</x:v>
      </x:c>
      <x:c r="F183" s="289" t="e">
        <x:f>IF(LEN(Matriz[[#This Row],[EDT]])=1,COUNTIF(Matriz[EDT],"?????????*"),IF(LEN(Matriz[[#This Row],[EDT]])=2,COUNTIF(Matriz[EDT],Matriz[[#This Row],[Cat]]&amp;"*")-1,0))</x:f>
        <x:v>#NAME?</x:v>
      </x:c>
      <x:c r="G183" s="165" t="e">
        <x:f>IF(Matriz[[#This Row],['# reque-rimientos]]&gt;0,"Sí","No")</x:f>
        <x:v>#REF!</x:v>
      </x:c>
      <x:c r="H183" s="165" t="e">
        <x:f>IF(Matriz[[#This Row],[Cat]]="0",0,IF(Matriz[[#This Row],[Par]]=0,1,LEN(Matriz[[#This Row],[EDT]])-LEN(SUBSTITUTE(Matriz[[#This Row],[EDT]],".",""))))</x:f>
        <x:v>#NAME?</x:v>
      </x:c>
      <x:c r="I183" s="13" t="s">
        <x:v>346</x:v>
      </x:c>
      <x:c r="M183" s="13" t="s">
        <x:v>120</x:v>
      </x:c>
      <x:c r="O183" s="165">
        <x:v>1</x:v>
      </x:c>
      <x:c r="R183" s="13">
        <x:v>9</x:v>
      </x:c>
      <x:c r="S183" s="13" t="s">
        <x:v>118</x:v>
      </x:c>
      <x:c r="W183" s="13" t="s">
        <x:v>347</x:v>
      </x:c>
      <x:c r="X183" s="284" t="str">
        <x:v>Oracle Primavera Cloud + Unifier + Aconex + APIs/Gateway/ETL</x:v>
      </x:c>
      <x:c r="Y183" s="285"/>
      <x:c r="Z183" s="284"/>
      <x:c r="AA183" s="13"/>
      <x:c r="AB183" s="286"/>
    </x:row>
    <x:row r="184">
      <x:c r="A184" s="290" t="e">
        <x:f>_xlfn.XLOOKUP(Matriz[[#This Row],[Categoría]],Categoría[Categoría],Categoría[Cat],"NA",0)</x:f>
        <x:v>#NAME?</x:v>
      </x:c>
      <x:c r="B184" s="165" t="s">
        <x:v>247</x:v>
      </x:c>
      <x:c r="C184" s="288" t="e">
        <x:f>_xlfn.XLOOKUP(Matriz[[#This Row],[Parámetro]],Parámetro[Parámetro],Parámetro[Par],0,0)</x:f>
        <x:v>#NAME?</x:v>
      </x:c>
      <x:c r="D184" s="165" t="s">
        <x:v>316</x:v>
      </x:c>
      <x:c r="E184" s="165" t="e">
        <x:f>Matriz[[#This Row],[Cat]]&amp;IF(Matriz[[#This Row],[Par]]=0,"","."&amp;Matriz[[#This Row],[Par]]&amp;"."&amp;TEXT(COUNTIFS(A$2:A184,Matriz[[#This Row],[Cat]],C$2:C184,Matriz[[#This Row],[Par]]),"000"))</x:f>
        <x:v>#NAME?</x:v>
      </x:c>
      <x:c r="F184" s="289" t="e">
        <x:f>IF(LEN(Matriz[[#This Row],[EDT]])=1,COUNTIF(Matriz[EDT],"?????????*"),IF(LEN(Matriz[[#This Row],[EDT]])=2,COUNTIF(Matriz[EDT],Matriz[[#This Row],[Cat]]&amp;"*")-1,0))</x:f>
        <x:v>#NAME?</x:v>
      </x:c>
      <x:c r="G184" s="165" t="e">
        <x:f>IF(Matriz[[#This Row],['# reque-rimientos]]&gt;0,"Sí","No")</x:f>
        <x:v>#REF!</x:v>
      </x:c>
      <x:c r="H184" s="165" t="e">
        <x:f>IF(Matriz[[#This Row],[Cat]]="0",0,IF(Matriz[[#This Row],[Par]]=0,1,LEN(Matriz[[#This Row],[EDT]])-LEN(SUBSTITUTE(Matriz[[#This Row],[EDT]],".",""))))</x:f>
        <x:v>#NAME?</x:v>
      </x:c>
      <x:c r="I184" s="13" t="s">
        <x:v>348</x:v>
      </x:c>
      <x:c r="M184" s="13" t="s">
        <x:v>120</x:v>
      </x:c>
      <x:c r="O184" s="165">
        <x:v>1</x:v>
      </x:c>
      <x:c r="R184" s="13">
        <x:v>9</x:v>
      </x:c>
      <x:c r="S184" s="13" t="s">
        <x:v>118</x:v>
      </x:c>
      <x:c r="X184" s="284" t="str">
        <x:v>Oracle Primavera Cloud + Unifier + Aconex + APIs/Gateway/ETL</x:v>
      </x:c>
      <x:c r="Y184" s="285"/>
      <x:c r="Z184" s="284"/>
      <x:c r="AA184" s="13"/>
      <x:c r="AB184" s="286"/>
    </x:row>
    <x:row r="185" ht="22.5" hidden="1">
      <x:c r="A185" s="290" t="e">
        <x:f>_xlfn.XLOOKUP(Matriz[[#This Row],[Categoría]],Categoría[Categoría],Categoría[Cat],"NA",0)</x:f>
        <x:v>#NAME?</x:v>
      </x:c>
      <x:c r="B185" s="165" t="s">
        <x:v>247</x:v>
      </x:c>
      <x:c r="C185" s="288" t="e">
        <x:f>_xlfn.XLOOKUP(Matriz[[#This Row],[Parámetro]],Parámetro[Parámetro],Parámetro[Par],0,0)</x:f>
        <x:v>#NAME?</x:v>
      </x:c>
      <x:c r="D185" s="165" t="s">
        <x:v>316</x:v>
      </x:c>
      <x:c r="E185" s="165" t="e">
        <x:f>Matriz[[#This Row],[Cat]]&amp;IF(Matriz[[#This Row],[Par]]=0,"","."&amp;Matriz[[#This Row],[Par]]&amp;"."&amp;TEXT(COUNTIFS(A$2:A185,Matriz[[#This Row],[Cat]],C$2:C185,Matriz[[#This Row],[Par]]),"000"))</x:f>
        <x:v>#NAME?</x:v>
      </x:c>
      <x:c r="F185" s="289" t="e">
        <x:f>IF(LEN(Matriz[[#This Row],[EDT]])=1,COUNTIF(Matriz[EDT],"?????????*"),IF(LEN(Matriz[[#This Row],[EDT]])=2,COUNTIF(Matriz[EDT],Matriz[[#This Row],[Cat]]&amp;"*")-1,0))</x:f>
        <x:v>#NAME?</x:v>
      </x:c>
      <x:c r="G185" s="165" t="e">
        <x:f>IF(Matriz[[#This Row],['# reque-rimientos]]&gt;0,"Sí","No")</x:f>
        <x:v>#REF!</x:v>
      </x:c>
      <x:c r="H185" s="165" t="e">
        <x:f>IF(Matriz[[#This Row],[Cat]]="0",0,IF(Matriz[[#This Row],[Par]]=0,1,LEN(Matriz[[#This Row],[EDT]])-LEN(SUBSTITUTE(Matriz[[#This Row],[EDT]],".",""))))</x:f>
        <x:v>#NAME?</x:v>
      </x:c>
      <x:c r="I185" s="13" t="s">
        <x:v>349</x:v>
      </x:c>
      <x:c r="M185" s="13" t="s">
        <x:v>120</x:v>
      </x:c>
      <x:c r="N185" s="13" t="s">
        <x:v>350</x:v>
      </x:c>
      <x:c r="O185" s="165">
        <x:v>2</x:v>
      </x:c>
      <x:c r="R185" s="13">
        <x:v>7</x:v>
      </x:c>
      <x:c r="S185" s="13" t="s">
        <x:v>118</x:v>
      </x:c>
      <x:c r="X185" s="284" t="str">
        <x:v>Oracle Primavera Cloud + Unifier + Aconex + APIs/Gateway/ETL</x:v>
      </x:c>
      <x:c r="Y185" s="285"/>
      <x:c r="Z185" s="284"/>
      <x:c r="AA185" s="13"/>
      <x:c r="AB185" s="286"/>
    </x:row>
    <x:row r="186" ht="33.75" hidden="1">
      <x:c r="A186" s="290" t="e">
        <x:f>_xlfn.XLOOKUP(Matriz[[#This Row],[Categoría]],Categoría[Categoría],Categoría[Cat],"NA",0)</x:f>
        <x:v>#NAME?</x:v>
      </x:c>
      <x:c r="B186" s="165" t="s">
        <x:v>247</x:v>
      </x:c>
      <x:c r="C186" s="288" t="e">
        <x:f>_xlfn.XLOOKUP(Matriz[[#This Row],[Parámetro]],Parámetro[Parámetro],Parámetro[Par],0,0)</x:f>
        <x:v>#NAME?</x:v>
      </x:c>
      <x:c r="D186" s="165" t="s">
        <x:v>316</x:v>
      </x:c>
      <x:c r="E186" s="165" t="e">
        <x:f>Matriz[[#This Row],[Cat]]&amp;IF(Matriz[[#This Row],[Par]]=0,"","."&amp;Matriz[[#This Row],[Par]]&amp;"."&amp;TEXT(COUNTIFS(A$2:A186,Matriz[[#This Row],[Cat]],C$2:C186,Matriz[[#This Row],[Par]]),"000"))</x:f>
        <x:v>#NAME?</x:v>
      </x:c>
      <x:c r="F186" s="289" t="e">
        <x:f>IF(LEN(Matriz[[#This Row],[EDT]])=1,COUNTIF(Matriz[EDT],"?????????*"),IF(LEN(Matriz[[#This Row],[EDT]])=2,COUNTIF(Matriz[EDT],Matriz[[#This Row],[Cat]]&amp;"*")-1,0))</x:f>
        <x:v>#NAME?</x:v>
      </x:c>
      <x:c r="G186" s="165" t="e">
        <x:f>IF(Matriz[[#This Row],['# reque-rimientos]]&gt;0,"Sí","No")</x:f>
        <x:v>#REF!</x:v>
      </x:c>
      <x:c r="H186" s="165" t="e">
        <x:f>IF(Matriz[[#This Row],[Cat]]="0",0,IF(Matriz[[#This Row],[Par]]=0,1,LEN(Matriz[[#This Row],[EDT]])-LEN(SUBSTITUTE(Matriz[[#This Row],[EDT]],".",""))))</x:f>
        <x:v>#NAME?</x:v>
      </x:c>
      <x:c r="I186" s="13" t="s">
        <x:v>351</x:v>
      </x:c>
      <x:c r="M186" s="13" t="s">
        <x:v>120</x:v>
      </x:c>
      <x:c r="N186" s="13" t="s">
        <x:v>352</x:v>
      </x:c>
      <x:c r="O186" s="165">
        <x:v>2</x:v>
      </x:c>
      <x:c r="R186" s="13">
        <x:v>7</x:v>
      </x:c>
      <x:c r="S186" s="13" t="s">
        <x:v>83</x:v>
      </x:c>
      <x:c r="X186" s="284" t="str">
        <x:v>Oracle Primavera Cloud + Unifier + Aconex + APIs/Gateway/ETL</x:v>
      </x:c>
      <x:c r="Y186" s="285"/>
      <x:c r="Z186" s="284"/>
      <x:c r="AA186" s="13"/>
      <x:c r="AB186" s="286"/>
    </x:row>
    <x:row r="187" ht="22.5">
      <x:c r="A187" s="290" t="e">
        <x:f>_xlfn.XLOOKUP(Matriz[[#This Row],[Categoría]],Categoría[Categoría],Categoría[Cat],"NA",0)</x:f>
        <x:v>#NAME?</x:v>
      </x:c>
      <x:c r="B187" s="165" t="s">
        <x:v>247</x:v>
      </x:c>
      <x:c r="C187" s="288" t="e">
        <x:f>_xlfn.XLOOKUP(Matriz[[#This Row],[Parámetro]],Parámetro[Parámetro],Parámetro[Par],0,0)</x:f>
        <x:v>#NAME?</x:v>
      </x:c>
      <x:c r="D187" s="165" t="s">
        <x:v>316</x:v>
      </x:c>
      <x:c r="E187" s="165" t="e">
        <x:f>Matriz[[#This Row],[Cat]]&amp;IF(Matriz[[#This Row],[Par]]=0,"","."&amp;Matriz[[#This Row],[Par]]&amp;"."&amp;TEXT(COUNTIFS(A$2:A187,Matriz[[#This Row],[Cat]],C$2:C187,Matriz[[#This Row],[Par]]),"000"))</x:f>
        <x:v>#NAME?</x:v>
      </x:c>
      <x:c r="F187" s="289" t="e">
        <x:f>IF(LEN(Matriz[[#This Row],[EDT]])=1,COUNTIF(Matriz[EDT],"?????????*"),IF(LEN(Matriz[[#This Row],[EDT]])=2,COUNTIF(Matriz[EDT],Matriz[[#This Row],[Cat]]&amp;"*")-1,0))</x:f>
        <x:v>#NAME?</x:v>
      </x:c>
      <x:c r="G187" s="165" t="e">
        <x:f>IF(Matriz[[#This Row],['# reque-rimientos]]&gt;0,"Sí","No")</x:f>
        <x:v>#REF!</x:v>
      </x:c>
      <x:c r="H187" s="165" t="e">
        <x:f>IF(Matriz[[#This Row],[Cat]]="0",0,IF(Matriz[[#This Row],[Par]]=0,1,LEN(Matriz[[#This Row],[EDT]])-LEN(SUBSTITUTE(Matriz[[#This Row],[EDT]],".",""))))</x:f>
        <x:v>#NAME?</x:v>
      </x:c>
      <x:c r="I187" s="13" t="s">
        <x:v>353</x:v>
      </x:c>
      <x:c r="M187" s="13" t="s">
        <x:v>120</x:v>
      </x:c>
      <x:c r="O187" s="165">
        <x:v>1</x:v>
      </x:c>
      <x:c r="R187" s="13">
        <x:v>8</x:v>
      </x:c>
      <x:c r="S187" s="13" t="s">
        <x:v>83</x:v>
      </x:c>
      <x:c r="X187" s="284" t="str">
        <x:v>Oracle Primavera Cloud + Unifier + Aconex + APIs/Gateway/ETL</x:v>
      </x:c>
      <x:c r="Y187" s="285"/>
      <x:c r="Z187" s="284"/>
      <x:c r="AA187" s="13"/>
      <x:c r="AB187" s="286"/>
    </x:row>
    <x:row r="188" ht="33.75">
      <x:c r="A188" s="290" t="e">
        <x:f>_xlfn.XLOOKUP(Matriz[[#This Row],[Categoría]],Categoría[Categoría],Categoría[Cat],"NA",0)</x:f>
        <x:v>#NAME?</x:v>
      </x:c>
      <x:c r="B188" s="165" t="s">
        <x:v>247</x:v>
      </x:c>
      <x:c r="C188" s="288" t="e">
        <x:f>_xlfn.XLOOKUP(Matriz[[#This Row],[Parámetro]],Parámetro[Parámetro],Parámetro[Par],0,0)</x:f>
        <x:v>#NAME?</x:v>
      </x:c>
      <x:c r="D188" s="165" t="s">
        <x:v>316</x:v>
      </x:c>
      <x:c r="E188" s="165" t="e">
        <x:f>Matriz[[#This Row],[Cat]]&amp;IF(Matriz[[#This Row],[Par]]=0,"","."&amp;Matriz[[#This Row],[Par]]&amp;"."&amp;TEXT(COUNTIFS(A$2:A188,Matriz[[#This Row],[Cat]],C$2:C188,Matriz[[#This Row],[Par]]),"000"))</x:f>
        <x:v>#NAME?</x:v>
      </x:c>
      <x:c r="F188" s="289" t="e">
        <x:f>IF(LEN(Matriz[[#This Row],[EDT]])=1,COUNTIF(Matriz[EDT],"?????????*"),IF(LEN(Matriz[[#This Row],[EDT]])=2,COUNTIF(Matriz[EDT],Matriz[[#This Row],[Cat]]&amp;"*")-1,0))</x:f>
        <x:v>#NAME?</x:v>
      </x:c>
      <x:c r="G188" s="165" t="e">
        <x:f>IF(Matriz[[#This Row],['# reque-rimientos]]&gt;0,"Sí","No")</x:f>
        <x:v>#REF!</x:v>
      </x:c>
      <x:c r="H188" s="165" t="e">
        <x:f>IF(Matriz[[#This Row],[Cat]]="0",0,IF(Matriz[[#This Row],[Par]]=0,1,LEN(Matriz[[#This Row],[EDT]])-LEN(SUBSTITUTE(Matriz[[#This Row],[EDT]],".",""))))</x:f>
        <x:v>#NAME?</x:v>
      </x:c>
      <x:c r="I188" s="13" t="s">
        <x:v>354</x:v>
      </x:c>
      <x:c r="M188" s="13" t="s">
        <x:v>120</x:v>
      </x:c>
      <x:c r="N188" s="13" t="s">
        <x:v>355</x:v>
      </x:c>
      <x:c r="O188" s="165">
        <x:v>1</x:v>
      </x:c>
      <x:c r="R188" s="13">
        <x:v>9</x:v>
      </x:c>
      <x:c r="S188" s="13" t="s">
        <x:v>118</x:v>
      </x:c>
      <x:c r="W188" s="13" t="s">
        <x:v>356</x:v>
      </x:c>
      <x:c r="X188" s="284" t="str">
        <x:v>Oracle Primavera Cloud + Unifier + Aconex + APIs/Gateway/ETL</x:v>
      </x:c>
      <x:c r="Y188" s="285"/>
      <x:c r="Z188" s="284"/>
      <x:c r="AA188" s="13"/>
      <x:c r="AB188" s="286"/>
    </x:row>
    <x:row r="189" ht="22.5">
      <x:c r="A189" s="290" t="e">
        <x:f>_xlfn.XLOOKUP(Matriz[[#This Row],[Categoría]],Categoría[Categoría],Categoría[Cat],"NA",0)</x:f>
        <x:v>#NAME?</x:v>
      </x:c>
      <x:c r="B189" s="165" t="s">
        <x:v>247</x:v>
      </x:c>
      <x:c r="C189" s="288" t="e">
        <x:f>_xlfn.XLOOKUP(Matriz[[#This Row],[Parámetro]],Parámetro[Parámetro],Parámetro[Par],0,0)</x:f>
        <x:v>#NAME?</x:v>
      </x:c>
      <x:c r="D189" s="165" t="s">
        <x:v>316</x:v>
      </x:c>
      <x:c r="E189" s="165" t="e">
        <x:f>Matriz[[#This Row],[Cat]]&amp;IF(Matriz[[#This Row],[Par]]=0,"","."&amp;Matriz[[#This Row],[Par]]&amp;"."&amp;TEXT(COUNTIFS(A$2:A189,Matriz[[#This Row],[Cat]],C$2:C189,Matriz[[#This Row],[Par]]),"000"))</x:f>
        <x:v>#NAME?</x:v>
      </x:c>
      <x:c r="F189" s="289" t="e">
        <x:f>IF(LEN(Matriz[[#This Row],[EDT]])=1,COUNTIF(Matriz[EDT],"?????????*"),IF(LEN(Matriz[[#This Row],[EDT]])=2,COUNTIF(Matriz[EDT],Matriz[[#This Row],[Cat]]&amp;"*")-1,0))</x:f>
        <x:v>#NAME?</x:v>
      </x:c>
      <x:c r="G189" s="165" t="e">
        <x:f>IF(Matriz[[#This Row],['# reque-rimientos]]&gt;0,"Sí","No")</x:f>
        <x:v>#REF!</x:v>
      </x:c>
      <x:c r="H189" s="165" t="e">
        <x:f>IF(Matriz[[#This Row],[Cat]]="0",0,IF(Matriz[[#This Row],[Par]]=0,1,LEN(Matriz[[#This Row],[EDT]])-LEN(SUBSTITUTE(Matriz[[#This Row],[EDT]],".",""))))</x:f>
        <x:v>#NAME?</x:v>
      </x:c>
      <x:c r="I189" s="13" t="s">
        <x:v>357</x:v>
      </x:c>
      <x:c r="M189" s="13" t="s">
        <x:v>120</x:v>
      </x:c>
      <x:c r="N189" s="13" t="s">
        <x:v>358</x:v>
      </x:c>
      <x:c r="O189" s="165">
        <x:v>1</x:v>
      </x:c>
      <x:c r="R189" s="13">
        <x:v>9</x:v>
      </x:c>
      <x:c r="S189" s="13" t="s">
        <x:v>118</x:v>
      </x:c>
      <x:c r="W189" s="13" t="s">
        <x:v>359</x:v>
      </x:c>
      <x:c r="X189" s="284" t="str">
        <x:v>Oracle Primavera Cloud + Unifier + Aconex + APIs/Gateway/ETL</x:v>
      </x:c>
      <x:c r="Y189" s="285"/>
      <x:c r="Z189" s="284"/>
      <x:c r="AA189" s="13"/>
      <x:c r="AB189" s="286"/>
    </x:row>
    <x:row r="190" hidden="1">
      <x:c r="A190" s="290" t="e">
        <x:f>_xlfn.XLOOKUP(Matriz[[#This Row],[Categoría]],Categoría[Categoría],Categoría[Cat],"NA",0)</x:f>
        <x:v>#NAME?</x:v>
      </x:c>
      <x:c r="B190" s="165" t="s">
        <x:v>247</x:v>
      </x:c>
      <x:c r="C190" s="288" t="e">
        <x:f>_xlfn.XLOOKUP(Matriz[[#This Row],[Parámetro]],Parámetro[Parámetro],Parámetro[Par],0,0)</x:f>
        <x:v>#NAME?</x:v>
      </x:c>
      <x:c r="D190" s="165" t="s">
        <x:v>316</x:v>
      </x:c>
      <x:c r="E190" s="165" t="e">
        <x:f>Matriz[[#This Row],[Cat]]&amp;IF(Matriz[[#This Row],[Par]]=0,"","."&amp;Matriz[[#This Row],[Par]]&amp;"."&amp;TEXT(COUNTIFS(A$2:A190,Matriz[[#This Row],[Cat]],C$2:C190,Matriz[[#This Row],[Par]]),"000"))</x:f>
        <x:v>#NAME?</x:v>
      </x:c>
      <x:c r="F190" s="289" t="e">
        <x:f>IF(LEN(Matriz[[#This Row],[EDT]])=1,COUNTIF(Matriz[EDT],"?????????*"),IF(LEN(Matriz[[#This Row],[EDT]])=2,COUNTIF(Matriz[EDT],Matriz[[#This Row],[Cat]]&amp;"*")-1,0))</x:f>
        <x:v>#NAME?</x:v>
      </x:c>
      <x:c r="G190" s="165" t="e">
        <x:f>IF(Matriz[[#This Row],['# reque-rimientos]]&gt;0,"Sí","No")</x:f>
        <x:v>#REF!</x:v>
      </x:c>
      <x:c r="H190" s="165" t="e">
        <x:f>IF(Matriz[[#This Row],[Cat]]="0",0,IF(Matriz[[#This Row],[Par]]=0,1,LEN(Matriz[[#This Row],[EDT]])-LEN(SUBSTITUTE(Matriz[[#This Row],[EDT]],".",""))))</x:f>
        <x:v>#NAME?</x:v>
      </x:c>
      <x:c r="I190" s="13" t="s">
        <x:v>360</x:v>
      </x:c>
      <x:c r="M190" s="13" t="s">
        <x:v>120</x:v>
      </x:c>
      <x:c r="O190" s="165">
        <x:v>2</x:v>
      </x:c>
      <x:c r="R190" s="13">
        <x:v>7</x:v>
      </x:c>
      <x:c r="S190" s="13" t="s">
        <x:v>118</x:v>
      </x:c>
      <x:c r="W190" s="13" t="s">
        <x:v>361</x:v>
      </x:c>
      <x:c r="X190" s="284" t="str">
        <x:v>Oracle Primavera Cloud + Unifier + Aconex + APIs/Gateway/ETL</x:v>
      </x:c>
      <x:c r="Y190" s="285"/>
      <x:c r="Z190" s="284"/>
      <x:c r="AA190" s="13"/>
      <x:c r="AB190" s="286"/>
    </x:row>
    <x:row r="191" ht="22.5">
      <x:c r="A191" s="290" t="e">
        <x:f>_xlfn.XLOOKUP(Matriz[[#This Row],[Categoría]],Categoría[Categoría],Categoría[Cat],"NA",0)</x:f>
        <x:v>#NAME?</x:v>
      </x:c>
      <x:c r="B191" s="165" t="s">
        <x:v>247</x:v>
      </x:c>
      <x:c r="C191" s="288" t="e">
        <x:f>_xlfn.XLOOKUP(Matriz[[#This Row],[Parámetro]],Parámetro[Parámetro],Parámetro[Par],0,0)</x:f>
        <x:v>#NAME?</x:v>
      </x:c>
      <x:c r="D191" s="165" t="s">
        <x:v>316</x:v>
      </x:c>
      <x:c r="E191" s="165" t="e">
        <x:f>Matriz[[#This Row],[Cat]]&amp;IF(Matriz[[#This Row],[Par]]=0,"","."&amp;Matriz[[#This Row],[Par]]&amp;"."&amp;TEXT(COUNTIFS(A$2:A191,Matriz[[#This Row],[Cat]],C$2:C191,Matriz[[#This Row],[Par]]),"000"))</x:f>
        <x:v>#NAME?</x:v>
      </x:c>
      <x:c r="F191" s="289" t="e">
        <x:f>IF(LEN(Matriz[[#This Row],[EDT]])=1,COUNTIF(Matriz[EDT],"?????????*"),IF(LEN(Matriz[[#This Row],[EDT]])=2,COUNTIF(Matriz[EDT],Matriz[[#This Row],[Cat]]&amp;"*")-1,0))</x:f>
        <x:v>#NAME?</x:v>
      </x:c>
      <x:c r="G191" s="165" t="e">
        <x:f>IF(Matriz[[#This Row],['# reque-rimientos]]&gt;0,"Sí","No")</x:f>
        <x:v>#REF!</x:v>
      </x:c>
      <x:c r="H191" s="165" t="e">
        <x:f>IF(Matriz[[#This Row],[Cat]]="0",0,IF(Matriz[[#This Row],[Par]]=0,1,LEN(Matriz[[#This Row],[EDT]])-LEN(SUBSTITUTE(Matriz[[#This Row],[EDT]],".",""))))</x:f>
        <x:v>#NAME?</x:v>
      </x:c>
      <x:c r="I191" s="13" t="s">
        <x:v>362</x:v>
      </x:c>
      <x:c r="M191" s="13" t="s">
        <x:v>120</x:v>
      </x:c>
      <x:c r="O191" s="165">
        <x:v>1</x:v>
      </x:c>
      <x:c r="R191" s="13">
        <x:v>9</x:v>
      </x:c>
      <x:c r="S191" s="13" t="s">
        <x:v>83</x:v>
      </x:c>
      <x:c r="X191" s="284" t="str">
        <x:v>Oracle Primavera Cloud + Unifier + Aconex + APIs/Gateway/ETL</x:v>
      </x:c>
      <x:c r="Y191" s="285"/>
      <x:c r="Z191" s="284"/>
      <x:c r="AA191" s="13"/>
      <x:c r="AB191" s="286"/>
    </x:row>
    <x:row r="192">
      <x:c r="A192" s="290" t="e">
        <x:f>_xlfn.XLOOKUP(Matriz[[#This Row],[Categoría]],Categoría[Categoría],Categoría[Cat],"NA",0)</x:f>
        <x:v>#NAME?</x:v>
      </x:c>
      <x:c r="B192" s="165" t="s">
        <x:v>247</x:v>
      </x:c>
      <x:c r="C192" s="288" t="e">
        <x:f>_xlfn.XLOOKUP(Matriz[[#This Row],[Parámetro]],Parámetro[Parámetro],Parámetro[Par],0,0)</x:f>
        <x:v>#NAME?</x:v>
      </x:c>
      <x:c r="D192" s="165" t="s">
        <x:v>316</x:v>
      </x:c>
      <x:c r="E192" s="165" t="e">
        <x:f>Matriz[[#This Row],[Cat]]&amp;IF(Matriz[[#This Row],[Par]]=0,"","."&amp;Matriz[[#This Row],[Par]]&amp;"."&amp;TEXT(COUNTIFS(A$2:A192,Matriz[[#This Row],[Cat]],C$2:C192,Matriz[[#This Row],[Par]]),"000"))</x:f>
        <x:v>#NAME?</x:v>
      </x:c>
      <x:c r="F192" s="289" t="e">
        <x:f>IF(LEN(Matriz[[#This Row],[EDT]])=1,COUNTIF(Matriz[EDT],"?????????*"),IF(LEN(Matriz[[#This Row],[EDT]])=2,COUNTIF(Matriz[EDT],Matriz[[#This Row],[Cat]]&amp;"*")-1,0))</x:f>
        <x:v>#NAME?</x:v>
      </x:c>
      <x:c r="G192" s="165" t="e">
        <x:f>IF(Matriz[[#This Row],['# reque-rimientos]]&gt;0,"Sí","No")</x:f>
        <x:v>#REF!</x:v>
      </x:c>
      <x:c r="H192" s="165" t="e">
        <x:f>IF(Matriz[[#This Row],[Cat]]="0",0,IF(Matriz[[#This Row],[Par]]=0,1,LEN(Matriz[[#This Row],[EDT]])-LEN(SUBSTITUTE(Matriz[[#This Row],[EDT]],".",""))))</x:f>
        <x:v>#NAME?</x:v>
      </x:c>
      <x:c r="I192" s="13" t="s">
        <x:v>363</x:v>
      </x:c>
      <x:c r="M192" s="13" t="s">
        <x:v>120</x:v>
      </x:c>
      <x:c r="O192" s="165">
        <x:v>1</x:v>
      </x:c>
      <x:c r="R192" s="13">
        <x:v>9</x:v>
      </x:c>
      <x:c r="S192" s="13" t="s">
        <x:v>83</x:v>
      </x:c>
      <x:c r="X192" s="284" t="str">
        <x:v>Oracle Primavera Cloud + Unifier + Aconex + APIs/Gateway/ETL</x:v>
      </x:c>
      <x:c r="Y192" s="285"/>
      <x:c r="Z192" s="284"/>
      <x:c r="AA192" s="13"/>
      <x:c r="AB192" s="286"/>
    </x:row>
    <x:row r="193" ht="22.5">
      <x:c r="A193" s="290" t="e">
        <x:f>_xlfn.XLOOKUP(Matriz[[#This Row],[Categoría]],Categoría[Categoría],Categoría[Cat],"NA",0)</x:f>
        <x:v>#NAME?</x:v>
      </x:c>
      <x:c r="B193" s="165" t="s">
        <x:v>247</x:v>
      </x:c>
      <x:c r="C193" s="288" t="e">
        <x:f>_xlfn.XLOOKUP(Matriz[[#This Row],[Parámetro]],Parámetro[Parámetro],Parámetro[Par],0,0)</x:f>
        <x:v>#NAME?</x:v>
      </x:c>
      <x:c r="D193" s="165" t="s">
        <x:v>316</x:v>
      </x:c>
      <x:c r="E193" s="165" t="e">
        <x:f>Matriz[[#This Row],[Cat]]&amp;IF(Matriz[[#This Row],[Par]]=0,"","."&amp;Matriz[[#This Row],[Par]]&amp;"."&amp;TEXT(COUNTIFS(A$2:A193,Matriz[[#This Row],[Cat]],C$2:C193,Matriz[[#This Row],[Par]]),"000"))</x:f>
        <x:v>#NAME?</x:v>
      </x:c>
      <x:c r="F193" s="289" t="e">
        <x:f>IF(LEN(Matriz[[#This Row],[EDT]])=1,COUNTIF(Matriz[EDT],"?????????*"),IF(LEN(Matriz[[#This Row],[EDT]])=2,COUNTIF(Matriz[EDT],Matriz[[#This Row],[Cat]]&amp;"*")-1,0))</x:f>
        <x:v>#NAME?</x:v>
      </x:c>
      <x:c r="G193" s="165" t="e">
        <x:f>IF(Matriz[[#This Row],['# reque-rimientos]]&gt;0,"Sí","No")</x:f>
        <x:v>#REF!</x:v>
      </x:c>
      <x:c r="H193" s="165" t="e">
        <x:f>IF(Matriz[[#This Row],[Cat]]="0",0,IF(Matriz[[#This Row],[Par]]=0,1,LEN(Matriz[[#This Row],[EDT]])-LEN(SUBSTITUTE(Matriz[[#This Row],[EDT]],".",""))))</x:f>
        <x:v>#NAME?</x:v>
      </x:c>
      <x:c r="I193" s="13" t="s">
        <x:v>364</x:v>
      </x:c>
      <x:c r="M193" s="13" t="s">
        <x:v>120</x:v>
      </x:c>
      <x:c r="N193" s="13" t="s">
        <x:v>365</x:v>
      </x:c>
      <x:c r="O193" s="165">
        <x:v>1</x:v>
      </x:c>
      <x:c r="R193" s="13">
        <x:v>9</x:v>
      </x:c>
      <x:c r="S193" s="13" t="s">
        <x:v>38</x:v>
      </x:c>
      <x:c r="X193" s="284" t="str">
        <x:v>Oracle Primavera Cloud + Unifier + Aconex + APIs/Gateway/ETL</x:v>
      </x:c>
      <x:c r="Y193" s="285"/>
      <x:c r="Z193" s="284"/>
      <x:c r="AA193" s="13"/>
      <x:c r="AB193" s="286"/>
    </x:row>
    <x:row r="194">
      <x:c r="A194" s="290" t="e">
        <x:f>_xlfn.XLOOKUP(Matriz[[#This Row],[Categoría]],Categoría[Categoría],Categoría[Cat],"NA",0)</x:f>
        <x:v>#NAME?</x:v>
      </x:c>
      <x:c r="B194" s="165" t="s">
        <x:v>247</x:v>
      </x:c>
      <x:c r="C194" s="288" t="e">
        <x:f>_xlfn.XLOOKUP(Matriz[[#This Row],[Parámetro]],Parámetro[Parámetro],Parámetro[Par],0,0)</x:f>
        <x:v>#NAME?</x:v>
      </x:c>
      <x:c r="D194" s="165" t="s">
        <x:v>316</x:v>
      </x:c>
      <x:c r="E194" s="165" t="e">
        <x:f>Matriz[[#This Row],[Cat]]&amp;IF(Matriz[[#This Row],[Par]]=0,"","."&amp;Matriz[[#This Row],[Par]]&amp;"."&amp;TEXT(COUNTIFS(A$2:A194,Matriz[[#This Row],[Cat]],C$2:C194,Matriz[[#This Row],[Par]]),"000"))</x:f>
        <x:v>#NAME?</x:v>
      </x:c>
      <x:c r="F194" s="289" t="e">
        <x:f>IF(LEN(Matriz[[#This Row],[EDT]])=1,COUNTIF(Matriz[EDT],"?????????*"),IF(LEN(Matriz[[#This Row],[EDT]])=2,COUNTIF(Matriz[EDT],Matriz[[#This Row],[Cat]]&amp;"*")-1,0))</x:f>
        <x:v>#NAME?</x:v>
      </x:c>
      <x:c r="G194" s="165" t="e">
        <x:f>IF(Matriz[[#This Row],['# reque-rimientos]]&gt;0,"Sí","No")</x:f>
        <x:v>#REF!</x:v>
      </x:c>
      <x:c r="H194" s="165" t="e">
        <x:f>IF(Matriz[[#This Row],[Cat]]="0",0,IF(Matriz[[#This Row],[Par]]=0,1,LEN(Matriz[[#This Row],[EDT]])-LEN(SUBSTITUTE(Matriz[[#This Row],[EDT]],".",""))))</x:f>
        <x:v>#NAME?</x:v>
      </x:c>
      <x:c r="I194" s="13" t="s">
        <x:v>366</x:v>
      </x:c>
      <x:c r="M194" s="13" t="s">
        <x:v>120</x:v>
      </x:c>
      <x:c r="O194" s="165">
        <x:v>1</x:v>
      </x:c>
      <x:c r="R194" s="13">
        <x:v>9</x:v>
      </x:c>
      <x:c r="S194" s="13" t="s">
        <x:v>38</x:v>
      </x:c>
      <x:c r="X194" s="284" t="str">
        <x:v>Oracle Primavera Cloud + Unifier + Aconex + APIs/Gateway/ETL</x:v>
      </x:c>
      <x:c r="Y194" s="285"/>
      <x:c r="Z194" s="284"/>
      <x:c r="AA194" s="13"/>
      <x:c r="AB194" s="286"/>
    </x:row>
    <x:row r="195" ht="22.5" hidden="1">
      <x:c r="A195" s="290" t="e">
        <x:f>_xlfn.XLOOKUP(Matriz[[#This Row],[Categoría]],Categoría[Categoría],Categoría[Cat],"NA",0)</x:f>
        <x:v>#NAME?</x:v>
      </x:c>
      <x:c r="B195" s="165" t="s">
        <x:v>247</x:v>
      </x:c>
      <x:c r="C195" s="288" t="e">
        <x:f>_xlfn.XLOOKUP(Matriz[[#This Row],[Parámetro]],Parámetro[Parámetro],Parámetro[Par],0,0)</x:f>
        <x:v>#NAME?</x:v>
      </x:c>
      <x:c r="D195" s="165" t="s">
        <x:v>367</x:v>
      </x:c>
      <x:c r="E195" s="165" t="e">
        <x:f>Matriz[[#This Row],[Cat]]&amp;IF(Matriz[[#This Row],[Par]]=0,"","."&amp;Matriz[[#This Row],[Par]]&amp;"."&amp;TEXT(COUNTIFS(A$2:A195,Matriz[[#This Row],[Cat]],C$2:C195,Matriz[[#This Row],[Par]]),"000"))</x:f>
        <x:v>#NAME?</x:v>
      </x:c>
      <x:c r="F195" s="289" t="e">
        <x:f>IF(LEN(Matriz[[#This Row],[EDT]])=1,COUNTIF(Matriz[EDT],"?????????*"),IF(LEN(Matriz[[#This Row],[EDT]])=2,COUNTIF(Matriz[EDT],Matriz[[#This Row],[Cat]]&amp;"*")-1,0))</x:f>
        <x:v>#NAME?</x:v>
      </x:c>
      <x:c r="G195" s="165" t="e">
        <x:f>IF(Matriz[[#This Row],['# reque-rimientos]]&gt;0,"Sí","No")</x:f>
        <x:v>#REF!</x:v>
      </x:c>
      <x:c r="H195" s="165" t="e">
        <x:f>IF(Matriz[[#This Row],[Cat]]="0",0,IF(Matriz[[#This Row],[Par]]=0,1,LEN(Matriz[[#This Row],[EDT]])-LEN(SUBSTITUTE(Matriz[[#This Row],[EDT]],".",""))))</x:f>
        <x:v>#NAME?</x:v>
      </x:c>
      <x:c r="I195" s="13" t="s">
        <x:v>368</x:v>
      </x:c>
      <x:c r="M195" s="13" t="s">
        <x:v>120</x:v>
      </x:c>
      <x:c r="O195" s="165">
        <x:v>2</x:v>
      </x:c>
      <x:c r="R195" s="13">
        <x:v>7</x:v>
      </x:c>
      <x:c r="S195" s="13" t="s">
        <x:v>83</x:v>
      </x:c>
      <x:c r="X195" s="284" t="str">
        <x:v>Oracle Primavera Cloud Schedule</x:v>
      </x:c>
      <x:c r="Y195" s="285"/>
      <x:c r="Z195" s="284"/>
      <x:c r="AA195" s="13"/>
      <x:c r="AB195" s="286"/>
    </x:row>
    <x:row r="196" hidden="1">
      <x:c r="A196" s="290" t="e">
        <x:f>_xlfn.XLOOKUP(Matriz[[#This Row],[Categoría]],Categoría[Categoría],Categoría[Cat],"NA",0)</x:f>
        <x:v>#NAME?</x:v>
      </x:c>
      <x:c r="B196" s="165" t="s">
        <x:v>247</x:v>
      </x:c>
      <x:c r="C196" s="288" t="e">
        <x:f>_xlfn.XLOOKUP(Matriz[[#This Row],[Parámetro]],Parámetro[Parámetro],Parámetro[Par],0,0)</x:f>
        <x:v>#NAME?</x:v>
      </x:c>
      <x:c r="D196" s="165" t="s">
        <x:v>367</x:v>
      </x:c>
      <x:c r="E196" s="165" t="e">
        <x:f>Matriz[[#This Row],[Cat]]&amp;IF(Matriz[[#This Row],[Par]]=0,"","."&amp;Matriz[[#This Row],[Par]]&amp;"."&amp;TEXT(COUNTIFS(A$2:A196,Matriz[[#This Row],[Cat]],C$2:C196,Matriz[[#This Row],[Par]]),"000"))</x:f>
        <x:v>#NAME?</x:v>
      </x:c>
      <x:c r="F196" s="289" t="e">
        <x:f>IF(LEN(Matriz[[#This Row],[EDT]])=1,COUNTIF(Matriz[EDT],"?????????*"),IF(LEN(Matriz[[#This Row],[EDT]])=2,COUNTIF(Matriz[EDT],Matriz[[#This Row],[Cat]]&amp;"*")-1,0))</x:f>
        <x:v>#NAME?</x:v>
      </x:c>
      <x:c r="G196" s="165" t="e">
        <x:f>IF(Matriz[[#This Row],['# reque-rimientos]]&gt;0,"Sí","No")</x:f>
        <x:v>#REF!</x:v>
      </x:c>
      <x:c r="H196" s="165" t="e">
        <x:f>IF(Matriz[[#This Row],[Cat]]="0",0,IF(Matriz[[#This Row],[Par]]=0,1,LEN(Matriz[[#This Row],[EDT]])-LEN(SUBSTITUTE(Matriz[[#This Row],[EDT]],".",""))))</x:f>
        <x:v>#NAME?</x:v>
      </x:c>
      <x:c r="I196" s="13" t="s">
        <x:v>369</x:v>
      </x:c>
      <x:c r="M196" s="13" t="s">
        <x:v>120</x:v>
      </x:c>
      <x:c r="O196" s="165">
        <x:v>2</x:v>
      </x:c>
      <x:c r="R196" s="13">
        <x:v>7</x:v>
      </x:c>
      <x:c r="S196" s="13" t="s">
        <x:v>38</x:v>
      </x:c>
      <x:c r="X196" s="284" t="str">
        <x:v>OPC Security/Workflows + Unifier Workflows</x:v>
      </x:c>
      <x:c r="Y196" s="285"/>
      <x:c r="Z196" s="284"/>
      <x:c r="AA196" s="13"/>
      <x:c r="AB196" s="286"/>
    </x:row>
    <x:row r="197">
      <x:c r="A197" s="290" t="e">
        <x:f>_xlfn.XLOOKUP(Matriz[[#This Row],[Categoría]],Categoría[Categoría],Categoría[Cat],"NA",0)</x:f>
        <x:v>#NAME?</x:v>
      </x:c>
      <x:c r="B197" s="165" t="s">
        <x:v>247</x:v>
      </x:c>
      <x:c r="C197" s="288" t="e">
        <x:f>_xlfn.XLOOKUP(Matriz[[#This Row],[Parámetro]],Parámetro[Parámetro],Parámetro[Par],0,0)</x:f>
        <x:v>#NAME?</x:v>
      </x:c>
      <x:c r="D197" s="165" t="s">
        <x:v>370</x:v>
      </x:c>
      <x:c r="E197" s="165" t="e">
        <x:f>Matriz[[#This Row],[Cat]]&amp;IF(Matriz[[#This Row],[Par]]=0,"","."&amp;Matriz[[#This Row],[Par]]&amp;"."&amp;TEXT(COUNTIFS(A$2:A197,Matriz[[#This Row],[Cat]],C$2:C197,Matriz[[#This Row],[Par]]),"000"))</x:f>
        <x:v>#NAME?</x:v>
      </x:c>
      <x:c r="F197" s="289" t="e">
        <x:f>IF(LEN(Matriz[[#This Row],[EDT]])=1,COUNTIF(Matriz[EDT],"?????????*"),IF(LEN(Matriz[[#This Row],[EDT]])=2,COUNTIF(Matriz[EDT],Matriz[[#This Row],[Cat]]&amp;"*")-1,0))</x:f>
        <x:v>#NAME?</x:v>
      </x:c>
      <x:c r="G197" s="165" t="e">
        <x:f>IF(Matriz[[#This Row],['# reque-rimientos]]&gt;0,"Sí","No")</x:f>
        <x:v>#REF!</x:v>
      </x:c>
      <x:c r="H197" s="165" t="e">
        <x:f>IF(Matriz[[#This Row],[Cat]]="0",0,IF(Matriz[[#This Row],[Par]]=0,1,LEN(Matriz[[#This Row],[EDT]])-LEN(SUBSTITUTE(Matriz[[#This Row],[EDT]],".",""))))</x:f>
        <x:v>#NAME?</x:v>
      </x:c>
      <x:c r="I197" s="13" t="s">
        <x:v>371</x:v>
      </x:c>
      <x:c r="M197" s="13" t="s">
        <x:v>120</x:v>
      </x:c>
      <x:c r="O197" s="165">
        <x:v>1</x:v>
      </x:c>
      <x:c r="R197" s="13">
        <x:v>9</x:v>
      </x:c>
      <x:c r="S197" s="13" t="s">
        <x:v>38</x:v>
      </x:c>
      <x:c r="X197" s="284" t="str">
        <x:v>Oracle Primavera Cloud (Portfolios/Programs) + Analytics</x:v>
      </x:c>
      <x:c r="Y197" s="285"/>
      <x:c r="Z197" s="284"/>
      <x:c r="AA197" s="13"/>
      <x:c r="AB197" s="286"/>
    </x:row>
    <x:row r="198">
      <x:c r="A198" s="290" t="e">
        <x:f>_xlfn.XLOOKUP(Matriz[[#This Row],[Categoría]],Categoría[Categoría],Categoría[Cat],"NA",0)</x:f>
        <x:v>#NAME?</x:v>
      </x:c>
      <x:c r="B198" s="165" t="s">
        <x:v>247</x:v>
      </x:c>
      <x:c r="C198" s="288" t="e">
        <x:f>_xlfn.XLOOKUP(Matriz[[#This Row],[Parámetro]],Parámetro[Parámetro],Parámetro[Par],0,0)</x:f>
        <x:v>#NAME?</x:v>
      </x:c>
      <x:c r="D198" s="165" t="s">
        <x:v>370</x:v>
      </x:c>
      <x:c r="E198" s="165" t="e">
        <x:f>Matriz[[#This Row],[Cat]]&amp;IF(Matriz[[#This Row],[Par]]=0,"","."&amp;Matriz[[#This Row],[Par]]&amp;"."&amp;TEXT(COUNTIFS(A$2:A198,Matriz[[#This Row],[Cat]],C$2:C198,Matriz[[#This Row],[Par]]),"000"))</x:f>
        <x:v>#NAME?</x:v>
      </x:c>
      <x:c r="F198" s="289" t="e">
        <x:f>IF(LEN(Matriz[[#This Row],[EDT]])=1,COUNTIF(Matriz[EDT],"?????????*"),IF(LEN(Matriz[[#This Row],[EDT]])=2,COUNTIF(Matriz[EDT],Matriz[[#This Row],[Cat]]&amp;"*")-1,0))</x:f>
        <x:v>#NAME?</x:v>
      </x:c>
      <x:c r="G198" s="165" t="e">
        <x:f>IF(Matriz[[#This Row],['# reque-rimientos]]&gt;0,"Sí","No")</x:f>
        <x:v>#REF!</x:v>
      </x:c>
      <x:c r="H198" s="165" t="e">
        <x:f>IF(Matriz[[#This Row],[Cat]]="0",0,IF(Matriz[[#This Row],[Par]]=0,1,LEN(Matriz[[#This Row],[EDT]])-LEN(SUBSTITUTE(Matriz[[#This Row],[EDT]],".",""))))</x:f>
        <x:v>#NAME?</x:v>
      </x:c>
      <x:c r="I198" s="13" t="s">
        <x:v>372</x:v>
      </x:c>
      <x:c r="M198" s="13" t="s">
        <x:v>120</x:v>
      </x:c>
      <x:c r="O198" s="165">
        <x:v>1</x:v>
      </x:c>
      <x:c r="R198" s="13">
        <x:v>9</x:v>
      </x:c>
      <x:c r="S198" s="13" t="s">
        <x:v>38</x:v>
      </x:c>
      <x:c r="X198" s="284" t="str">
        <x:v>Oracle Primavera Cloud (Portfolios/Programs) + Analytics</x:v>
      </x:c>
      <x:c r="Y198" s="285"/>
      <x:c r="Z198" s="284"/>
      <x:c r="AA198" s="13"/>
      <x:c r="AB198" s="286"/>
    </x:row>
    <x:row r="199">
      <x:c r="A199" s="290" t="e">
        <x:f>_xlfn.XLOOKUP(Matriz[[#This Row],[Categoría]],Categoría[Categoría],Categoría[Cat],"NA",0)</x:f>
        <x:v>#NAME?</x:v>
      </x:c>
      <x:c r="B199" s="165" t="s">
        <x:v>247</x:v>
      </x:c>
      <x:c r="C199" s="288" t="e">
        <x:f>_xlfn.XLOOKUP(Matriz[[#This Row],[Parámetro]],Parámetro[Parámetro],Parámetro[Par],0,0)</x:f>
        <x:v>#NAME?</x:v>
      </x:c>
      <x:c r="D199" s="165" t="s">
        <x:v>370</x:v>
      </x:c>
      <x:c r="E199" s="165" t="e">
        <x:f>Matriz[[#This Row],[Cat]]&amp;IF(Matriz[[#This Row],[Par]]=0,"","."&amp;Matriz[[#This Row],[Par]]&amp;"."&amp;TEXT(COUNTIFS(A$2:A199,Matriz[[#This Row],[Cat]],C$2:C199,Matriz[[#This Row],[Par]]),"000"))</x:f>
        <x:v>#NAME?</x:v>
      </x:c>
      <x:c r="F199" s="289" t="e">
        <x:f>IF(LEN(Matriz[[#This Row],[EDT]])=1,COUNTIF(Matriz[EDT],"?????????*"),IF(LEN(Matriz[[#This Row],[EDT]])=2,COUNTIF(Matriz[EDT],Matriz[[#This Row],[Cat]]&amp;"*")-1,0))</x:f>
        <x:v>#NAME?</x:v>
      </x:c>
      <x:c r="G199" s="165" t="e">
        <x:f>IF(Matriz[[#This Row],['# reque-rimientos]]&gt;0,"Sí","No")</x:f>
        <x:v>#REF!</x:v>
      </x:c>
      <x:c r="H199" s="165" t="e">
        <x:f>IF(Matriz[[#This Row],[Cat]]="0",0,IF(Matriz[[#This Row],[Par]]=0,1,LEN(Matriz[[#This Row],[EDT]])-LEN(SUBSTITUTE(Matriz[[#This Row],[EDT]],".",""))))</x:f>
        <x:v>#NAME?</x:v>
      </x:c>
      <x:c r="I199" s="13" t="s">
        <x:v>373</x:v>
      </x:c>
      <x:c r="M199" s="13" t="s">
        <x:v>120</x:v>
      </x:c>
      <x:c r="O199" s="165">
        <x:v>1</x:v>
      </x:c>
      <x:c r="R199" s="13">
        <x:v>9</x:v>
      </x:c>
      <x:c r="S199" s="13" t="s">
        <x:v>38</x:v>
      </x:c>
      <x:c r="X199" s="284" t="str">
        <x:v>Oracle Primavera Cloud (Portfolios/Programs) + Analytics</x:v>
      </x:c>
      <x:c r="Y199" s="285"/>
      <x:c r="Z199" s="284"/>
      <x:c r="AA199" s="13"/>
      <x:c r="AB199" s="286"/>
    </x:row>
    <x:row r="200" ht="45">
      <x:c r="A200" s="290" t="e">
        <x:f>_xlfn.XLOOKUP(Matriz[[#This Row],[Categoría]],Categoría[Categoría],Categoría[Cat],"NA",0)</x:f>
        <x:v>#NAME?</x:v>
      </x:c>
      <x:c r="B200" s="165" t="s">
        <x:v>247</x:v>
      </x:c>
      <x:c r="C200" s="288" t="e">
        <x:f>_xlfn.XLOOKUP(Matriz[[#This Row],[Parámetro]],Parámetro[Parámetro],Parámetro[Par],0,0)</x:f>
        <x:v>#NAME?</x:v>
      </x:c>
      <x:c r="D200" s="165" t="s">
        <x:v>370</x:v>
      </x:c>
      <x:c r="E200" s="165" t="e">
        <x:f>Matriz[[#This Row],[Cat]]&amp;IF(Matriz[[#This Row],[Par]]=0,"","."&amp;Matriz[[#This Row],[Par]]&amp;"."&amp;TEXT(COUNTIFS(A$2:A200,Matriz[[#This Row],[Cat]],C$2:C200,Matriz[[#This Row],[Par]]),"000"))</x:f>
        <x:v>#NAME?</x:v>
      </x:c>
      <x:c r="F200" s="289" t="e">
        <x:f>IF(LEN(Matriz[[#This Row],[EDT]])=1,COUNTIF(Matriz[EDT],"?????????*"),IF(LEN(Matriz[[#This Row],[EDT]])=2,COUNTIF(Matriz[EDT],Matriz[[#This Row],[Cat]]&amp;"*")-1,0))</x:f>
        <x:v>#NAME?</x:v>
      </x:c>
      <x:c r="G200" s="165" t="e">
        <x:f>IF(Matriz[[#This Row],['# reque-rimientos]]&gt;0,"Sí","No")</x:f>
        <x:v>#REF!</x:v>
      </x:c>
      <x:c r="H200" s="165" t="e">
        <x:f>IF(Matriz[[#This Row],[Cat]]="0",0,IF(Matriz[[#This Row],[Par]]=0,1,LEN(Matriz[[#This Row],[EDT]])-LEN(SUBSTITUTE(Matriz[[#This Row],[EDT]],".",""))))</x:f>
        <x:v>#NAME?</x:v>
      </x:c>
      <x:c r="I200" s="13" t="s">
        <x:v>374</x:v>
      </x:c>
      <x:c r="M200" s="13" t="s">
        <x:v>120</x:v>
      </x:c>
      <x:c r="N200" s="13" t="s">
        <x:v>375</x:v>
      </x:c>
      <x:c r="O200" s="165">
        <x:v>1</x:v>
      </x:c>
      <x:c r="R200" s="13">
        <x:v>9</x:v>
      </x:c>
      <x:c r="S200" s="13" t="s">
        <x:v>83</x:v>
      </x:c>
      <x:c r="X200" s="284" t="str">
        <x:v>Oracle Primavera Cloud + Unifier + Aconex + APIs/Gateway/ETL</x:v>
      </x:c>
      <x:c r="Y200" s="285"/>
      <x:c r="Z200" s="284"/>
      <x:c r="AA200" s="13"/>
      <x:c r="AB200" s="286"/>
    </x:row>
    <x:row r="201" ht="22.5" hidden="1">
      <x:c r="A201" s="290" t="e">
        <x:f>_xlfn.XLOOKUP(Matriz[[#This Row],[Categoría]],Categoría[Categoría],Categoría[Cat],"NA",0)</x:f>
        <x:v>#NAME?</x:v>
      </x:c>
      <x:c r="B201" s="165" t="s">
        <x:v>247</x:v>
      </x:c>
      <x:c r="C201" s="288" t="e">
        <x:f>_xlfn.XLOOKUP(Matriz[[#This Row],[Parámetro]],Parámetro[Parámetro],Parámetro[Par],0,0)</x:f>
        <x:v>#NAME?</x:v>
      </x:c>
      <x:c r="D201" s="165" t="s">
        <x:v>370</x:v>
      </x:c>
      <x:c r="E201" s="165" t="e">
        <x:f>Matriz[[#This Row],[Cat]]&amp;IF(Matriz[[#This Row],[Par]]=0,"","."&amp;Matriz[[#This Row],[Par]]&amp;"."&amp;TEXT(COUNTIFS(A$2:A201,Matriz[[#This Row],[Cat]],C$2:C201,Matriz[[#This Row],[Par]]),"000"))</x:f>
        <x:v>#NAME?</x:v>
      </x:c>
      <x:c r="F201" s="289" t="e">
        <x:f>IF(LEN(Matriz[[#This Row],[EDT]])=1,COUNTIF(Matriz[EDT],"?????????*"),IF(LEN(Matriz[[#This Row],[EDT]])=2,COUNTIF(Matriz[EDT],Matriz[[#This Row],[Cat]]&amp;"*")-1,0))</x:f>
        <x:v>#NAME?</x:v>
      </x:c>
      <x:c r="G201" s="165" t="e">
        <x:f>IF(Matriz[[#This Row],['# reque-rimientos]]&gt;0,"Sí","No")</x:f>
        <x:v>#REF!</x:v>
      </x:c>
      <x:c r="H201" s="165" t="e">
        <x:f>IF(Matriz[[#This Row],[Cat]]="0",0,IF(Matriz[[#This Row],[Par]]=0,1,LEN(Matriz[[#This Row],[EDT]])-LEN(SUBSTITUTE(Matriz[[#This Row],[EDT]],".",""))))</x:f>
        <x:v>#NAME?</x:v>
      </x:c>
      <x:c r="I201" s="13" t="s">
        <x:v>376</x:v>
      </x:c>
      <x:c r="M201" s="13" t="s">
        <x:v>120</x:v>
      </x:c>
      <x:c r="O201" s="165">
        <x:v>2</x:v>
      </x:c>
      <x:c r="R201" s="13">
        <x:v>7</x:v>
      </x:c>
      <x:c r="S201" s="13" t="s">
        <x:v>38</x:v>
      </x:c>
      <x:c r="X201" s="284" t="str">
        <x:v>Oracle Primavera Cloud (Portfolios/Programs) + Analytics</x:v>
      </x:c>
      <x:c r="Y201" s="285"/>
      <x:c r="Z201" s="284"/>
      <x:c r="AA201" s="13"/>
      <x:c r="AB201" s="286"/>
    </x:row>
    <x:row r="202">
      <x:c r="A202" s="290" t="e">
        <x:f>_xlfn.XLOOKUP(Matriz[[#This Row],[Categoría]],Categoría[Categoría],Categoría[Cat],"NA",0)</x:f>
        <x:v>#NAME?</x:v>
      </x:c>
      <x:c r="B202" s="165" t="s">
        <x:v>247</x:v>
      </x:c>
      <x:c r="C202" s="288" t="e">
        <x:f>_xlfn.XLOOKUP(Matriz[[#This Row],[Parámetro]],Parámetro[Parámetro],Parámetro[Par],0,0)</x:f>
        <x:v>#NAME?</x:v>
      </x:c>
      <x:c r="D202" s="165" t="s">
        <x:v>370</x:v>
      </x:c>
      <x:c r="E202" s="165" t="e">
        <x:f>Matriz[[#This Row],[Cat]]&amp;IF(Matriz[[#This Row],[Par]]=0,"","."&amp;Matriz[[#This Row],[Par]]&amp;"."&amp;TEXT(COUNTIFS(A$2:A202,Matriz[[#This Row],[Cat]],C$2:C202,Matriz[[#This Row],[Par]]),"000"))</x:f>
        <x:v>#NAME?</x:v>
      </x:c>
      <x:c r="F202" s="289" t="e">
        <x:f>IF(LEN(Matriz[[#This Row],[EDT]])=1,COUNTIF(Matriz[EDT],"?????????*"),IF(LEN(Matriz[[#This Row],[EDT]])=2,COUNTIF(Matriz[EDT],Matriz[[#This Row],[Cat]]&amp;"*")-1,0))</x:f>
        <x:v>#NAME?</x:v>
      </x:c>
      <x:c r="G202" s="165" t="e">
        <x:f>IF(Matriz[[#This Row],['# reque-rimientos]]&gt;0,"Sí","No")</x:f>
        <x:v>#REF!</x:v>
      </x:c>
      <x:c r="H202" s="165" t="e">
        <x:f>IF(Matriz[[#This Row],[Cat]]="0",0,IF(Matriz[[#This Row],[Par]]=0,1,LEN(Matriz[[#This Row],[EDT]])-LEN(SUBSTITUTE(Matriz[[#This Row],[EDT]],".",""))))</x:f>
        <x:v>#NAME?</x:v>
      </x:c>
      <x:c r="I202" s="13" t="s">
        <x:v>377</x:v>
      </x:c>
      <x:c r="M202" s="13" t="s">
        <x:v>120</x:v>
      </x:c>
      <x:c r="O202" s="165">
        <x:v>1</x:v>
      </x:c>
      <x:c r="R202" s="13">
        <x:v>9</x:v>
      </x:c>
      <x:c r="S202" s="13" t="s">
        <x:v>38</x:v>
      </x:c>
      <x:c r="X202" s="284" t="str">
        <x:v>Oracle Primavera Cloud (Portfolios/Programs) + Analytics</x:v>
      </x:c>
      <x:c r="Y202" s="285"/>
      <x:c r="Z202" s="284"/>
      <x:c r="AA202" s="13"/>
      <x:c r="AB202" s="286"/>
    </x:row>
    <x:row r="203">
      <x:c r="A203" s="290" t="e">
        <x:f>_xlfn.XLOOKUP(Matriz[[#This Row],[Categoría]],Categoría[Categoría],Categoría[Cat],"NA",0)</x:f>
        <x:v>#NAME?</x:v>
      </x:c>
      <x:c r="B203" s="165" t="s">
        <x:v>247</x:v>
      </x:c>
      <x:c r="C203" s="288" t="e">
        <x:f>_xlfn.XLOOKUP(Matriz[[#This Row],[Parámetro]],Parámetro[Parámetro],Parámetro[Par],0,0)</x:f>
        <x:v>#NAME?</x:v>
      </x:c>
      <x:c r="D203" s="165" t="s">
        <x:v>370</x:v>
      </x:c>
      <x:c r="E203" s="165" t="e">
        <x:f>Matriz[[#This Row],[Cat]]&amp;IF(Matriz[[#This Row],[Par]]=0,"","."&amp;Matriz[[#This Row],[Par]]&amp;"."&amp;TEXT(COUNTIFS(A$2:A203,Matriz[[#This Row],[Cat]],C$2:C203,Matriz[[#This Row],[Par]]),"000"))</x:f>
        <x:v>#NAME?</x:v>
      </x:c>
      <x:c r="F203" s="289" t="e">
        <x:f>IF(LEN(Matriz[[#This Row],[EDT]])=1,COUNTIF(Matriz[EDT],"?????????*"),IF(LEN(Matriz[[#This Row],[EDT]])=2,COUNTIF(Matriz[EDT],Matriz[[#This Row],[Cat]]&amp;"*")-1,0))</x:f>
        <x:v>#NAME?</x:v>
      </x:c>
      <x:c r="G203" s="165" t="e">
        <x:f>IF(Matriz[[#This Row],['# reque-rimientos]]&gt;0,"Sí","No")</x:f>
        <x:v>#REF!</x:v>
      </x:c>
      <x:c r="H203" s="165" t="e">
        <x:f>IF(Matriz[[#This Row],[Cat]]="0",0,IF(Matriz[[#This Row],[Par]]=0,1,LEN(Matriz[[#This Row],[EDT]])-LEN(SUBSTITUTE(Matriz[[#This Row],[EDT]],".",""))))</x:f>
        <x:v>#NAME?</x:v>
      </x:c>
      <x:c r="I203" s="165" t="s">
        <x:v>378</x:v>
      </x:c>
      <x:c r="K203" s="291" t="s">
        <x:v>172</x:v>
      </x:c>
      <x:c r="L203" s="291"/>
      <x:c r="M203" s="13" t="s">
        <x:v>120</x:v>
      </x:c>
      <x:c r="O203" s="165">
        <x:v>1</x:v>
      </x:c>
      <x:c r="R203" s="13">
        <x:v>7</x:v>
      </x:c>
      <x:c r="S203" s="13" t="s">
        <x:v>118</x:v>
      </x:c>
      <x:c r="X203" s="284" t="str">
        <x:v>Oracle Primavera Cloud (Portfolios/Programs) + Analytics</x:v>
      </x:c>
      <x:c r="Y203" s="285"/>
      <x:c r="Z203" s="284"/>
      <x:c r="AA203" s="13"/>
      <x:c r="AB203" s="286"/>
    </x:row>
    <x:row r="204" ht="12.75">
      <x:c r="A204" s="279" t="e">
        <x:f>_xlfn.XLOOKUP(Matriz[[#This Row],[Categoría]],Categoría[Categoría],Categoría[Cat],"NA",0)</x:f>
        <x:v>#NAME?</x:v>
      </x:c>
      <x:c r="B204" s="280" t="s">
        <x:v>379</x:v>
      </x:c>
      <x:c r="C204" s="281" t="e">
        <x:f>_xlfn.XLOOKUP(Matriz[[#This Row],[Parámetro]],Parámetro[Parámetro],Parámetro[Par],0,0)</x:f>
        <x:v>#NAME?</x:v>
      </x:c>
      <x:c r="E204" s="13" t="e">
        <x:f>Matriz[[#This Row],[Cat]]&amp;IF(Matriz[[#This Row],[Par]]=0,"","."&amp;Matriz[[#This Row],[Par]]&amp;"."&amp;TEXT(COUNTIFS(A$2:A204,Matriz[[#This Row],[Cat]],C$2:C204,Matriz[[#This Row],[Par]]),"000"))</x:f>
        <x:v>#NAME?</x:v>
      </x:c>
      <x:c r="F204" s="295" t="e">
        <x:f>IF(LEN(Matriz[[#This Row],[EDT]])=1,COUNTIF(Matriz[EDT],"?????????*"),IF(LEN(Matriz[[#This Row],[EDT]])=2,COUNTIF(Matriz[EDT],Matriz[[#This Row],[Cat]]&amp;"*")-1,0))</x:f>
        <x:v>#NAME?</x:v>
      </x:c>
      <x:c r="G204" s="13" t="e">
        <x:f>IF(Matriz[[#This Row],['# reque-rimientos]]&gt;0,"Sí","No")</x:f>
        <x:v>#REF!</x:v>
      </x:c>
      <x:c r="H204" s="13" t="e">
        <x:f>IF(Matriz[[#This Row],[Cat]]="0",0,IF(Matriz[[#This Row],[Par]]=0,1,LEN(Matriz[[#This Row],[EDT]])-LEN(SUBSTITUTE(Matriz[[#This Row],[EDT]],".",""))))</x:f>
        <x:v>#NAME?</x:v>
      </x:c>
      <x:c r="M204" s="13" t="s">
        <x:v>120</x:v>
      </x:c>
      <x:c r="O204" s="165">
        <x:v>1</x:v>
      </x:c>
      <x:c r="R204" s="287" t="e">
        <x:f>_xlfn.XLOOKUP(Matriz[[#This Row],[Cat]],Categoría[Cat],Categoría[IMP],"NA",0)</x:f>
        <x:v>#NAME?</x:v>
      </x:c>
      <x:c r="S204" s="13" t="s">
        <x:v>38</x:v>
      </x:c>
      <x:c r="X204" s="284"/>
      <x:c r="Y204" s="285"/>
      <x:c r="Z204" s="284"/>
      <x:c r="AA204" s="13"/>
      <x:c r="AB204" s="286"/>
    </x:row>
    <x:row r="205" ht="22.5">
      <x:c r="A205" s="290" t="e">
        <x:f>_xlfn.XLOOKUP(Matriz[[#This Row],[Categoría]],Categoría[Categoría],Categoría[Cat],"NA",0)</x:f>
        <x:v>#NAME?</x:v>
      </x:c>
      <x:c r="B205" s="165" t="s">
        <x:v>379</x:v>
      </x:c>
      <x:c r="C205" s="288" t="e">
        <x:f>_xlfn.XLOOKUP(Matriz[[#This Row],[Parámetro]],Parámetro[Parámetro],Parámetro[Par],0,0)</x:f>
        <x:v>#NAME?</x:v>
      </x:c>
      <x:c r="D205" s="165" t="s">
        <x:v>380</x:v>
      </x:c>
      <x:c r="E205" s="165" t="e">
        <x:f>Matriz[[#This Row],[Cat]]&amp;IF(Matriz[[#This Row],[Par]]=0,"","."&amp;Matriz[[#This Row],[Par]]&amp;"."&amp;TEXT(COUNTIFS(A$2:A205,Matriz[[#This Row],[Cat]],C$2:C205,Matriz[[#This Row],[Par]]),"000"))</x:f>
        <x:v>#NAME?</x:v>
      </x:c>
      <x:c r="F205" s="289" t="e">
        <x:f>IF(LEN(Matriz[[#This Row],[EDT]])=1,COUNTIF(Matriz[EDT],"?????????*"),IF(LEN(Matriz[[#This Row],[EDT]])=2,COUNTIF(Matriz[EDT],Matriz[[#This Row],[Cat]]&amp;"*")-1,0))</x:f>
        <x:v>#NAME?</x:v>
      </x:c>
      <x:c r="G205" s="165" t="e">
        <x:f>IF(Matriz[[#This Row],['# reque-rimientos]]&gt;0,"Sí","No")</x:f>
        <x:v>#REF!</x:v>
      </x:c>
      <x:c r="H205" s="165" t="e">
        <x:f>IF(Matriz[[#This Row],[Cat]]="0",0,IF(Matriz[[#This Row],[Par]]=0,1,LEN(Matriz[[#This Row],[EDT]])-LEN(SUBSTITUTE(Matriz[[#This Row],[EDT]],".",""))))</x:f>
        <x:v>#NAME?</x:v>
      </x:c>
      <x:c r="I205" s="13" t="s">
        <x:v>381</x:v>
      </x:c>
      <x:c r="M205" s="13" t="s">
        <x:v>120</x:v>
      </x:c>
      <x:c r="N205" s="13" t="s">
        <x:v>382</x:v>
      </x:c>
      <x:c r="O205" s="165">
        <x:v>1</x:v>
      </x:c>
      <x:c r="R205" s="13">
        <x:v>8</x:v>
      </x:c>
      <x:c r="S205" s="13" t="s">
        <x:v>83</x:v>
      </x:c>
      <x:c r="X205" s="284" t="str">
        <x:v>OPC Resource Management + Administration</x:v>
      </x:c>
      <x:c r="Y205" s="285"/>
      <x:c r="Z205" s="284"/>
      <x:c r="AA205" s="13"/>
      <x:c r="AB205" s="286"/>
    </x:row>
    <x:row r="206">
      <x:c r="A206" s="290" t="e">
        <x:f>_xlfn.XLOOKUP(Matriz[[#This Row],[Categoría]],Categoría[Categoría],Categoría[Cat],"NA",0)</x:f>
        <x:v>#NAME?</x:v>
      </x:c>
      <x:c r="B206" s="165" t="s">
        <x:v>379</x:v>
      </x:c>
      <x:c r="C206" s="288" t="e">
        <x:f>_xlfn.XLOOKUP(Matriz[[#This Row],[Parámetro]],Parámetro[Parámetro],Parámetro[Par],0,0)</x:f>
        <x:v>#NAME?</x:v>
      </x:c>
      <x:c r="D206" s="165" t="s">
        <x:v>380</x:v>
      </x:c>
      <x:c r="E206" s="165" t="e">
        <x:f>Matriz[[#This Row],[Cat]]&amp;IF(Matriz[[#This Row],[Par]]=0,"","."&amp;Matriz[[#This Row],[Par]]&amp;"."&amp;TEXT(COUNTIFS(A$2:A206,Matriz[[#This Row],[Cat]],C$2:C206,Matriz[[#This Row],[Par]]),"000"))</x:f>
        <x:v>#NAME?</x:v>
      </x:c>
      <x:c r="F206" s="289" t="e">
        <x:f>IF(LEN(Matriz[[#This Row],[EDT]])=1,COUNTIF(Matriz[EDT],"?????????*"),IF(LEN(Matriz[[#This Row],[EDT]])=2,COUNTIF(Matriz[EDT],Matriz[[#This Row],[Cat]]&amp;"*")-1,0))</x:f>
        <x:v>#NAME?</x:v>
      </x:c>
      <x:c r="G206" s="165" t="e">
        <x:f>IF(Matriz[[#This Row],['# reque-rimientos]]&gt;0,"Sí","No")</x:f>
        <x:v>#REF!</x:v>
      </x:c>
      <x:c r="H206" s="165" t="e">
        <x:f>IF(Matriz[[#This Row],[Cat]]="0",0,IF(Matriz[[#This Row],[Par]]=0,1,LEN(Matriz[[#This Row],[EDT]])-LEN(SUBSTITUTE(Matriz[[#This Row],[EDT]],".",""))))</x:f>
        <x:v>#NAME?</x:v>
      </x:c>
      <x:c r="I206" s="13" t="s">
        <x:v>383</x:v>
      </x:c>
      <x:c r="M206" s="13" t="s">
        <x:v>120</x:v>
      </x:c>
      <x:c r="O206" s="165">
        <x:v>1</x:v>
      </x:c>
      <x:c r="R206" s="13">
        <x:v>9</x:v>
      </x:c>
      <x:c r="S206" s="13" t="s">
        <x:v>118</x:v>
      </x:c>
      <x:c r="X206" s="284" t="str">
        <x:v>OPC Resource Management + Administration</x:v>
      </x:c>
      <x:c r="Y206" s="285"/>
      <x:c r="Z206" s="284"/>
      <x:c r="AA206" s="13"/>
      <x:c r="AB206" s="286"/>
    </x:row>
    <x:row r="207" hidden="1">
      <x:c r="A207" s="290" t="e">
        <x:f>_xlfn.XLOOKUP(Matriz[[#This Row],[Categoría]],Categoría[Categoría],Categoría[Cat],"NA",0)</x:f>
        <x:v>#NAME?</x:v>
      </x:c>
      <x:c r="B207" s="165" t="s">
        <x:v>379</x:v>
      </x:c>
      <x:c r="C207" s="288" t="e">
        <x:f>_xlfn.XLOOKUP(Matriz[[#This Row],[Parámetro]],Parámetro[Parámetro],Parámetro[Par],0,0)</x:f>
        <x:v>#NAME?</x:v>
      </x:c>
      <x:c r="D207" s="165" t="s">
        <x:v>380</x:v>
      </x:c>
      <x:c r="E207" s="165" t="e">
        <x:f>Matriz[[#This Row],[Cat]]&amp;IF(Matriz[[#This Row],[Par]]=0,"","."&amp;Matriz[[#This Row],[Par]]&amp;"."&amp;TEXT(COUNTIFS(A$2:A207,Matriz[[#This Row],[Cat]],C$2:C207,Matriz[[#This Row],[Par]]),"000"))</x:f>
        <x:v>#NAME?</x:v>
      </x:c>
      <x:c r="F207" s="289" t="e">
        <x:f>IF(LEN(Matriz[[#This Row],[EDT]])=1,COUNTIF(Matriz[EDT],"?????????*"),IF(LEN(Matriz[[#This Row],[EDT]])=2,COUNTIF(Matriz[EDT],Matriz[[#This Row],[Cat]]&amp;"*")-1,0))</x:f>
        <x:v>#NAME?</x:v>
      </x:c>
      <x:c r="G207" s="165" t="e">
        <x:f>IF(Matriz[[#This Row],['# reque-rimientos]]&gt;0,"Sí","No")</x:f>
        <x:v>#REF!</x:v>
      </x:c>
      <x:c r="H207" s="165" t="e">
        <x:f>IF(Matriz[[#This Row],[Cat]]="0",0,IF(Matriz[[#This Row],[Par]]=0,1,LEN(Matriz[[#This Row],[EDT]])-LEN(SUBSTITUTE(Matriz[[#This Row],[EDT]],".",""))))</x:f>
        <x:v>#NAME?</x:v>
      </x:c>
      <x:c r="I207" s="13" t="s">
        <x:v>384</x:v>
      </x:c>
      <x:c r="M207" s="13" t="s">
        <x:v>120</x:v>
      </x:c>
      <x:c r="O207" s="165">
        <x:v>2</x:v>
      </x:c>
      <x:c r="R207" s="13">
        <x:v>6</x:v>
      </x:c>
      <x:c r="S207" s="13" t="s">
        <x:v>118</x:v>
      </x:c>
      <x:c r="X207" s="284" t="str">
        <x:v>OPC Resource Management + Administration</x:v>
      </x:c>
      <x:c r="Y207" s="285"/>
      <x:c r="Z207" s="284"/>
      <x:c r="AA207" s="13"/>
      <x:c r="AB207" s="286"/>
    </x:row>
    <x:row r="208" hidden="1">
      <x:c r="A208" s="290" t="e">
        <x:f>_xlfn.XLOOKUP(Matriz[[#This Row],[Categoría]],Categoría[Categoría],Categoría[Cat],"NA",0)</x:f>
        <x:v>#NAME?</x:v>
      </x:c>
      <x:c r="B208" s="165" t="s">
        <x:v>379</x:v>
      </x:c>
      <x:c r="C208" s="288" t="e">
        <x:f>_xlfn.XLOOKUP(Matriz[[#This Row],[Parámetro]],Parámetro[Parámetro],Parámetro[Par],0,0)</x:f>
        <x:v>#NAME?</x:v>
      </x:c>
      <x:c r="D208" s="165" t="s">
        <x:v>380</x:v>
      </x:c>
      <x:c r="E208" s="165" t="e">
        <x:f>Matriz[[#This Row],[Cat]]&amp;IF(Matriz[[#This Row],[Par]]=0,"","."&amp;Matriz[[#This Row],[Par]]&amp;"."&amp;TEXT(COUNTIFS(A$2:A208,Matriz[[#This Row],[Cat]],C$2:C208,Matriz[[#This Row],[Par]]),"000"))</x:f>
        <x:v>#NAME?</x:v>
      </x:c>
      <x:c r="F208" s="289" t="e">
        <x:f>IF(LEN(Matriz[[#This Row],[EDT]])=1,COUNTIF(Matriz[EDT],"?????????*"),IF(LEN(Matriz[[#This Row],[EDT]])=2,COUNTIF(Matriz[EDT],Matriz[[#This Row],[Cat]]&amp;"*")-1,0))</x:f>
        <x:v>#NAME?</x:v>
      </x:c>
      <x:c r="G208" s="165" t="e">
        <x:f>IF(Matriz[[#This Row],['# reque-rimientos]]&gt;0,"Sí","No")</x:f>
        <x:v>#REF!</x:v>
      </x:c>
      <x:c r="H208" s="165" t="e">
        <x:f>IF(Matriz[[#This Row],[Cat]]="0",0,IF(Matriz[[#This Row],[Par]]=0,1,LEN(Matriz[[#This Row],[EDT]])-LEN(SUBSTITUTE(Matriz[[#This Row],[EDT]],".",""))))</x:f>
        <x:v>#NAME?</x:v>
      </x:c>
      <x:c r="I208" s="13" t="s">
        <x:v>385</x:v>
      </x:c>
      <x:c r="M208" s="13" t="s">
        <x:v>120</x:v>
      </x:c>
      <x:c r="O208" s="165">
        <x:v>2</x:v>
      </x:c>
      <x:c r="R208" s="13">
        <x:v>6</x:v>
      </x:c>
      <x:c r="S208" s="13" t="s">
        <x:v>118</x:v>
      </x:c>
      <x:c r="X208" s="284" t="str">
        <x:v>OPC Resource Management + Administration</x:v>
      </x:c>
      <x:c r="Y208" s="285"/>
      <x:c r="Z208" s="284"/>
      <x:c r="AA208" s="13"/>
      <x:c r="AB208" s="286"/>
    </x:row>
    <x:row r="209">
      <x:c r="A209" s="290" t="e">
        <x:f>_xlfn.XLOOKUP(Matriz[[#This Row],[Categoría]],Categoría[Categoría],Categoría[Cat],"NA",0)</x:f>
        <x:v>#NAME?</x:v>
      </x:c>
      <x:c r="B209" s="165" t="s">
        <x:v>379</x:v>
      </x:c>
      <x:c r="C209" s="288" t="e">
        <x:f>_xlfn.XLOOKUP(Matriz[[#This Row],[Parámetro]],Parámetro[Parámetro],Parámetro[Par],0,0)</x:f>
        <x:v>#NAME?</x:v>
      </x:c>
      <x:c r="D209" s="165" t="s">
        <x:v>380</x:v>
      </x:c>
      <x:c r="E209" s="165" t="e">
        <x:f>Matriz[[#This Row],[Cat]]&amp;IF(Matriz[[#This Row],[Par]]=0,"","."&amp;Matriz[[#This Row],[Par]]&amp;"."&amp;TEXT(COUNTIFS(A$2:A209,Matriz[[#This Row],[Cat]],C$2:C209,Matriz[[#This Row],[Par]]),"000"))</x:f>
        <x:v>#NAME?</x:v>
      </x:c>
      <x:c r="F209" s="289" t="e">
        <x:f>IF(LEN(Matriz[[#This Row],[EDT]])=1,COUNTIF(Matriz[EDT],"?????????*"),IF(LEN(Matriz[[#This Row],[EDT]])=2,COUNTIF(Matriz[EDT],Matriz[[#This Row],[Cat]]&amp;"*")-1,0))</x:f>
        <x:v>#NAME?</x:v>
      </x:c>
      <x:c r="G209" s="165" t="e">
        <x:f>IF(Matriz[[#This Row],['# reque-rimientos]]&gt;0,"Sí","No")</x:f>
        <x:v>#REF!</x:v>
      </x:c>
      <x:c r="H209" s="165" t="e">
        <x:f>IF(Matriz[[#This Row],[Cat]]="0",0,IF(Matriz[[#This Row],[Par]]=0,1,LEN(Matriz[[#This Row],[EDT]])-LEN(SUBSTITUTE(Matriz[[#This Row],[EDT]],".",""))))</x:f>
        <x:v>#NAME?</x:v>
      </x:c>
      <x:c r="I209" s="13" t="s">
        <x:v>386</x:v>
      </x:c>
      <x:c r="M209" s="13" t="s">
        <x:v>120</x:v>
      </x:c>
      <x:c r="O209" s="165">
        <x:v>1</x:v>
      </x:c>
      <x:c r="R209" s="13">
        <x:v>9</x:v>
      </x:c>
      <x:c r="S209" s="13" t="s">
        <x:v>83</x:v>
      </x:c>
      <x:c r="X209" s="284" t="str">
        <x:v>OPC Resource Management + Administration</x:v>
      </x:c>
      <x:c r="Y209" s="285"/>
      <x:c r="Z209" s="284"/>
      <x:c r="AA209" s="13"/>
      <x:c r="AB209" s="286"/>
    </x:row>
    <x:row r="210" ht="22.5">
      <x:c r="A210" s="290" t="e">
        <x:f>_xlfn.XLOOKUP(Matriz[[#This Row],[Categoría]],Categoría[Categoría],Categoría[Cat],"NA",0)</x:f>
        <x:v>#NAME?</x:v>
      </x:c>
      <x:c r="B210" s="165" t="s">
        <x:v>379</x:v>
      </x:c>
      <x:c r="C210" s="288" t="e">
        <x:f>_xlfn.XLOOKUP(Matriz[[#This Row],[Parámetro]],Parámetro[Parámetro],Parámetro[Par],0,0)</x:f>
        <x:v>#NAME?</x:v>
      </x:c>
      <x:c r="D210" s="165" t="s">
        <x:v>380</x:v>
      </x:c>
      <x:c r="E210" s="165" t="e">
        <x:f>Matriz[[#This Row],[Cat]]&amp;IF(Matriz[[#This Row],[Par]]=0,"","."&amp;Matriz[[#This Row],[Par]]&amp;"."&amp;TEXT(COUNTIFS(A$2:A210,Matriz[[#This Row],[Cat]],C$2:C210,Matriz[[#This Row],[Par]]),"000"))</x:f>
        <x:v>#NAME?</x:v>
      </x:c>
      <x:c r="F210" s="289" t="e">
        <x:f>IF(LEN(Matriz[[#This Row],[EDT]])=1,COUNTIF(Matriz[EDT],"?????????*"),IF(LEN(Matriz[[#This Row],[EDT]])=2,COUNTIF(Matriz[EDT],Matriz[[#This Row],[Cat]]&amp;"*")-1,0))</x:f>
        <x:v>#NAME?</x:v>
      </x:c>
      <x:c r="G210" s="165" t="e">
        <x:f>IF(Matriz[[#This Row],['# reque-rimientos]]&gt;0,"Sí","No")</x:f>
        <x:v>#REF!</x:v>
      </x:c>
      <x:c r="H210" s="165" t="e">
        <x:f>IF(Matriz[[#This Row],[Cat]]="0",0,IF(Matriz[[#This Row],[Par]]=0,1,LEN(Matriz[[#This Row],[EDT]])-LEN(SUBSTITUTE(Matriz[[#This Row],[EDT]],".",""))))</x:f>
        <x:v>#NAME?</x:v>
      </x:c>
      <x:c r="I210" s="13" t="s">
        <x:v>387</x:v>
      </x:c>
      <x:c r="M210" s="13" t="s">
        <x:v>120</x:v>
      </x:c>
      <x:c r="O210" s="165">
        <x:v>1</x:v>
      </x:c>
      <x:c r="R210" s="13">
        <x:v>7</x:v>
      </x:c>
      <x:c r="S210" s="13" t="s">
        <x:v>118</x:v>
      </x:c>
      <x:c r="X210" s="284" t="str">
        <x:v>OPC Cost/Funds + Oracle Primavera Unifier</x:v>
      </x:c>
      <x:c r="Y210" s="285"/>
      <x:c r="Z210" s="284"/>
      <x:c r="AA210" s="13"/>
      <x:c r="AB210" s="286"/>
    </x:row>
    <x:row r="211">
      <x:c r="A211" s="290" t="e">
        <x:f>_xlfn.XLOOKUP(Matriz[[#This Row],[Categoría]],Categoría[Categoría],Categoría[Cat],"NA",0)</x:f>
        <x:v>#NAME?</x:v>
      </x:c>
      <x:c r="B211" s="165" t="s">
        <x:v>379</x:v>
      </x:c>
      <x:c r="C211" s="288" t="e">
        <x:f>_xlfn.XLOOKUP(Matriz[[#This Row],[Parámetro]],Parámetro[Parámetro],Parámetro[Par],0,0)</x:f>
        <x:v>#NAME?</x:v>
      </x:c>
      <x:c r="D211" s="165" t="s">
        <x:v>380</x:v>
      </x:c>
      <x:c r="E211" s="165" t="e">
        <x:f>Matriz[[#This Row],[Cat]]&amp;IF(Matriz[[#This Row],[Par]]=0,"","."&amp;Matriz[[#This Row],[Par]]&amp;"."&amp;TEXT(COUNTIFS(A$2:A211,Matriz[[#This Row],[Cat]],C$2:C211,Matriz[[#This Row],[Par]]),"000"))</x:f>
        <x:v>#NAME?</x:v>
      </x:c>
      <x:c r="F211" s="289" t="e">
        <x:f>IF(LEN(Matriz[[#This Row],[EDT]])=1,COUNTIF(Matriz[EDT],"?????????*"),IF(LEN(Matriz[[#This Row],[EDT]])=2,COUNTIF(Matriz[EDT],Matriz[[#This Row],[Cat]]&amp;"*")-1,0))</x:f>
        <x:v>#NAME?</x:v>
      </x:c>
      <x:c r="G211" s="165" t="e">
        <x:f>IF(Matriz[[#This Row],['# reque-rimientos]]&gt;0,"Sí","No")</x:f>
        <x:v>#REF!</x:v>
      </x:c>
      <x:c r="H211" s="165" t="e">
        <x:f>IF(Matriz[[#This Row],[Cat]]="0",0,IF(Matriz[[#This Row],[Par]]=0,1,LEN(Matriz[[#This Row],[EDT]])-LEN(SUBSTITUTE(Matriz[[#This Row],[EDT]],".",""))))</x:f>
        <x:v>#NAME?</x:v>
      </x:c>
      <x:c r="I211" s="13" t="s">
        <x:v>388</x:v>
      </x:c>
      <x:c r="M211" s="13" t="s">
        <x:v>120</x:v>
      </x:c>
      <x:c r="O211" s="165">
        <x:v>1</x:v>
      </x:c>
      <x:c r="R211" s="13">
        <x:v>7</x:v>
      </x:c>
      <x:c r="S211" s="13" t="s">
        <x:v>118</x:v>
      </x:c>
      <x:c r="X211" s="284" t="str">
        <x:v>OPC Resource Management + Administration</x:v>
      </x:c>
      <x:c r="Y211" s="285"/>
      <x:c r="Z211" s="284"/>
      <x:c r="AA211" s="13"/>
      <x:c r="AB211" s="286"/>
    </x:row>
    <x:row r="212">
      <x:c r="A212" s="290" t="e">
        <x:f>_xlfn.XLOOKUP(Matriz[[#This Row],[Categoría]],Categoría[Categoría],Categoría[Cat],"NA",0)</x:f>
        <x:v>#NAME?</x:v>
      </x:c>
      <x:c r="B212" s="165" t="s">
        <x:v>379</x:v>
      </x:c>
      <x:c r="C212" s="288" t="e">
        <x:f>_xlfn.XLOOKUP(Matriz[[#This Row],[Parámetro]],Parámetro[Parámetro],Parámetro[Par],0,0)</x:f>
        <x:v>#NAME?</x:v>
      </x:c>
      <x:c r="D212" s="165" t="s">
        <x:v>380</x:v>
      </x:c>
      <x:c r="E212" s="165" t="e">
        <x:f>Matriz[[#This Row],[Cat]]&amp;IF(Matriz[[#This Row],[Par]]=0,"","."&amp;Matriz[[#This Row],[Par]]&amp;"."&amp;TEXT(COUNTIFS(A$2:A212,Matriz[[#This Row],[Cat]],C$2:C212,Matriz[[#This Row],[Par]]),"000"))</x:f>
        <x:v>#NAME?</x:v>
      </x:c>
      <x:c r="F212" s="289" t="e">
        <x:f>IF(LEN(Matriz[[#This Row],[EDT]])=1,COUNTIF(Matriz[EDT],"?????????*"),IF(LEN(Matriz[[#This Row],[EDT]])=2,COUNTIF(Matriz[EDT],Matriz[[#This Row],[Cat]]&amp;"*")-1,0))</x:f>
        <x:v>#NAME?</x:v>
      </x:c>
      <x:c r="G212" s="165" t="e">
        <x:f>IF(Matriz[[#This Row],['# reque-rimientos]]&gt;0,"Sí","No")</x:f>
        <x:v>#REF!</x:v>
      </x:c>
      <x:c r="H212" s="165" t="e">
        <x:f>IF(Matriz[[#This Row],[Cat]]="0",0,IF(Matriz[[#This Row],[Par]]=0,1,LEN(Matriz[[#This Row],[EDT]])-LEN(SUBSTITUTE(Matriz[[#This Row],[EDT]],".",""))))</x:f>
        <x:v>#NAME?</x:v>
      </x:c>
      <x:c r="I212" s="13" t="s">
        <x:v>389</x:v>
      </x:c>
      <x:c r="M212" s="13" t="s">
        <x:v>120</x:v>
      </x:c>
      <x:c r="O212" s="165">
        <x:v>1</x:v>
      </x:c>
      <x:c r="R212" s="13">
        <x:v>7</x:v>
      </x:c>
      <x:c r="S212" s="13" t="s">
        <x:v>118</x:v>
      </x:c>
      <x:c r="X212" s="284" t="str">
        <x:v>Oracle Primavera Cloud Schedule</x:v>
      </x:c>
      <x:c r="Y212" s="285"/>
      <x:c r="Z212" s="284"/>
      <x:c r="AA212" s="13"/>
      <x:c r="AB212" s="286"/>
    </x:row>
    <x:row r="213" hidden="1">
      <x:c r="A213" s="290" t="e">
        <x:f>_xlfn.XLOOKUP(Matriz[[#This Row],[Categoría]],Categoría[Categoría],Categoría[Cat],"NA",0)</x:f>
        <x:v>#NAME?</x:v>
      </x:c>
      <x:c r="B213" s="165" t="s">
        <x:v>379</x:v>
      </x:c>
      <x:c r="C213" s="288" t="e">
        <x:f>_xlfn.XLOOKUP(Matriz[[#This Row],[Parámetro]],Parámetro[Parámetro],Parámetro[Par],0,0)</x:f>
        <x:v>#NAME?</x:v>
      </x:c>
      <x:c r="D213" s="165" t="s">
        <x:v>380</x:v>
      </x:c>
      <x:c r="E213" s="165" t="e">
        <x:f>Matriz[[#This Row],[Cat]]&amp;IF(Matriz[[#This Row],[Par]]=0,"","."&amp;Matriz[[#This Row],[Par]]&amp;"."&amp;TEXT(COUNTIFS(A$2:A213,Matriz[[#This Row],[Cat]],C$2:C213,Matriz[[#This Row],[Par]]),"000"))</x:f>
        <x:v>#NAME?</x:v>
      </x:c>
      <x:c r="F213" s="289" t="e">
        <x:f>IF(LEN(Matriz[[#This Row],[EDT]])=1,COUNTIF(Matriz[EDT],"?????????*"),IF(LEN(Matriz[[#This Row],[EDT]])=2,COUNTIF(Matriz[EDT],Matriz[[#This Row],[Cat]]&amp;"*")-1,0))</x:f>
        <x:v>#NAME?</x:v>
      </x:c>
      <x:c r="G213" s="165" t="e">
        <x:f>IF(Matriz[[#This Row],['# reque-rimientos]]&gt;0,"Sí","No")</x:f>
        <x:v>#REF!</x:v>
      </x:c>
      <x:c r="H213" s="165" t="e">
        <x:f>IF(Matriz[[#This Row],[Cat]]="0",0,IF(Matriz[[#This Row],[Par]]=0,1,LEN(Matriz[[#This Row],[EDT]])-LEN(SUBSTITUTE(Matriz[[#This Row],[EDT]],".",""))))</x:f>
        <x:v>#NAME?</x:v>
      </x:c>
      <x:c r="I213" s="13" t="s">
        <x:v>390</x:v>
      </x:c>
      <x:c r="M213" s="13" t="s">
        <x:v>120</x:v>
      </x:c>
      <x:c r="O213" s="165">
        <x:v>2</x:v>
      </x:c>
      <x:c r="R213" s="13">
        <x:v>6</x:v>
      </x:c>
      <x:c r="S213" s="13" t="s">
        <x:v>118</x:v>
      </x:c>
      <x:c r="X213" s="284" t="str">
        <x:v>OPC Cost/Funds + Oracle Primavera Unifier</x:v>
      </x:c>
      <x:c r="Y213" s="285"/>
      <x:c r="Z213" s="284"/>
      <x:c r="AA213" s="13"/>
      <x:c r="AB213" s="286"/>
    </x:row>
    <x:row r="214" ht="22.5">
      <x:c r="A214" s="290" t="e">
        <x:f>_xlfn.XLOOKUP(Matriz[[#This Row],[Categoría]],Categoría[Categoría],Categoría[Cat],"NA",0)</x:f>
        <x:v>#NAME?</x:v>
      </x:c>
      <x:c r="B214" s="165" t="s">
        <x:v>379</x:v>
      </x:c>
      <x:c r="C214" s="288" t="e">
        <x:f>_xlfn.XLOOKUP(Matriz[[#This Row],[Parámetro]],Parámetro[Parámetro],Parámetro[Par],0,0)</x:f>
        <x:v>#NAME?</x:v>
      </x:c>
      <x:c r="D214" s="165" t="s">
        <x:v>380</x:v>
      </x:c>
      <x:c r="E214" s="165" t="e">
        <x:f>Matriz[[#This Row],[Cat]]&amp;IF(Matriz[[#This Row],[Par]]=0,"","."&amp;Matriz[[#This Row],[Par]]&amp;"."&amp;TEXT(COUNTIFS(A$2:A214,Matriz[[#This Row],[Cat]],C$2:C214,Matriz[[#This Row],[Par]]),"000"))</x:f>
        <x:v>#NAME?</x:v>
      </x:c>
      <x:c r="F214" s="289" t="e">
        <x:f>IF(LEN(Matriz[[#This Row],[EDT]])=1,COUNTIF(Matriz[EDT],"?????????*"),IF(LEN(Matriz[[#This Row],[EDT]])=2,COUNTIF(Matriz[EDT],Matriz[[#This Row],[Cat]]&amp;"*")-1,0))</x:f>
        <x:v>#NAME?</x:v>
      </x:c>
      <x:c r="G214" s="165" t="e">
        <x:f>IF(Matriz[[#This Row],['# reque-rimientos]]&gt;0,"Sí","No")</x:f>
        <x:v>#REF!</x:v>
      </x:c>
      <x:c r="H214" s="165" t="e">
        <x:f>IF(Matriz[[#This Row],[Cat]]="0",0,IF(Matriz[[#This Row],[Par]]=0,1,LEN(Matriz[[#This Row],[EDT]])-LEN(SUBSTITUTE(Matriz[[#This Row],[EDT]],".",""))))</x:f>
        <x:v>#NAME?</x:v>
      </x:c>
      <x:c r="I214" s="13" t="s">
        <x:v>391</x:v>
      </x:c>
      <x:c r="M214" s="13" t="s">
        <x:v>120</x:v>
      </x:c>
      <x:c r="O214" s="165">
        <x:v>1</x:v>
      </x:c>
      <x:c r="R214" s="13">
        <x:v>7</x:v>
      </x:c>
      <x:c r="S214" s="13" t="s">
        <x:v>38</x:v>
      </x:c>
      <x:c r="X214" s="284" t="str">
        <x:v>OPC Resource Management + Administration</x:v>
      </x:c>
      <x:c r="Y214" s="285"/>
      <x:c r="Z214" s="284"/>
      <x:c r="AA214" s="13"/>
      <x:c r="AB214" s="286"/>
    </x:row>
    <x:row r="215">
      <x:c r="A215" s="290" t="e">
        <x:f>_xlfn.XLOOKUP(Matriz[[#This Row],[Categoría]],Categoría[Categoría],Categoría[Cat],"NA",0)</x:f>
        <x:v>#NAME?</x:v>
      </x:c>
      <x:c r="B215" s="165" t="s">
        <x:v>379</x:v>
      </x:c>
      <x:c r="C215" s="288" t="e">
        <x:f>_xlfn.XLOOKUP(Matriz[[#This Row],[Parámetro]],Parámetro[Parámetro],Parámetro[Par],0,0)</x:f>
        <x:v>#NAME?</x:v>
      </x:c>
      <x:c r="D215" s="165" t="s">
        <x:v>380</x:v>
      </x:c>
      <x:c r="E215" s="165" t="e">
        <x:f>Matriz[[#This Row],[Cat]]&amp;IF(Matriz[[#This Row],[Par]]=0,"","."&amp;Matriz[[#This Row],[Par]]&amp;"."&amp;TEXT(COUNTIFS(A$2:A215,Matriz[[#This Row],[Cat]],C$2:C215,Matriz[[#This Row],[Par]]),"000"))</x:f>
        <x:v>#NAME?</x:v>
      </x:c>
      <x:c r="F215" s="289" t="e">
        <x:f>IF(LEN(Matriz[[#This Row],[EDT]])=1,COUNTIF(Matriz[EDT],"?????????*"),IF(LEN(Matriz[[#This Row],[EDT]])=2,COUNTIF(Matriz[EDT],Matriz[[#This Row],[Cat]]&amp;"*")-1,0))</x:f>
        <x:v>#NAME?</x:v>
      </x:c>
      <x:c r="G215" s="165" t="e">
        <x:f>IF(Matriz[[#This Row],['# reque-rimientos]]&gt;0,"Sí","No")</x:f>
        <x:v>#REF!</x:v>
      </x:c>
      <x:c r="H215" s="165" t="e">
        <x:f>IF(Matriz[[#This Row],[Cat]]="0",0,IF(Matriz[[#This Row],[Par]]=0,1,LEN(Matriz[[#This Row],[EDT]])-LEN(SUBSTITUTE(Matriz[[#This Row],[EDT]],".",""))))</x:f>
        <x:v>#NAME?</x:v>
      </x:c>
      <x:c r="I215" s="13" t="s">
        <x:v>392</x:v>
      </x:c>
      <x:c r="M215" s="13" t="s">
        <x:v>120</x:v>
      </x:c>
      <x:c r="N215" s="13" t="s">
        <x:v>393</x:v>
      </x:c>
      <x:c r="O215" s="165">
        <x:v>1</x:v>
      </x:c>
      <x:c r="R215" s="13">
        <x:v>8</x:v>
      </x:c>
      <x:c r="S215" s="13" t="s">
        <x:v>38</x:v>
      </x:c>
      <x:c r="X215" s="284" t="str">
        <x:v>OPC Resource Management + Administration</x:v>
      </x:c>
      <x:c r="Y215" s="285"/>
      <x:c r="Z215" s="284"/>
      <x:c r="AA215" s="13"/>
      <x:c r="AB215" s="286"/>
    </x:row>
    <x:row r="216" ht="12.75">
      <x:c r="A216" s="279" t="e">
        <x:f>_xlfn.XLOOKUP(Matriz[[#This Row],[Categoría]],Categoría[Categoría],Categoría[Cat],"NA",0)</x:f>
        <x:v>#NAME?</x:v>
      </x:c>
      <x:c r="B216" s="280" t="s">
        <x:v>394</x:v>
      </x:c>
      <x:c r="C216" s="281" t="e">
        <x:f>_xlfn.XLOOKUP(Matriz[[#This Row],[Parámetro]],Parámetro[Parámetro],Parámetro[Par],0,0)</x:f>
        <x:v>#NAME?</x:v>
      </x:c>
      <x:c r="E216" s="13" t="e">
        <x:f>Matriz[[#This Row],[Cat]]&amp;IF(Matriz[[#This Row],[Par]]=0,"","."&amp;Matriz[[#This Row],[Par]]&amp;"."&amp;TEXT(COUNTIFS(A$2:A216,Matriz[[#This Row],[Cat]],C$2:C216,Matriz[[#This Row],[Par]]),"000"))</x:f>
        <x:v>#NAME?</x:v>
      </x:c>
      <x:c r="F216" s="295" t="e">
        <x:f>IF(LEN(Matriz[[#This Row],[EDT]])=1,COUNTIF(Matriz[EDT],"?????????*"),IF(LEN(Matriz[[#This Row],[EDT]])=2,COUNTIF(Matriz[EDT],Matriz[[#This Row],[Cat]]&amp;"*")-1,0))</x:f>
        <x:v>#NAME?</x:v>
      </x:c>
      <x:c r="G216" s="13" t="e">
        <x:f>IF(Matriz[[#This Row],['# reque-rimientos]]&gt;0,"Sí","No")</x:f>
        <x:v>#REF!</x:v>
      </x:c>
      <x:c r="H216" s="13" t="e">
        <x:f>IF(Matriz[[#This Row],[Cat]]="0",0,IF(Matriz[[#This Row],[Par]]=0,1,LEN(Matriz[[#This Row],[EDT]])-LEN(SUBSTITUTE(Matriz[[#This Row],[EDT]],".",""))))</x:f>
        <x:v>#NAME?</x:v>
      </x:c>
      <x:c r="M216" s="13" t="s">
        <x:v>120</x:v>
      </x:c>
      <x:c r="O216" s="165">
        <x:v>1</x:v>
      </x:c>
      <x:c r="R216" s="287" t="e">
        <x:f>_xlfn.XLOOKUP(Matriz[[#This Row],[Cat]],Categoría[Cat],Categoría[IMP],"NA",0)</x:f>
        <x:v>#NAME?</x:v>
      </x:c>
      <x:c r="S216" s="13" t="s">
        <x:v>38</x:v>
      </x:c>
      <x:c r="X216" s="284"/>
      <x:c r="Y216" s="285"/>
      <x:c r="Z216" s="284"/>
      <x:c r="AA216" s="13"/>
      <x:c r="AB216" s="286"/>
    </x:row>
    <x:row r="217" ht="22.5">
      <x:c r="A217" s="290" t="e">
        <x:f>_xlfn.XLOOKUP(Matriz[[#This Row],[Categoría]],Categoría[Categoría],Categoría[Cat],"NA",0)</x:f>
        <x:v>#NAME?</x:v>
      </x:c>
      <x:c r="B217" s="165" t="s">
        <x:v>394</x:v>
      </x:c>
      <x:c r="C217" s="288" t="e">
        <x:f>_xlfn.XLOOKUP(Matriz[[#This Row],[Parámetro]],Parámetro[Parámetro],Parámetro[Par],0,0)</x:f>
        <x:v>#NAME?</x:v>
      </x:c>
      <x:c r="D217" s="165" t="s">
        <x:v>395</x:v>
      </x:c>
      <x:c r="E217" s="165" t="e">
        <x:f>Matriz[[#This Row],[Cat]]&amp;IF(Matriz[[#This Row],[Par]]=0,"","."&amp;Matriz[[#This Row],[Par]]&amp;"."&amp;TEXT(COUNTIFS(A$2:A217,Matriz[[#This Row],[Cat]],C$2:C217,Matriz[[#This Row],[Par]]),"000"))</x:f>
        <x:v>#NAME?</x:v>
      </x:c>
      <x:c r="F217" s="289" t="e">
        <x:f>IF(LEN(Matriz[[#This Row],[EDT]])=1,COUNTIF(Matriz[EDT],"?????????*"),IF(LEN(Matriz[[#This Row],[EDT]])=2,COUNTIF(Matriz[EDT],Matriz[[#This Row],[Cat]]&amp;"*")-1,0))</x:f>
        <x:v>#NAME?</x:v>
      </x:c>
      <x:c r="G217" s="165" t="e">
        <x:f>IF(Matriz[[#This Row],['# reque-rimientos]]&gt;0,"Sí","No")</x:f>
        <x:v>#REF!</x:v>
      </x:c>
      <x:c r="H217" s="165" t="e">
        <x:f>IF(Matriz[[#This Row],[Cat]]="0",0,IF(Matriz[[#This Row],[Par]]=0,1,LEN(Matriz[[#This Row],[EDT]])-LEN(SUBSTITUTE(Matriz[[#This Row],[EDT]],".",""))))</x:f>
        <x:v>#NAME?</x:v>
      </x:c>
      <x:c r="I217" s="165" t="s">
        <x:v>396</x:v>
      </x:c>
      <x:c r="J217" s="291"/>
      <x:c r="M217" s="13" t="s">
        <x:v>32</x:v>
      </x:c>
      <x:c r="N217" s="13" t="s">
        <x:v>397</x:v>
      </x:c>
      <x:c r="O217" s="165">
        <x:v>1</x:v>
      </x:c>
      <x:c r="R217" s="13">
        <x:v>9</x:v>
      </x:c>
      <x:c r="S217" s="13" t="s">
        <x:v>38</x:v>
      </x:c>
      <x:c r="X217" s="284" t="str">
        <x:v>OPC Resource Management + Administration</x:v>
      </x:c>
      <x:c r="Y217" s="285"/>
      <x:c r="Z217" s="284"/>
      <x:c r="AA217" s="13"/>
      <x:c r="AB217" s="286"/>
    </x:row>
    <x:row r="218" ht="45" hidden="1">
      <x:c r="A218" s="290" t="e">
        <x:f>_xlfn.XLOOKUP(Matriz[[#This Row],[Categoría]],Categoría[Categoría],Categoría[Cat],"NA",0)</x:f>
        <x:v>#NAME?</x:v>
      </x:c>
      <x:c r="B218" s="165" t="s">
        <x:v>394</x:v>
      </x:c>
      <x:c r="C218" s="288" t="e">
        <x:f>_xlfn.XLOOKUP(Matriz[[#This Row],[Parámetro]],Parámetro[Parámetro],Parámetro[Par],0,0)</x:f>
        <x:v>#NAME?</x:v>
      </x:c>
      <x:c r="D218" s="165" t="s">
        <x:v>395</x:v>
      </x:c>
      <x:c r="E218" s="165" t="e">
        <x:f>Matriz[[#This Row],[Cat]]&amp;IF(Matriz[[#This Row],[Par]]=0,"","."&amp;Matriz[[#This Row],[Par]]&amp;"."&amp;TEXT(COUNTIFS(A$2:A218,Matriz[[#This Row],[Cat]],C$2:C218,Matriz[[#This Row],[Par]]),"000"))</x:f>
        <x:v>#NAME?</x:v>
      </x:c>
      <x:c r="F218" s="289" t="e">
        <x:f>IF(LEN(Matriz[[#This Row],[EDT]])=1,COUNTIF(Matriz[EDT],"?????????*"),IF(LEN(Matriz[[#This Row],[EDT]])=2,COUNTIF(Matriz[EDT],Matriz[[#This Row],[Cat]]&amp;"*")-1,0))</x:f>
        <x:v>#NAME?</x:v>
      </x:c>
      <x:c r="G218" s="165" t="e">
        <x:f>IF(Matriz[[#This Row],['# reque-rimientos]]&gt;0,"Sí","No")</x:f>
        <x:v>#REF!</x:v>
      </x:c>
      <x:c r="H218" s="165" t="e">
        <x:f>IF(Matriz[[#This Row],[Cat]]="0",0,IF(Matriz[[#This Row],[Par]]=0,1,LEN(Matriz[[#This Row],[EDT]])-LEN(SUBSTITUTE(Matriz[[#This Row],[EDT]],".",""))))</x:f>
        <x:v>#NAME?</x:v>
      </x:c>
      <x:c r="I218" s="165" t="s">
        <x:v>398</x:v>
      </x:c>
      <x:c r="J218" s="291"/>
      <x:c r="K218" s="291"/>
      <x:c r="L218" s="291"/>
      <x:c r="M218" s="13" t="s">
        <x:v>30</x:v>
      </x:c>
      <x:c r="N218" s="165" t="s">
        <x:v>399</x:v>
      </x:c>
      <x:c r="O218" s="165">
        <x:v>2</x:v>
      </x:c>
      <x:c r="R218" s="13">
        <x:v>7</x:v>
      </x:c>
      <x:c r="S218" s="13" t="s">
        <x:v>38</x:v>
      </x:c>
      <x:c r="X218" s="284" t="str">
        <x:v>OPC Security/Workflows + Unifier Workflows</x:v>
      </x:c>
      <x:c r="Y218" s="285"/>
      <x:c r="Z218" s="284"/>
      <x:c r="AA218" s="13"/>
      <x:c r="AB218" s="286"/>
    </x:row>
    <x:row r="219" ht="45" hidden="1">
      <x:c r="A219" s="290" t="e">
        <x:f>_xlfn.XLOOKUP(Matriz[[#This Row],[Categoría]],Categoría[Categoría],Categoría[Cat],"NA",0)</x:f>
        <x:v>#NAME?</x:v>
      </x:c>
      <x:c r="B219" s="165" t="s">
        <x:v>394</x:v>
      </x:c>
      <x:c r="C219" s="288" t="e">
        <x:f>_xlfn.XLOOKUP(Matriz[[#This Row],[Parámetro]],Parámetro[Parámetro],Parámetro[Par],0,0)</x:f>
        <x:v>#NAME?</x:v>
      </x:c>
      <x:c r="D219" s="165" t="s">
        <x:v>395</x:v>
      </x:c>
      <x:c r="E219" s="165" t="e">
        <x:f>Matriz[[#This Row],[Cat]]&amp;IF(Matriz[[#This Row],[Par]]=0,"","."&amp;Matriz[[#This Row],[Par]]&amp;"."&amp;TEXT(COUNTIFS(A$2:A219,Matriz[[#This Row],[Cat]],C$2:C219,Matriz[[#This Row],[Par]]),"000"))</x:f>
        <x:v>#NAME?</x:v>
      </x:c>
      <x:c r="F219" s="289" t="e">
        <x:f>IF(LEN(Matriz[[#This Row],[EDT]])=1,COUNTIF(Matriz[EDT],"?????????*"),IF(LEN(Matriz[[#This Row],[EDT]])=2,COUNTIF(Matriz[EDT],Matriz[[#This Row],[Cat]]&amp;"*")-1,0))</x:f>
        <x:v>#NAME?</x:v>
      </x:c>
      <x:c r="G219" s="165" t="e">
        <x:f>IF(Matriz[[#This Row],['# reque-rimientos]]&gt;0,"Sí","No")</x:f>
        <x:v>#REF!</x:v>
      </x:c>
      <x:c r="H219" s="165" t="e">
        <x:f>IF(Matriz[[#This Row],[Cat]]="0",0,IF(Matriz[[#This Row],[Par]]=0,1,LEN(Matriz[[#This Row],[EDT]])-LEN(SUBSTITUTE(Matriz[[#This Row],[EDT]],".",""))))</x:f>
        <x:v>#NAME?</x:v>
      </x:c>
      <x:c r="I219" s="165" t="s">
        <x:v>400</x:v>
      </x:c>
      <x:c r="J219" s="291"/>
      <x:c r="K219" s="291"/>
      <x:c r="L219" s="291"/>
      <x:c r="M219" s="13" t="s">
        <x:v>30</x:v>
      </x:c>
      <x:c r="N219" s="165" t="s">
        <x:v>401</x:v>
      </x:c>
      <x:c r="O219" s="165">
        <x:v>3</x:v>
      </x:c>
      <x:c r="R219" s="13">
        <x:v>7</x:v>
      </x:c>
      <x:c r="S219" s="13" t="s">
        <x:v>38</x:v>
      </x:c>
      <x:c r="X219" s="284" t="str">
        <x:v>OPC Security/Workflows + Unifier Workflows</x:v>
      </x:c>
      <x:c r="Y219" s="285"/>
      <x:c r="Z219" s="284"/>
      <x:c r="AA219" s="13"/>
      <x:c r="AB219" s="286"/>
    </x:row>
    <x:row r="220" ht="45" hidden="1">
      <x:c r="A220" s="290" t="e">
        <x:f>_xlfn.XLOOKUP(Matriz[[#This Row],[Categoría]],Categoría[Categoría],Categoría[Cat],"NA",0)</x:f>
        <x:v>#NAME?</x:v>
      </x:c>
      <x:c r="B220" s="165" t="s">
        <x:v>394</x:v>
      </x:c>
      <x:c r="C220" s="288" t="e">
        <x:f>_xlfn.XLOOKUP(Matriz[[#This Row],[Parámetro]],Parámetro[Parámetro],Parámetro[Par],0,0)</x:f>
        <x:v>#NAME?</x:v>
      </x:c>
      <x:c r="D220" s="165" t="s">
        <x:v>395</x:v>
      </x:c>
      <x:c r="E220" s="165" t="e">
        <x:f>Matriz[[#This Row],[Cat]]&amp;IF(Matriz[[#This Row],[Par]]=0,"","."&amp;Matriz[[#This Row],[Par]]&amp;"."&amp;TEXT(COUNTIFS(A$2:A220,Matriz[[#This Row],[Cat]],C$2:C220,Matriz[[#This Row],[Par]]),"000"))</x:f>
        <x:v>#NAME?</x:v>
      </x:c>
      <x:c r="F220" s="289" t="e">
        <x:f>IF(LEN(Matriz[[#This Row],[EDT]])=1,COUNTIF(Matriz[EDT],"?????????*"),IF(LEN(Matriz[[#This Row],[EDT]])=2,COUNTIF(Matriz[EDT],Matriz[[#This Row],[Cat]]&amp;"*")-1,0))</x:f>
        <x:v>#NAME?</x:v>
      </x:c>
      <x:c r="G220" s="165" t="e">
        <x:f>IF(Matriz[[#This Row],['# reque-rimientos]]&gt;0,"Sí","No")</x:f>
        <x:v>#REF!</x:v>
      </x:c>
      <x:c r="H220" s="165" t="e">
        <x:f>IF(Matriz[[#This Row],[Cat]]="0",0,IF(Matriz[[#This Row],[Par]]=0,1,LEN(Matriz[[#This Row],[EDT]])-LEN(SUBSTITUTE(Matriz[[#This Row],[EDT]],".",""))))</x:f>
        <x:v>#NAME?</x:v>
      </x:c>
      <x:c r="I220" s="165" t="s">
        <x:v>402</x:v>
      </x:c>
      <x:c r="J220" s="291"/>
      <x:c r="K220" s="291"/>
      <x:c r="L220" s="291"/>
      <x:c r="M220" s="13" t="s">
        <x:v>30</x:v>
      </x:c>
      <x:c r="N220" s="165" t="s">
        <x:v>403</x:v>
      </x:c>
      <x:c r="O220" s="165">
        <x:v>2</x:v>
      </x:c>
      <x:c r="R220" s="13">
        <x:v>7</x:v>
      </x:c>
      <x:c r="S220" s="13" t="s">
        <x:v>38</x:v>
      </x:c>
      <x:c r="X220" s="284" t="str">
        <x:v>OPC Security/Workflows + Unifier Workflows</x:v>
      </x:c>
      <x:c r="Y220" s="285"/>
      <x:c r="Z220" s="284"/>
      <x:c r="AA220" s="13"/>
      <x:c r="AB220" s="286"/>
    </x:row>
    <x:row r="221" ht="22.5">
      <x:c r="A221" s="290" t="e">
        <x:f>_xlfn.XLOOKUP(Matriz[[#This Row],[Categoría]],Categoría[Categoría],Categoría[Cat],"NA",0)</x:f>
        <x:v>#NAME?</x:v>
      </x:c>
      <x:c r="B221" s="165" t="s">
        <x:v>394</x:v>
      </x:c>
      <x:c r="C221" s="288" t="e">
        <x:f>_xlfn.XLOOKUP(Matriz[[#This Row],[Parámetro]],Parámetro[Parámetro],Parámetro[Par],0,0)</x:f>
        <x:v>#NAME?</x:v>
      </x:c>
      <x:c r="D221" s="165" t="s">
        <x:v>395</x:v>
      </x:c>
      <x:c r="E221" s="165" t="e">
        <x:f>Matriz[[#This Row],[Cat]]&amp;IF(Matriz[[#This Row],[Par]]=0,"","."&amp;Matriz[[#This Row],[Par]]&amp;"."&amp;TEXT(COUNTIFS(A$2:A221,Matriz[[#This Row],[Cat]],C$2:C221,Matriz[[#This Row],[Par]]),"000"))</x:f>
        <x:v>#NAME?</x:v>
      </x:c>
      <x:c r="F221" s="289" t="e">
        <x:f>IF(LEN(Matriz[[#This Row],[EDT]])=1,COUNTIF(Matriz[EDT],"?????????*"),IF(LEN(Matriz[[#This Row],[EDT]])=2,COUNTIF(Matriz[EDT],Matriz[[#This Row],[Cat]]&amp;"*")-1,0))</x:f>
        <x:v>#NAME?</x:v>
      </x:c>
      <x:c r="G221" s="165" t="e">
        <x:f>IF(Matriz[[#This Row],['# reque-rimientos]]&gt;0,"Sí","No")</x:f>
        <x:v>#REF!</x:v>
      </x:c>
      <x:c r="H221" s="165" t="e">
        <x:f>IF(Matriz[[#This Row],[Cat]]="0",0,IF(Matriz[[#This Row],[Par]]=0,1,LEN(Matriz[[#This Row],[EDT]])-LEN(SUBSTITUTE(Matriz[[#This Row],[EDT]],".",""))))</x:f>
        <x:v>#NAME?</x:v>
      </x:c>
      <x:c r="I221" s="165" t="s">
        <x:v>404</x:v>
      </x:c>
      <x:c r="M221" s="13" t="s">
        <x:v>32</x:v>
      </x:c>
      <x:c r="N221" s="13" t="s">
        <x:v>405</x:v>
      </x:c>
      <x:c r="O221" s="165">
        <x:v>1</x:v>
      </x:c>
      <x:c r="R221" s="13">
        <x:v>8</x:v>
      </x:c>
      <x:c r="S221" s="13" t="s">
        <x:v>38</x:v>
      </x:c>
      <x:c r="X221" s="284" t="str">
        <x:v>OPC Security/Workflows + Unifier Workflows</x:v>
      </x:c>
      <x:c r="Y221" s="285"/>
      <x:c r="Z221" s="284"/>
      <x:c r="AA221" s="13"/>
      <x:c r="AB221" s="286"/>
    </x:row>
    <x:row r="222" ht="22.5">
      <x:c r="A222" s="290" t="e">
        <x:f>_xlfn.XLOOKUP(Matriz[[#This Row],[Categoría]],Categoría[Categoría],Categoría[Cat],"NA",0)</x:f>
        <x:v>#NAME?</x:v>
      </x:c>
      <x:c r="B222" s="165" t="s">
        <x:v>394</x:v>
      </x:c>
      <x:c r="C222" s="288" t="e">
        <x:f>_xlfn.XLOOKUP(Matriz[[#This Row],[Parámetro]],Parámetro[Parámetro],Parámetro[Par],0,0)</x:f>
        <x:v>#NAME?</x:v>
      </x:c>
      <x:c r="D222" s="165" t="s">
        <x:v>395</x:v>
      </x:c>
      <x:c r="E222" s="165" t="e">
        <x:f>Matriz[[#This Row],[Cat]]&amp;IF(Matriz[[#This Row],[Par]]=0,"","."&amp;Matriz[[#This Row],[Par]]&amp;"."&amp;TEXT(COUNTIFS(A$2:A222,Matriz[[#This Row],[Cat]],C$2:C222,Matriz[[#This Row],[Par]]),"000"))</x:f>
        <x:v>#NAME?</x:v>
      </x:c>
      <x:c r="F222" s="289" t="e">
        <x:f>IF(LEN(Matriz[[#This Row],[EDT]])=1,COUNTIF(Matriz[EDT],"?????????*"),IF(LEN(Matriz[[#This Row],[EDT]])=2,COUNTIF(Matriz[EDT],Matriz[[#This Row],[Cat]]&amp;"*")-1,0))</x:f>
        <x:v>#NAME?</x:v>
      </x:c>
      <x:c r="G222" s="165" t="e">
        <x:f>IF(Matriz[[#This Row],['# reque-rimientos]]&gt;0,"Sí","No")</x:f>
        <x:v>#REF!</x:v>
      </x:c>
      <x:c r="H222" s="165" t="e">
        <x:f>IF(Matriz[[#This Row],[Cat]]="0",0,IF(Matriz[[#This Row],[Par]]=0,1,LEN(Matriz[[#This Row],[EDT]])-LEN(SUBSTITUTE(Matriz[[#This Row],[EDT]],".",""))))</x:f>
        <x:v>#NAME?</x:v>
      </x:c>
      <x:c r="I222" s="165" t="s">
        <x:v>406</x:v>
      </x:c>
      <x:c r="M222" s="13" t="s">
        <x:v>120</x:v>
      </x:c>
      <x:c r="O222" s="165">
        <x:v>1</x:v>
      </x:c>
      <x:c r="R222" s="13">
        <x:v>8</x:v>
      </x:c>
      <x:c r="S222" s="13" t="s">
        <x:v>38</x:v>
      </x:c>
      <x:c r="X222" s="284" t="str">
        <x:v>OPC Resource Management + Administration</x:v>
      </x:c>
      <x:c r="Y222" s="285"/>
      <x:c r="Z222" s="284"/>
      <x:c r="AA222" s="13"/>
      <x:c r="AB222" s="286"/>
    </x:row>
    <x:row r="223" ht="22.5" hidden="1">
      <x:c r="A223" s="290" t="e">
        <x:f>_xlfn.XLOOKUP(Matriz[[#This Row],[Categoría]],Categoría[Categoría],Categoría[Cat],"NA",0)</x:f>
        <x:v>#NAME?</x:v>
      </x:c>
      <x:c r="B223" s="165" t="s">
        <x:v>394</x:v>
      </x:c>
      <x:c r="C223" s="288" t="e">
        <x:f>_xlfn.XLOOKUP(Matriz[[#This Row],[Parámetro]],Parámetro[Parámetro],Parámetro[Par],0,0)</x:f>
        <x:v>#NAME?</x:v>
      </x:c>
      <x:c r="D223" s="165" t="s">
        <x:v>395</x:v>
      </x:c>
      <x:c r="E223" s="165" t="e">
        <x:f>Matriz[[#This Row],[Cat]]&amp;IF(Matriz[[#This Row],[Par]]=0,"","."&amp;Matriz[[#This Row],[Par]]&amp;"."&amp;TEXT(COUNTIFS(A$2:A223,Matriz[[#This Row],[Cat]],C$2:C223,Matriz[[#This Row],[Par]]),"000"))</x:f>
        <x:v>#NAME?</x:v>
      </x:c>
      <x:c r="F223" s="289" t="e">
        <x:f>IF(LEN(Matriz[[#This Row],[EDT]])=1,COUNTIF(Matriz[EDT],"?????????*"),IF(LEN(Matriz[[#This Row],[EDT]])=2,COUNTIF(Matriz[EDT],Matriz[[#This Row],[Cat]]&amp;"*")-1,0))</x:f>
        <x:v>#NAME?</x:v>
      </x:c>
      <x:c r="G223" s="165" t="e">
        <x:f>IF(Matriz[[#This Row],['# reque-rimientos]]&gt;0,"Sí","No")</x:f>
        <x:v>#REF!</x:v>
      </x:c>
      <x:c r="H223" s="165" t="e">
        <x:f>IF(Matriz[[#This Row],[Cat]]="0",0,IF(Matriz[[#This Row],[Par]]=0,1,LEN(Matriz[[#This Row],[EDT]])-LEN(SUBSTITUTE(Matriz[[#This Row],[EDT]],".",""))))</x:f>
        <x:v>#NAME?</x:v>
      </x:c>
      <x:c r="I223" s="165" t="s">
        <x:v>407</x:v>
      </x:c>
      <x:c r="M223" s="13" t="s">
        <x:v>32</x:v>
      </x:c>
      <x:c r="O223" s="165">
        <x:v>2</x:v>
      </x:c>
      <x:c r="R223" s="13">
        <x:v>7</x:v>
      </x:c>
      <x:c r="S223" s="13" t="s">
        <x:v>38</x:v>
      </x:c>
      <x:c r="X223" s="284" t="str">
        <x:v>OPC Security/Workflows + Unifier Workflows</x:v>
      </x:c>
      <x:c r="Y223" s="285"/>
      <x:c r="Z223" s="284"/>
      <x:c r="AA223" s="13"/>
      <x:c r="AB223" s="286"/>
    </x:row>
    <x:row r="224" ht="22.5">
      <x:c r="A224" s="290" t="e">
        <x:f>_xlfn.XLOOKUP(Matriz[[#This Row],[Categoría]],Categoría[Categoría],Categoría[Cat],"NA",0)</x:f>
        <x:v>#NAME?</x:v>
      </x:c>
      <x:c r="B224" s="165" t="s">
        <x:v>394</x:v>
      </x:c>
      <x:c r="C224" s="288" t="e">
        <x:f>_xlfn.XLOOKUP(Matriz[[#This Row],[Parámetro]],Parámetro[Parámetro],Parámetro[Par],0,0)</x:f>
        <x:v>#NAME?</x:v>
      </x:c>
      <x:c r="D224" s="165" t="s">
        <x:v>395</x:v>
      </x:c>
      <x:c r="E224" s="165" t="e">
        <x:f>Matriz[[#This Row],[Cat]]&amp;IF(Matriz[[#This Row],[Par]]=0,"","."&amp;Matriz[[#This Row],[Par]]&amp;"."&amp;TEXT(COUNTIFS(A$2:A224,Matriz[[#This Row],[Cat]],C$2:C224,Matriz[[#This Row],[Par]]),"000"))</x:f>
        <x:v>#NAME?</x:v>
      </x:c>
      <x:c r="F224" s="289" t="e">
        <x:f>IF(LEN(Matriz[[#This Row],[EDT]])=1,COUNTIF(Matriz[EDT],"?????????*"),IF(LEN(Matriz[[#This Row],[EDT]])=2,COUNTIF(Matriz[EDT],Matriz[[#This Row],[Cat]]&amp;"*")-1,0))</x:f>
        <x:v>#NAME?</x:v>
      </x:c>
      <x:c r="G224" s="165" t="e">
        <x:f>IF(Matriz[[#This Row],['# reque-rimientos]]&gt;0,"Sí","No")</x:f>
        <x:v>#REF!</x:v>
      </x:c>
      <x:c r="H224" s="165" t="e">
        <x:f>IF(Matriz[[#This Row],[Cat]]="0",0,IF(Matriz[[#This Row],[Par]]=0,1,LEN(Matriz[[#This Row],[EDT]])-LEN(SUBSTITUTE(Matriz[[#This Row],[EDT]],".",""))))</x:f>
        <x:v>#NAME?</x:v>
      </x:c>
      <x:c r="I224" s="165" t="s">
        <x:v>408</x:v>
      </x:c>
      <x:c r="M224" s="13" t="s">
        <x:v>120</x:v>
      </x:c>
      <x:c r="O224" s="165">
        <x:v>1</x:v>
      </x:c>
      <x:c r="R224" s="13">
        <x:v>8</x:v>
      </x:c>
      <x:c r="S224" s="13" t="s">
        <x:v>38</x:v>
      </x:c>
      <x:c r="X224" s="284" t="str">
        <x:v>OPC Cost/Funds + Oracle Primavera Unifier</x:v>
      </x:c>
      <x:c r="Y224" s="285"/>
      <x:c r="Z224" s="284"/>
      <x:c r="AA224" s="13"/>
      <x:c r="AB224" s="286"/>
    </x:row>
    <x:row r="225" ht="22.5">
      <x:c r="A225" s="275" t="e">
        <x:f>_xlfn.XLOOKUP(Matriz[[#This Row],[Categoría]],Categoría[Categoría],Categoría[Cat],"NA",0)</x:f>
        <x:v>#NAME?</x:v>
      </x:c>
      <x:c r="B225" s="13" t="s">
        <x:v>394</x:v>
      </x:c>
      <x:c r="C225" s="276" t="e">
        <x:f>_xlfn.XLOOKUP(Matriz[[#This Row],[Parámetro]],Parámetro[Parámetro],Parámetro[Par],0,0)</x:f>
        <x:v>#NAME?</x:v>
      </x:c>
      <x:c r="D225" s="165" t="s">
        <x:v>395</x:v>
      </x:c>
      <x:c r="E225" s="165" t="e">
        <x:f>Matriz[[#This Row],[Cat]]&amp;IF(Matriz[[#This Row],[Par]]=0,"","."&amp;Matriz[[#This Row],[Par]]&amp;"."&amp;TEXT(COUNTIFS(A$2:A225,Matriz[[#This Row],[Cat]],C$2:C225,Matriz[[#This Row],[Par]]),"000"))</x:f>
        <x:v>#NAME?</x:v>
      </x:c>
      <x:c r="F225" s="289" t="e">
        <x:f>IF(LEN(Matriz[[#This Row],[EDT]])=1,COUNTIF(Matriz[EDT],"?????????*"),IF(LEN(Matriz[[#This Row],[EDT]])=2,COUNTIF(Matriz[EDT],Matriz[[#This Row],[Cat]]&amp;"*")-1,0))</x:f>
        <x:v>#NAME?</x:v>
      </x:c>
      <x:c r="G225" s="165" t="e">
        <x:f>IF(Matriz[[#This Row],['# reque-rimientos]]&gt;0,"Sí","No")</x:f>
        <x:v>#REF!</x:v>
      </x:c>
      <x:c r="H225" s="165" t="e">
        <x:f>IF(Matriz[[#This Row],[Cat]]="0",0,IF(Matriz[[#This Row],[Par]]=0,1,LEN(Matriz[[#This Row],[EDT]])-LEN(SUBSTITUTE(Matriz[[#This Row],[EDT]],".",""))))</x:f>
        <x:v>#NAME?</x:v>
      </x:c>
      <x:c r="I225" s="13" t="s">
        <x:v>409</x:v>
      </x:c>
      <x:c r="M225" s="13" t="s">
        <x:v>120</x:v>
      </x:c>
      <x:c r="O225" s="165">
        <x:v>1</x:v>
      </x:c>
      <x:c r="R225" s="13">
        <x:v>8</x:v>
      </x:c>
      <x:c r="S225" s="13" t="s">
        <x:v>38</x:v>
      </x:c>
      <x:c r="X225" s="284" t="str">
        <x:v>Oracle Primavera Cloud Schedule</x:v>
      </x:c>
      <x:c r="Y225" s="285"/>
      <x:c r="Z225" s="284"/>
      <x:c r="AA225" s="13"/>
      <x:c r="AB225" s="286"/>
    </x:row>
    <x:row r="226" ht="22.5" hidden="1">
      <x:c r="A226" s="275" t="e">
        <x:f>_xlfn.XLOOKUP(Matriz[[#This Row],[Categoría]],Categoría[Categoría],Categoría[Cat],"NA",0)</x:f>
        <x:v>#NAME?</x:v>
      </x:c>
      <x:c r="B226" s="13" t="s">
        <x:v>394</x:v>
      </x:c>
      <x:c r="C226" s="276" t="e">
        <x:f>_xlfn.XLOOKUP(Matriz[[#This Row],[Parámetro]],Parámetro[Parámetro],Parámetro[Par],0,0)</x:f>
        <x:v>#NAME?</x:v>
      </x:c>
      <x:c r="D226" s="165" t="s">
        <x:v>395</x:v>
      </x:c>
      <x:c r="E226" s="165" t="e">
        <x:f>Matriz[[#This Row],[Cat]]&amp;IF(Matriz[[#This Row],[Par]]=0,"","."&amp;Matriz[[#This Row],[Par]]&amp;"."&amp;TEXT(COUNTIFS(A$2:A226,Matriz[[#This Row],[Cat]],C$2:C226,Matriz[[#This Row],[Par]]),"000"))</x:f>
        <x:v>#NAME?</x:v>
      </x:c>
      <x:c r="F226" s="289" t="e">
        <x:f>IF(LEN(Matriz[[#This Row],[EDT]])=1,COUNTIF(Matriz[EDT],"?????????*"),IF(LEN(Matriz[[#This Row],[EDT]])=2,COUNTIF(Matriz[EDT],Matriz[[#This Row],[Cat]]&amp;"*")-1,0))</x:f>
        <x:v>#NAME?</x:v>
      </x:c>
      <x:c r="G226" s="165" t="e">
        <x:f>IF(Matriz[[#This Row],['# reque-rimientos]]&gt;0,"Sí","No")</x:f>
        <x:v>#REF!</x:v>
      </x:c>
      <x:c r="H226" s="165" t="e">
        <x:f>IF(Matriz[[#This Row],[Cat]]="0",0,IF(Matriz[[#This Row],[Par]]=0,1,LEN(Matriz[[#This Row],[EDT]])-LEN(SUBSTITUTE(Matriz[[#This Row],[EDT]],".",""))))</x:f>
        <x:v>#NAME?</x:v>
      </x:c>
      <x:c r="I226" s="13" t="s">
        <x:v>410</x:v>
      </x:c>
      <x:c r="M226" s="13" t="s">
        <x:v>120</x:v>
      </x:c>
      <x:c r="O226" s="165">
        <x:v>2</x:v>
      </x:c>
      <x:c r="R226" s="13">
        <x:v>7</x:v>
      </x:c>
      <x:c r="S226" s="13" t="s">
        <x:v>38</x:v>
      </x:c>
      <x:c r="X226" s="284" t="str">
        <x:v>OPC Security/Workflows + Unifier Workflows</x:v>
      </x:c>
      <x:c r="Y226" s="285"/>
      <x:c r="Z226" s="284"/>
      <x:c r="AA226" s="13"/>
      <x:c r="AB226" s="286"/>
    </x:row>
    <x:row r="227" ht="12.75">
      <x:c r="A227" s="279" t="e">
        <x:f>_xlfn.XLOOKUP(Matriz[[#This Row],[Categoría]],Categoría[Categoría],Categoría[Cat],"NA",0)</x:f>
        <x:v>#NAME?</x:v>
      </x:c>
      <x:c r="B227" s="280" t="s">
        <x:v>411</x:v>
      </x:c>
      <x:c r="C227" s="281" t="e">
        <x:f>_xlfn.XLOOKUP(Matriz[[#This Row],[Parámetro]],Parámetro[Parámetro],Parámetro[Par],0,0)</x:f>
        <x:v>#NAME?</x:v>
      </x:c>
      <x:c r="E227" s="13" t="e">
        <x:f>Matriz[[#This Row],[Cat]]&amp;IF(Matriz[[#This Row],[Par]]=0,"","."&amp;Matriz[[#This Row],[Par]]&amp;"."&amp;TEXT(COUNTIFS(A$2:A227,Matriz[[#This Row],[Cat]],C$2:C227,Matriz[[#This Row],[Par]]),"000"))</x:f>
        <x:v>#NAME?</x:v>
      </x:c>
      <x:c r="F227" s="295" t="e">
        <x:f>IF(LEN(Matriz[[#This Row],[EDT]])=1,COUNTIF(Matriz[EDT],"?????????*"),IF(LEN(Matriz[[#This Row],[EDT]])=2,COUNTIF(Matriz[EDT],Matriz[[#This Row],[Cat]]&amp;"*")-1,0))</x:f>
        <x:v>#NAME?</x:v>
      </x:c>
      <x:c r="G227" s="13" t="e">
        <x:f>IF(Matriz[[#This Row],['# reque-rimientos]]&gt;0,"Sí","No")</x:f>
        <x:v>#REF!</x:v>
      </x:c>
      <x:c r="H227" s="13" t="e">
        <x:f>IF(Matriz[[#This Row],[Cat]]="0",0,IF(Matriz[[#This Row],[Par]]=0,1,LEN(Matriz[[#This Row],[EDT]])-LEN(SUBSTITUTE(Matriz[[#This Row],[EDT]],".",""))))</x:f>
        <x:v>#NAME?</x:v>
      </x:c>
      <x:c r="M227" s="13" t="s">
        <x:v>120</x:v>
      </x:c>
      <x:c r="O227" s="165">
        <x:v>1</x:v>
      </x:c>
      <x:c r="R227" s="287" t="e">
        <x:f>_xlfn.XLOOKUP(Matriz[[#This Row],[Cat]],Categoría[Cat],Categoría[IMP],"NA",0)</x:f>
        <x:v>#NAME?</x:v>
      </x:c>
      <x:c r="S227" s="13" t="s">
        <x:v>38</x:v>
      </x:c>
      <x:c r="X227" s="284"/>
      <x:c r="Y227" s="285"/>
      <x:c r="Z227" s="284"/>
      <x:c r="AA227" s="13"/>
      <x:c r="AB227" s="286"/>
    </x:row>
    <x:row r="228">
      <x:c r="A228" s="290" t="e">
        <x:f>_xlfn.XLOOKUP(Matriz[[#This Row],[Categoría]],Categoría[Categoría],Categoría[Cat],"NA",0)</x:f>
        <x:v>#NAME?</x:v>
      </x:c>
      <x:c r="B228" s="165" t="s">
        <x:v>411</x:v>
      </x:c>
      <x:c r="C228" s="288" t="e">
        <x:f>_xlfn.XLOOKUP(Matriz[[#This Row],[Parámetro]],Parámetro[Parámetro],Parámetro[Par],0,0)</x:f>
        <x:v>#NAME?</x:v>
      </x:c>
      <x:c r="D228" s="165" t="s">
        <x:v>370</x:v>
      </x:c>
      <x:c r="E228" s="165" t="e">
        <x:f>Matriz[[#This Row],[Cat]]&amp;IF(Matriz[[#This Row],[Par]]=0,"","."&amp;Matriz[[#This Row],[Par]]&amp;"."&amp;TEXT(COUNTIFS(A$2:A228,Matriz[[#This Row],[Cat]],C$2:C228,Matriz[[#This Row],[Par]]),"000"))</x:f>
        <x:v>#NAME?</x:v>
      </x:c>
      <x:c r="F228" s="289" t="e">
        <x:f>IF(LEN(Matriz[[#This Row],[EDT]])=1,COUNTIF(Matriz[EDT],"?????????*"),IF(LEN(Matriz[[#This Row],[EDT]])=2,COUNTIF(Matriz[EDT],Matriz[[#This Row],[Cat]]&amp;"*")-1,0))</x:f>
        <x:v>#NAME?</x:v>
      </x:c>
      <x:c r="G228" s="165" t="e">
        <x:f>IF(Matriz[[#This Row],['# reque-rimientos]]&gt;0,"Sí","No")</x:f>
        <x:v>#REF!</x:v>
      </x:c>
      <x:c r="H228" s="165" t="e">
        <x:f>IF(Matriz[[#This Row],[Cat]]="0",0,IF(Matriz[[#This Row],[Par]]=0,1,LEN(Matriz[[#This Row],[EDT]])-LEN(SUBSTITUTE(Matriz[[#This Row],[EDT]],".",""))))</x:f>
        <x:v>#NAME?</x:v>
      </x:c>
      <x:c r="I228" s="13" t="s">
        <x:v>412</x:v>
      </x:c>
      <x:c r="M228" s="13" t="s">
        <x:v>120</x:v>
      </x:c>
      <x:c r="O228" s="165">
        <x:v>1</x:v>
      </x:c>
      <x:c r="R228" s="13">
        <x:v>10</x:v>
      </x:c>
      <x:c r="S228" s="13" t="s">
        <x:v>38</x:v>
      </x:c>
      <x:c r="X228" s="284" t="str">
        <x:v>Oracle Primavera Cloud (Portfolios/Programs) + Analytics</x:v>
      </x:c>
      <x:c r="Y228" s="285"/>
      <x:c r="Z228" s="284"/>
      <x:c r="AA228" s="13"/>
      <x:c r="AB228" s="286"/>
    </x:row>
    <x:row r="229" ht="33.75">
      <x:c r="A229" s="290" t="e">
        <x:f>_xlfn.XLOOKUP(Matriz[[#This Row],[Categoría]],Categoría[Categoría],Categoría[Cat],"NA",0)</x:f>
        <x:v>#NAME?</x:v>
      </x:c>
      <x:c r="B229" s="165" t="s">
        <x:v>411</x:v>
      </x:c>
      <x:c r="C229" s="288" t="e">
        <x:f>_xlfn.XLOOKUP(Matriz[[#This Row],[Parámetro]],Parámetro[Parámetro],Parámetro[Par],0,0)</x:f>
        <x:v>#NAME?</x:v>
      </x:c>
      <x:c r="D229" s="165" t="s">
        <x:v>370</x:v>
      </x:c>
      <x:c r="E229" s="165" t="e">
        <x:f>Matriz[[#This Row],[Cat]]&amp;IF(Matriz[[#This Row],[Par]]=0,"","."&amp;Matriz[[#This Row],[Par]]&amp;"."&amp;TEXT(COUNTIFS(A$2:A229,Matriz[[#This Row],[Cat]],C$2:C229,Matriz[[#This Row],[Par]]),"000"))</x:f>
        <x:v>#NAME?</x:v>
      </x:c>
      <x:c r="F229" s="289" t="e">
        <x:f>IF(LEN(Matriz[[#This Row],[EDT]])=1,COUNTIF(Matriz[EDT],"?????????*"),IF(LEN(Matriz[[#This Row],[EDT]])=2,COUNTIF(Matriz[EDT],Matriz[[#This Row],[Cat]]&amp;"*")-1,0))</x:f>
        <x:v>#NAME?</x:v>
      </x:c>
      <x:c r="G229" s="165" t="e">
        <x:f>IF(Matriz[[#This Row],['# reque-rimientos]]&gt;0,"Sí","No")</x:f>
        <x:v>#REF!</x:v>
      </x:c>
      <x:c r="H229" s="165" t="e">
        <x:f>IF(Matriz[[#This Row],[Cat]]="0",0,IF(Matriz[[#This Row],[Par]]=0,1,LEN(Matriz[[#This Row],[EDT]])-LEN(SUBSTITUTE(Matriz[[#This Row],[EDT]],".",""))))</x:f>
        <x:v>#NAME?</x:v>
      </x:c>
      <x:c r="I229" s="13" t="s">
        <x:v>413</x:v>
      </x:c>
      <x:c r="M229" s="13" t="s">
        <x:v>120</x:v>
      </x:c>
      <x:c r="N229" s="13" t="s">
        <x:v>414</x:v>
      </x:c>
      <x:c r="O229" s="165">
        <x:v>1</x:v>
      </x:c>
      <x:c r="R229" s="13">
        <x:v>9</x:v>
      </x:c>
      <x:c r="S229" s="13" t="s">
        <x:v>38</x:v>
      </x:c>
      <x:c r="W229" s="13" t="s">
        <x:v>347</x:v>
      </x:c>
      <x:c r="X229" s="284" t="str">
        <x:v>Oracle Primavera Cloud (Portfolios/Programs) + Analytics</x:v>
      </x:c>
      <x:c r="Y229" s="285"/>
      <x:c r="Z229" s="284"/>
      <x:c r="AA229" s="13"/>
      <x:c r="AB229" s="286"/>
    </x:row>
    <x:row r="230">
      <x:c r="A230" s="290" t="e">
        <x:f>_xlfn.XLOOKUP(Matriz[[#This Row],[Categoría]],Categoría[Categoría],Categoría[Cat],"NA",0)</x:f>
        <x:v>#NAME?</x:v>
      </x:c>
      <x:c r="B230" s="165" t="s">
        <x:v>411</x:v>
      </x:c>
      <x:c r="C230" s="288" t="e">
        <x:f>_xlfn.XLOOKUP(Matriz[[#This Row],[Parámetro]],Parámetro[Parámetro],Parámetro[Par],0,0)</x:f>
        <x:v>#NAME?</x:v>
      </x:c>
      <x:c r="D230" s="165" t="s">
        <x:v>370</x:v>
      </x:c>
      <x:c r="E230" s="165" t="e">
        <x:f>Matriz[[#This Row],[Cat]]&amp;IF(Matriz[[#This Row],[Par]]=0,"","."&amp;Matriz[[#This Row],[Par]]&amp;"."&amp;TEXT(COUNTIFS(A$2:A230,Matriz[[#This Row],[Cat]],C$2:C230,Matriz[[#This Row],[Par]]),"000"))</x:f>
        <x:v>#NAME?</x:v>
      </x:c>
      <x:c r="F230" s="289" t="e">
        <x:f>IF(LEN(Matriz[[#This Row],[EDT]])=1,COUNTIF(Matriz[EDT],"?????????*"),IF(LEN(Matriz[[#This Row],[EDT]])=2,COUNTIF(Matriz[EDT],Matriz[[#This Row],[Cat]]&amp;"*")-1,0))</x:f>
        <x:v>#NAME?</x:v>
      </x:c>
      <x:c r="G230" s="165" t="e">
        <x:f>IF(Matriz[[#This Row],['# reque-rimientos]]&gt;0,"Sí","No")</x:f>
        <x:v>#REF!</x:v>
      </x:c>
      <x:c r="H230" s="165" t="e">
        <x:f>IF(Matriz[[#This Row],[Cat]]="0",0,IF(Matriz[[#This Row],[Par]]=0,1,LEN(Matriz[[#This Row],[EDT]])-LEN(SUBSTITUTE(Matriz[[#This Row],[EDT]],".",""))))</x:f>
        <x:v>#NAME?</x:v>
      </x:c>
      <x:c r="I230" s="13" t="s">
        <x:v>415</x:v>
      </x:c>
      <x:c r="M230" s="13" t="s">
        <x:v>120</x:v>
      </x:c>
      <x:c r="O230" s="165">
        <x:v>1</x:v>
      </x:c>
      <x:c r="R230" s="13">
        <x:v>9</x:v>
      </x:c>
      <x:c r="S230" s="13" t="s">
        <x:v>38</x:v>
      </x:c>
      <x:c r="X230" s="284" t="str">
        <x:v>Oracle Primavera Cloud (Portfolios/Programs) + Analytics</x:v>
      </x:c>
      <x:c r="Y230" s="285"/>
      <x:c r="Z230" s="284"/>
      <x:c r="AA230" s="13"/>
      <x:c r="AB230" s="286"/>
    </x:row>
    <x:row r="231">
      <x:c r="A231" s="290" t="e">
        <x:f>_xlfn.XLOOKUP(Matriz[[#This Row],[Categoría]],Categoría[Categoría],Categoría[Cat],"NA",0)</x:f>
        <x:v>#NAME?</x:v>
      </x:c>
      <x:c r="B231" s="165" t="s">
        <x:v>411</x:v>
      </x:c>
      <x:c r="C231" s="288" t="e">
        <x:f>_xlfn.XLOOKUP(Matriz[[#This Row],[Parámetro]],Parámetro[Parámetro],Parámetro[Par],0,0)</x:f>
        <x:v>#NAME?</x:v>
      </x:c>
      <x:c r="D231" s="165" t="s">
        <x:v>370</x:v>
      </x:c>
      <x:c r="E231" s="165" t="e">
        <x:f>Matriz[[#This Row],[Cat]]&amp;IF(Matriz[[#This Row],[Par]]=0,"","."&amp;Matriz[[#This Row],[Par]]&amp;"."&amp;TEXT(COUNTIFS(A$2:A231,Matriz[[#This Row],[Cat]],C$2:C231,Matriz[[#This Row],[Par]]),"000"))</x:f>
        <x:v>#NAME?</x:v>
      </x:c>
      <x:c r="F231" s="289" t="e">
        <x:f>IF(LEN(Matriz[[#This Row],[EDT]])=1,COUNTIF(Matriz[EDT],"?????????*"),IF(LEN(Matriz[[#This Row],[EDT]])=2,COUNTIF(Matriz[EDT],Matriz[[#This Row],[Cat]]&amp;"*")-1,0))</x:f>
        <x:v>#NAME?</x:v>
      </x:c>
      <x:c r="G231" s="165" t="e">
        <x:f>IF(Matriz[[#This Row],['# reque-rimientos]]&gt;0,"Sí","No")</x:f>
        <x:v>#REF!</x:v>
      </x:c>
      <x:c r="H231" s="165" t="e">
        <x:f>IF(Matriz[[#This Row],[Cat]]="0",0,IF(Matriz[[#This Row],[Par]]=0,1,LEN(Matriz[[#This Row],[EDT]])-LEN(SUBSTITUTE(Matriz[[#This Row],[EDT]],".",""))))</x:f>
        <x:v>#NAME?</x:v>
      </x:c>
      <x:c r="I231" s="13" t="s">
        <x:v>416</x:v>
      </x:c>
      <x:c r="M231" s="13" t="s">
        <x:v>120</x:v>
      </x:c>
      <x:c r="O231" s="165">
        <x:v>1</x:v>
      </x:c>
      <x:c r="R231" s="13">
        <x:v>9</x:v>
      </x:c>
      <x:c r="S231" s="13" t="s">
        <x:v>38</x:v>
      </x:c>
      <x:c r="X231" s="284" t="str">
        <x:v>Oracle Primavera Cloud (Portfolios/Programs) + Analytics</x:v>
      </x:c>
      <x:c r="Y231" s="285"/>
      <x:c r="Z231" s="284"/>
      <x:c r="AA231" s="13"/>
      <x:c r="AB231" s="286"/>
    </x:row>
    <x:row r="232">
      <x:c r="A232" s="290" t="e">
        <x:f>_xlfn.XLOOKUP(Matriz[[#This Row],[Categoría]],Categoría[Categoría],Categoría[Cat],"NA",0)</x:f>
        <x:v>#NAME?</x:v>
      </x:c>
      <x:c r="B232" s="165" t="s">
        <x:v>411</x:v>
      </x:c>
      <x:c r="C232" s="288" t="e">
        <x:f>_xlfn.XLOOKUP(Matriz[[#This Row],[Parámetro]],Parámetro[Parámetro],Parámetro[Par],0,0)</x:f>
        <x:v>#NAME?</x:v>
      </x:c>
      <x:c r="D232" s="165" t="s">
        <x:v>370</x:v>
      </x:c>
      <x:c r="E232" s="165" t="e">
        <x:f>Matriz[[#This Row],[Cat]]&amp;IF(Matriz[[#This Row],[Par]]=0,"","."&amp;Matriz[[#This Row],[Par]]&amp;"."&amp;TEXT(COUNTIFS(A$2:A232,Matriz[[#This Row],[Cat]],C$2:C232,Matriz[[#This Row],[Par]]),"000"))</x:f>
        <x:v>#NAME?</x:v>
      </x:c>
      <x:c r="F232" s="289" t="e">
        <x:f>IF(LEN(Matriz[[#This Row],[EDT]])=1,COUNTIF(Matriz[EDT],"?????????*"),IF(LEN(Matriz[[#This Row],[EDT]])=2,COUNTIF(Matriz[EDT],Matriz[[#This Row],[Cat]]&amp;"*")-1,0))</x:f>
        <x:v>#NAME?</x:v>
      </x:c>
      <x:c r="G232" s="165" t="e">
        <x:f>IF(Matriz[[#This Row],['# reque-rimientos]]&gt;0,"Sí","No")</x:f>
        <x:v>#REF!</x:v>
      </x:c>
      <x:c r="H232" s="165" t="e">
        <x:f>IF(Matriz[[#This Row],[Cat]]="0",0,IF(Matriz[[#This Row],[Par]]=0,1,LEN(Matriz[[#This Row],[EDT]])-LEN(SUBSTITUTE(Matriz[[#This Row],[EDT]],".",""))))</x:f>
        <x:v>#NAME?</x:v>
      </x:c>
      <x:c r="I232" s="13" t="s">
        <x:v>371</x:v>
      </x:c>
      <x:c r="M232" s="13" t="s">
        <x:v>120</x:v>
      </x:c>
      <x:c r="O232" s="165">
        <x:v>1</x:v>
      </x:c>
      <x:c r="R232" s="13">
        <x:v>9</x:v>
      </x:c>
      <x:c r="S232" s="13" t="s">
        <x:v>38</x:v>
      </x:c>
      <x:c r="X232" s="284" t="str">
        <x:v>Oracle Primavera Cloud (Portfolios/Programs) + Analytics</x:v>
      </x:c>
      <x:c r="Y232" s="285"/>
      <x:c r="Z232" s="284"/>
      <x:c r="AA232" s="13"/>
      <x:c r="AB232" s="286"/>
    </x:row>
    <x:row r="233">
      <x:c r="A233" s="290" t="e">
        <x:f>_xlfn.XLOOKUP(Matriz[[#This Row],[Categoría]],Categoría[Categoría],Categoría[Cat],"NA",0)</x:f>
        <x:v>#NAME?</x:v>
      </x:c>
      <x:c r="B233" s="165" t="s">
        <x:v>411</x:v>
      </x:c>
      <x:c r="C233" s="288" t="e">
        <x:f>_xlfn.XLOOKUP(Matriz[[#This Row],[Parámetro]],Parámetro[Parámetro],Parámetro[Par],0,0)</x:f>
        <x:v>#NAME?</x:v>
      </x:c>
      <x:c r="D233" s="165" t="s">
        <x:v>370</x:v>
      </x:c>
      <x:c r="E233" s="165" t="e">
        <x:f>Matriz[[#This Row],[Cat]]&amp;IF(Matriz[[#This Row],[Par]]=0,"","."&amp;Matriz[[#This Row],[Par]]&amp;"."&amp;TEXT(COUNTIFS(A$2:A233,Matriz[[#This Row],[Cat]],C$2:C233,Matriz[[#This Row],[Par]]),"000"))</x:f>
        <x:v>#NAME?</x:v>
      </x:c>
      <x:c r="F233" s="289" t="e">
        <x:f>IF(LEN(Matriz[[#This Row],[EDT]])=1,COUNTIF(Matriz[EDT],"?????????*"),IF(LEN(Matriz[[#This Row],[EDT]])=2,COUNTIF(Matriz[EDT],Matriz[[#This Row],[Cat]]&amp;"*")-1,0))</x:f>
        <x:v>#NAME?</x:v>
      </x:c>
      <x:c r="G233" s="165" t="e">
        <x:f>IF(Matriz[[#This Row],['# reque-rimientos]]&gt;0,"Sí","No")</x:f>
        <x:v>#REF!</x:v>
      </x:c>
      <x:c r="H233" s="165" t="e">
        <x:f>IF(Matriz[[#This Row],[Cat]]="0",0,IF(Matriz[[#This Row],[Par]]=0,1,LEN(Matriz[[#This Row],[EDT]])-LEN(SUBSTITUTE(Matriz[[#This Row],[EDT]],".",""))))</x:f>
        <x:v>#NAME?</x:v>
      </x:c>
      <x:c r="I233" s="13" t="s">
        <x:v>372</x:v>
      </x:c>
      <x:c r="M233" s="13" t="s">
        <x:v>120</x:v>
      </x:c>
      <x:c r="O233" s="165">
        <x:v>1</x:v>
      </x:c>
      <x:c r="R233" s="13">
        <x:v>9</x:v>
      </x:c>
      <x:c r="S233" s="13" t="s">
        <x:v>38</x:v>
      </x:c>
      <x:c r="X233" s="284" t="str">
        <x:v>Oracle Primavera Cloud (Portfolios/Programs) + Analytics</x:v>
      </x:c>
      <x:c r="Y233" s="285"/>
      <x:c r="Z233" s="284"/>
      <x:c r="AA233" s="13"/>
      <x:c r="AB233" s="286"/>
    </x:row>
    <x:row r="234">
      <x:c r="A234" s="290" t="e">
        <x:f>_xlfn.XLOOKUP(Matriz[[#This Row],[Categoría]],Categoría[Categoría],Categoría[Cat],"NA",0)</x:f>
        <x:v>#NAME?</x:v>
      </x:c>
      <x:c r="B234" s="165" t="s">
        <x:v>411</x:v>
      </x:c>
      <x:c r="C234" s="288" t="e">
        <x:f>_xlfn.XLOOKUP(Matriz[[#This Row],[Parámetro]],Parámetro[Parámetro],Parámetro[Par],0,0)</x:f>
        <x:v>#NAME?</x:v>
      </x:c>
      <x:c r="D234" s="165" t="s">
        <x:v>370</x:v>
      </x:c>
      <x:c r="E234" s="165" t="e">
        <x:f>Matriz[[#This Row],[Cat]]&amp;IF(Matriz[[#This Row],[Par]]=0,"","."&amp;Matriz[[#This Row],[Par]]&amp;"."&amp;TEXT(COUNTIFS(A$2:A234,Matriz[[#This Row],[Cat]],C$2:C234,Matriz[[#This Row],[Par]]),"000"))</x:f>
        <x:v>#NAME?</x:v>
      </x:c>
      <x:c r="F234" s="289" t="e">
        <x:f>IF(LEN(Matriz[[#This Row],[EDT]])=1,COUNTIF(Matriz[EDT],"?????????*"),IF(LEN(Matriz[[#This Row],[EDT]])=2,COUNTIF(Matriz[EDT],Matriz[[#This Row],[Cat]]&amp;"*")-1,0))</x:f>
        <x:v>#NAME?</x:v>
      </x:c>
      <x:c r="G234" s="165" t="e">
        <x:f>IF(Matriz[[#This Row],['# reque-rimientos]]&gt;0,"Sí","No")</x:f>
        <x:v>#REF!</x:v>
      </x:c>
      <x:c r="H234" s="165" t="e">
        <x:f>IF(Matriz[[#This Row],[Cat]]="0",0,IF(Matriz[[#This Row],[Par]]=0,1,LEN(Matriz[[#This Row],[EDT]])-LEN(SUBSTITUTE(Matriz[[#This Row],[EDT]],".",""))))</x:f>
        <x:v>#NAME?</x:v>
      </x:c>
      <x:c r="I234" s="13" t="s">
        <x:v>373</x:v>
      </x:c>
      <x:c r="M234" s="13" t="s">
        <x:v>120</x:v>
      </x:c>
      <x:c r="O234" s="165">
        <x:v>1</x:v>
      </x:c>
      <x:c r="R234" s="13">
        <x:v>9</x:v>
      </x:c>
      <x:c r="S234" s="13" t="s">
        <x:v>38</x:v>
      </x:c>
      <x:c r="X234" s="284" t="str">
        <x:v>Oracle Primavera Cloud (Portfolios/Programs) + Analytics</x:v>
      </x:c>
      <x:c r="Y234" s="285"/>
      <x:c r="Z234" s="284"/>
      <x:c r="AA234" s="13"/>
      <x:c r="AB234" s="286"/>
    </x:row>
    <x:row r="235" ht="45">
      <x:c r="A235" s="290" t="e">
        <x:f>_xlfn.XLOOKUP(Matriz[[#This Row],[Categoría]],Categoría[Categoría],Categoría[Cat],"NA",0)</x:f>
        <x:v>#NAME?</x:v>
      </x:c>
      <x:c r="B235" s="165" t="s">
        <x:v>411</x:v>
      </x:c>
      <x:c r="C235" s="288" t="e">
        <x:f>_xlfn.XLOOKUP(Matriz[[#This Row],[Parámetro]],Parámetro[Parámetro],Parámetro[Par],0,0)</x:f>
        <x:v>#NAME?</x:v>
      </x:c>
      <x:c r="D235" s="165" t="s">
        <x:v>370</x:v>
      </x:c>
      <x:c r="E235" s="165" t="e">
        <x:f>Matriz[[#This Row],[Cat]]&amp;IF(Matriz[[#This Row],[Par]]=0,"","."&amp;Matriz[[#This Row],[Par]]&amp;"."&amp;TEXT(COUNTIFS(A$2:A235,Matriz[[#This Row],[Cat]],C$2:C235,Matriz[[#This Row],[Par]]),"000"))</x:f>
        <x:v>#NAME?</x:v>
      </x:c>
      <x:c r="F235" s="289" t="e">
        <x:f>IF(LEN(Matriz[[#This Row],[EDT]])=1,COUNTIF(Matriz[EDT],"?????????*"),IF(LEN(Matriz[[#This Row],[EDT]])=2,COUNTIF(Matriz[EDT],Matriz[[#This Row],[Cat]]&amp;"*")-1,0))</x:f>
        <x:v>#NAME?</x:v>
      </x:c>
      <x:c r="G235" s="165" t="e">
        <x:f>IF(Matriz[[#This Row],['# reque-rimientos]]&gt;0,"Sí","No")</x:f>
        <x:v>#REF!</x:v>
      </x:c>
      <x:c r="H235" s="165" t="e">
        <x:f>IF(Matriz[[#This Row],[Cat]]="0",0,IF(Matriz[[#This Row],[Par]]=0,1,LEN(Matriz[[#This Row],[EDT]])-LEN(SUBSTITUTE(Matriz[[#This Row],[EDT]],".",""))))</x:f>
        <x:v>#NAME?</x:v>
      </x:c>
      <x:c r="I235" s="13" t="s">
        <x:v>374</x:v>
      </x:c>
      <x:c r="M235" s="13" t="s">
        <x:v>120</x:v>
      </x:c>
      <x:c r="N235" s="13" t="s">
        <x:v>375</x:v>
      </x:c>
      <x:c r="O235" s="165">
        <x:v>1</x:v>
      </x:c>
      <x:c r="R235" s="13">
        <x:v>9</x:v>
      </x:c>
      <x:c r="S235" s="13" t="s">
        <x:v>83</x:v>
      </x:c>
      <x:c r="X235" s="284" t="str">
        <x:v>Oracle Primavera Cloud + Unifier + Aconex + APIs/Gateway/ETL</x:v>
      </x:c>
      <x:c r="Y235" s="285"/>
      <x:c r="Z235" s="284"/>
      <x:c r="AA235" s="13"/>
      <x:c r="AB235" s="286"/>
    </x:row>
    <x:row r="236" ht="22.5" hidden="1">
      <x:c r="A236" s="290" t="e">
        <x:f>_xlfn.XLOOKUP(Matriz[[#This Row],[Categoría]],Categoría[Categoría],Categoría[Cat],"NA",0)</x:f>
        <x:v>#NAME?</x:v>
      </x:c>
      <x:c r="B236" s="165" t="s">
        <x:v>411</x:v>
      </x:c>
      <x:c r="C236" s="288" t="e">
        <x:f>_xlfn.XLOOKUP(Matriz[[#This Row],[Parámetro]],Parámetro[Parámetro],Parámetro[Par],0,0)</x:f>
        <x:v>#NAME?</x:v>
      </x:c>
      <x:c r="D236" s="165" t="s">
        <x:v>370</x:v>
      </x:c>
      <x:c r="E236" s="165" t="e">
        <x:f>Matriz[[#This Row],[Cat]]&amp;IF(Matriz[[#This Row],[Par]]=0,"","."&amp;Matriz[[#This Row],[Par]]&amp;"."&amp;TEXT(COUNTIFS(A$2:A236,Matriz[[#This Row],[Cat]],C$2:C236,Matriz[[#This Row],[Par]]),"000"))</x:f>
        <x:v>#NAME?</x:v>
      </x:c>
      <x:c r="F236" s="289" t="e">
        <x:f>IF(LEN(Matriz[[#This Row],[EDT]])=1,COUNTIF(Matriz[EDT],"?????????*"),IF(LEN(Matriz[[#This Row],[EDT]])=2,COUNTIF(Matriz[EDT],Matriz[[#This Row],[Cat]]&amp;"*")-1,0))</x:f>
        <x:v>#NAME?</x:v>
      </x:c>
      <x:c r="G236" s="165" t="e">
        <x:f>IF(Matriz[[#This Row],['# reque-rimientos]]&gt;0,"Sí","No")</x:f>
        <x:v>#REF!</x:v>
      </x:c>
      <x:c r="H236" s="165" t="e">
        <x:f>IF(Matriz[[#This Row],[Cat]]="0",0,IF(Matriz[[#This Row],[Par]]=0,1,LEN(Matriz[[#This Row],[EDT]])-LEN(SUBSTITUTE(Matriz[[#This Row],[EDT]],".",""))))</x:f>
        <x:v>#NAME?</x:v>
      </x:c>
      <x:c r="I236" s="13" t="s">
        <x:v>376</x:v>
      </x:c>
      <x:c r="M236" s="13" t="s">
        <x:v>120</x:v>
      </x:c>
      <x:c r="O236" s="165">
        <x:v>2</x:v>
      </x:c>
      <x:c r="R236" s="13">
        <x:v>7</x:v>
      </x:c>
      <x:c r="S236" s="13" t="s">
        <x:v>38</x:v>
      </x:c>
      <x:c r="X236" s="284" t="str">
        <x:v>Oracle Primavera Cloud (Portfolios/Programs) + Analytics</x:v>
      </x:c>
      <x:c r="Y236" s="285"/>
      <x:c r="Z236" s="284"/>
      <x:c r="AA236" s="13"/>
      <x:c r="AB236" s="286"/>
    </x:row>
    <x:row r="237" ht="22.5" hidden="1">
      <x:c r="A237" s="290" t="e">
        <x:f>_xlfn.XLOOKUP(Matriz[[#This Row],[Categoría]],Categoría[Categoría],Categoría[Cat],"NA",0)</x:f>
        <x:v>#NAME?</x:v>
      </x:c>
      <x:c r="B237" s="165" t="s">
        <x:v>411</x:v>
      </x:c>
      <x:c r="C237" s="288" t="e">
        <x:f>_xlfn.XLOOKUP(Matriz[[#This Row],[Parámetro]],Parámetro[Parámetro],Parámetro[Par],0,0)</x:f>
        <x:v>#NAME?</x:v>
      </x:c>
      <x:c r="D237" s="165" t="s">
        <x:v>370</x:v>
      </x:c>
      <x:c r="E237" s="165" t="e">
        <x:f>Matriz[[#This Row],[Cat]]&amp;IF(Matriz[[#This Row],[Par]]=0,"","."&amp;Matriz[[#This Row],[Par]]&amp;"."&amp;TEXT(COUNTIFS(A$2:A237,Matriz[[#This Row],[Cat]],C$2:C237,Matriz[[#This Row],[Par]]),"000"))</x:f>
        <x:v>#NAME?</x:v>
      </x:c>
      <x:c r="F237" s="289" t="e">
        <x:f>IF(LEN(Matriz[[#This Row],[EDT]])=1,COUNTIF(Matriz[EDT],"?????????*"),IF(LEN(Matriz[[#This Row],[EDT]])=2,COUNTIF(Matriz[EDT],Matriz[[#This Row],[Cat]]&amp;"*")-1,0))</x:f>
        <x:v>#NAME?</x:v>
      </x:c>
      <x:c r="G237" s="165" t="e">
        <x:f>IF(Matriz[[#This Row],['# reque-rimientos]]&gt;0,"Sí","No")</x:f>
        <x:v>#REF!</x:v>
      </x:c>
      <x:c r="H237" s="165" t="e">
        <x:f>IF(Matriz[[#This Row],[Cat]]="0",0,IF(Matriz[[#This Row],[Par]]=0,1,LEN(Matriz[[#This Row],[EDT]])-LEN(SUBSTITUTE(Matriz[[#This Row],[EDT]],".",""))))</x:f>
        <x:v>#NAME?</x:v>
      </x:c>
      <x:c r="I237" s="13" t="s">
        <x:v>417</x:v>
      </x:c>
      <x:c r="M237" s="13" t="s">
        <x:v>120</x:v>
      </x:c>
      <x:c r="N237" s="13" t="s">
        <x:v>418</x:v>
      </x:c>
      <x:c r="O237" s="165">
        <x:v>3</x:v>
      </x:c>
      <x:c r="R237" s="13">
        <x:v>5</x:v>
      </x:c>
      <x:c r="S237" s="13" t="s">
        <x:v>38</x:v>
      </x:c>
      <x:c r="X237" s="284" t="str">
        <x:v>Oracle Primavera Cloud (Portfolios/Programs) + Analytics</x:v>
      </x:c>
      <x:c r="Y237" s="285"/>
      <x:c r="Z237" s="284"/>
      <x:c r="AA237" s="13"/>
      <x:c r="AB237" s="286"/>
    </x:row>
    <x:row r="238">
      <x:c r="A238" s="290" t="e">
        <x:f>_xlfn.XLOOKUP(Matriz[[#This Row],[Categoría]],Categoría[Categoría],Categoría[Cat],"NA",0)</x:f>
        <x:v>#NAME?</x:v>
      </x:c>
      <x:c r="B238" s="165" t="s">
        <x:v>411</x:v>
      </x:c>
      <x:c r="C238" s="288" t="e">
        <x:f>_xlfn.XLOOKUP(Matriz[[#This Row],[Parámetro]],Parámetro[Parámetro],Parámetro[Par],0,0)</x:f>
        <x:v>#NAME?</x:v>
      </x:c>
      <x:c r="D238" s="165" t="s">
        <x:v>370</x:v>
      </x:c>
      <x:c r="E238" s="165" t="e">
        <x:f>Matriz[[#This Row],[Cat]]&amp;IF(Matriz[[#This Row],[Par]]=0,"","."&amp;Matriz[[#This Row],[Par]]&amp;"."&amp;TEXT(COUNTIFS(A$2:A238,Matriz[[#This Row],[Cat]],C$2:C238,Matriz[[#This Row],[Par]]),"000"))</x:f>
        <x:v>#NAME?</x:v>
      </x:c>
      <x:c r="F238" s="289" t="e">
        <x:f>IF(LEN(Matriz[[#This Row],[EDT]])=1,COUNTIF(Matriz[EDT],"?????????*"),IF(LEN(Matriz[[#This Row],[EDT]])=2,COUNTIF(Matriz[EDT],Matriz[[#This Row],[Cat]]&amp;"*")-1,0))</x:f>
        <x:v>#NAME?</x:v>
      </x:c>
      <x:c r="G238" s="165" t="e">
        <x:f>IF(Matriz[[#This Row],['# reque-rimientos]]&gt;0,"Sí","No")</x:f>
        <x:v>#REF!</x:v>
      </x:c>
      <x:c r="H238" s="165" t="e">
        <x:f>IF(Matriz[[#This Row],[Cat]]="0",0,IF(Matriz[[#This Row],[Par]]=0,1,LEN(Matriz[[#This Row],[EDT]])-LEN(SUBSTITUTE(Matriz[[#This Row],[EDT]],".",""))))</x:f>
        <x:v>#NAME?</x:v>
      </x:c>
      <x:c r="I238" s="13" t="s">
        <x:v>377</x:v>
      </x:c>
      <x:c r="M238" s="13" t="s">
        <x:v>120</x:v>
      </x:c>
      <x:c r="O238" s="165">
        <x:v>1</x:v>
      </x:c>
      <x:c r="R238" s="13">
        <x:v>9</x:v>
      </x:c>
      <x:c r="S238" s="13" t="s">
        <x:v>38</x:v>
      </x:c>
      <x:c r="X238" s="284" t="str">
        <x:v>Oracle Primavera Cloud (Portfolios/Programs) + Analytics</x:v>
      </x:c>
      <x:c r="Y238" s="285"/>
      <x:c r="Z238" s="284"/>
      <x:c r="AA238" s="13"/>
      <x:c r="AB238" s="286"/>
    </x:row>
    <x:row r="239">
      <x:c r="A239" s="290" t="e">
        <x:f>_xlfn.XLOOKUP(Matriz[[#This Row],[Categoría]],Categoría[Categoría],Categoría[Cat],"NA",0)</x:f>
        <x:v>#NAME?</x:v>
      </x:c>
      <x:c r="B239" s="165" t="s">
        <x:v>411</x:v>
      </x:c>
      <x:c r="C239" s="288" t="e">
        <x:f>_xlfn.XLOOKUP(Matriz[[#This Row],[Parámetro]],Parámetro[Parámetro],Parámetro[Par],0,0)</x:f>
        <x:v>#NAME?</x:v>
      </x:c>
      <x:c r="D239" s="165" t="s">
        <x:v>370</x:v>
      </x:c>
      <x:c r="E239" s="165" t="e">
        <x:f>Matriz[[#This Row],[Cat]]&amp;IF(Matriz[[#This Row],[Par]]=0,"","."&amp;Matriz[[#This Row],[Par]]&amp;"."&amp;TEXT(COUNTIFS(A$2:A239,Matriz[[#This Row],[Cat]],C$2:C239,Matriz[[#This Row],[Par]]),"000"))</x:f>
        <x:v>#NAME?</x:v>
      </x:c>
      <x:c r="F239" s="289" t="e">
        <x:f>IF(LEN(Matriz[[#This Row],[EDT]])=1,COUNTIF(Matriz[EDT],"?????????*"),IF(LEN(Matriz[[#This Row],[EDT]])=2,COUNTIF(Matriz[EDT],Matriz[[#This Row],[Cat]]&amp;"*")-1,0))</x:f>
        <x:v>#NAME?</x:v>
      </x:c>
      <x:c r="G239" s="165" t="e">
        <x:f>IF(Matriz[[#This Row],['# reque-rimientos]]&gt;0,"Sí","No")</x:f>
        <x:v>#REF!</x:v>
      </x:c>
      <x:c r="H239" s="165" t="e">
        <x:f>IF(Matriz[[#This Row],[Cat]]="0",0,IF(Matriz[[#This Row],[Par]]=0,1,LEN(Matriz[[#This Row],[EDT]])-LEN(SUBSTITUTE(Matriz[[#This Row],[EDT]],".",""))))</x:f>
        <x:v>#NAME?</x:v>
      </x:c>
      <x:c r="I239" s="165" t="s">
        <x:v>378</x:v>
      </x:c>
      <x:c r="K239" s="291" t="s">
        <x:v>172</x:v>
      </x:c>
      <x:c r="L239" s="291"/>
      <x:c r="M239" s="13" t="s">
        <x:v>120</x:v>
      </x:c>
      <x:c r="O239" s="165">
        <x:v>1</x:v>
      </x:c>
      <x:c r="R239" s="13">
        <x:v>7</x:v>
      </x:c>
      <x:c r="S239" s="13" t="s">
        <x:v>118</x:v>
      </x:c>
      <x:c r="X239" s="284" t="str">
        <x:v>Oracle Primavera Cloud (Portfolios/Programs) + Analytics</x:v>
      </x:c>
      <x:c r="Y239" s="285"/>
      <x:c r="Z239" s="284"/>
      <x:c r="AA239" s="13"/>
      <x:c r="AB239" s="286"/>
    </x:row>
    <x:row r="240">
      <x:c r="A240" s="290" t="e">
        <x:f>_xlfn.XLOOKUP(Matriz[[#This Row],[Categoría]],Categoría[Categoría],Categoría[Cat],"NA",0)</x:f>
        <x:v>#NAME?</x:v>
      </x:c>
      <x:c r="B240" s="165" t="s">
        <x:v>411</x:v>
      </x:c>
      <x:c r="C240" s="288" t="e">
        <x:f>_xlfn.XLOOKUP(Matriz[[#This Row],[Parámetro]],Parámetro[Parámetro],Parámetro[Par],0,0)</x:f>
        <x:v>#NAME?</x:v>
      </x:c>
      <x:c r="D240" s="165" t="s">
        <x:v>370</x:v>
      </x:c>
      <x:c r="E240" s="165" t="e">
        <x:f>Matriz[[#This Row],[Cat]]&amp;IF(Matriz[[#This Row],[Par]]=0,"","."&amp;Matriz[[#This Row],[Par]]&amp;"."&amp;TEXT(COUNTIFS(A$2:A240,Matriz[[#This Row],[Cat]],C$2:C240,Matriz[[#This Row],[Par]]),"000"))</x:f>
        <x:v>#NAME?</x:v>
      </x:c>
      <x:c r="F240" s="289" t="e">
        <x:f>IF(LEN(Matriz[[#This Row],[EDT]])=1,COUNTIF(Matriz[EDT],"?????????*"),IF(LEN(Matriz[[#This Row],[EDT]])=2,COUNTIF(Matriz[EDT],Matriz[[#This Row],[Cat]]&amp;"*")-1,0))</x:f>
        <x:v>#NAME?</x:v>
      </x:c>
      <x:c r="G240" s="165" t="e">
        <x:f>IF(Matriz[[#This Row],['# reque-rimientos]]&gt;0,"Sí","No")</x:f>
        <x:v>#REF!</x:v>
      </x:c>
      <x:c r="H240" s="165" t="e">
        <x:f>IF(Matriz[[#This Row],[Cat]]="0",0,IF(Matriz[[#This Row],[Par]]=0,1,LEN(Matriz[[#This Row],[EDT]])-LEN(SUBSTITUTE(Matriz[[#This Row],[EDT]],".",""))))</x:f>
        <x:v>#NAME?</x:v>
      </x:c>
      <x:c r="I240" s="13" t="s">
        <x:v>419</x:v>
      </x:c>
      <x:c r="M240" s="13" t="s">
        <x:v>120</x:v>
      </x:c>
      <x:c r="O240" s="165">
        <x:v>1</x:v>
      </x:c>
      <x:c r="R240" s="13">
        <x:v>8</x:v>
      </x:c>
      <x:c r="S240" s="13" t="s">
        <x:v>83</x:v>
      </x:c>
      <x:c r="X240" s="284" t="str">
        <x:v>Oracle Analytics / Power BI vía dataset, API o exportación controlada</x:v>
      </x:c>
      <x:c r="Y240" s="285"/>
      <x:c r="Z240" s="284"/>
      <x:c r="AA240" s="13"/>
      <x:c r="AB240" s="286"/>
    </x:row>
    <x:row r="241">
      <x:c r="A241" s="290" t="e">
        <x:f>_xlfn.XLOOKUP(Matriz[[#This Row],[Categoría]],Categoría[Categoría],Categoría[Cat],"NA",0)</x:f>
        <x:v>#NAME?</x:v>
      </x:c>
      <x:c r="B241" s="165" t="s">
        <x:v>411</x:v>
      </x:c>
      <x:c r="C241" s="288" t="e">
        <x:f>_xlfn.XLOOKUP(Matriz[[#This Row],[Parámetro]],Parámetro[Parámetro],Parámetro[Par],0,0)</x:f>
        <x:v>#NAME?</x:v>
      </x:c>
      <x:c r="D241" s="165" t="s">
        <x:v>370</x:v>
      </x:c>
      <x:c r="E241" s="165" t="e">
        <x:f>Matriz[[#This Row],[Cat]]&amp;IF(Matriz[[#This Row],[Par]]=0,"","."&amp;Matriz[[#This Row],[Par]]&amp;"."&amp;TEXT(COUNTIFS(A$2:A241,Matriz[[#This Row],[Cat]],C$2:C241,Matriz[[#This Row],[Par]]),"000"))</x:f>
        <x:v>#NAME?</x:v>
      </x:c>
      <x:c r="F241" s="289" t="e">
        <x:f>IF(LEN(Matriz[[#This Row],[EDT]])=1,COUNTIF(Matriz[EDT],"?????????*"),IF(LEN(Matriz[[#This Row],[EDT]])=2,COUNTIF(Matriz[EDT],Matriz[[#This Row],[Cat]]&amp;"*")-1,0))</x:f>
        <x:v>#NAME?</x:v>
      </x:c>
      <x:c r="G241" s="165" t="e">
        <x:f>IF(Matriz[[#This Row],['# reque-rimientos]]&gt;0,"Sí","No")</x:f>
        <x:v>#REF!</x:v>
      </x:c>
      <x:c r="H241" s="165" t="e">
        <x:f>IF(Matriz[[#This Row],[Cat]]="0",0,IF(Matriz[[#This Row],[Par]]=0,1,LEN(Matriz[[#This Row],[EDT]])-LEN(SUBSTITUTE(Matriz[[#This Row],[EDT]],".",""))))</x:f>
        <x:v>#NAME?</x:v>
      </x:c>
      <x:c r="I241" s="13" t="s">
        <x:v>420</x:v>
      </x:c>
      <x:c r="M241" s="13" t="s">
        <x:v>120</x:v>
      </x:c>
      <x:c r="O241" s="165">
        <x:v>1</x:v>
      </x:c>
      <x:c r="R241" s="13">
        <x:v>10</x:v>
      </x:c>
      <x:c r="S241" s="13" t="s">
        <x:v>38</x:v>
      </x:c>
      <x:c r="X241" s="284" t="str">
        <x:v>Oracle Primavera Cloud (Portfolios/Programs) + Analytics</x:v>
      </x:c>
      <x:c r="Y241" s="285"/>
      <x:c r="Z241" s="284"/>
      <x:c r="AA241" s="13"/>
      <x:c r="AB241" s="286"/>
    </x:row>
    <x:row r="242">
      <x:c r="A242" s="290" t="e">
        <x:f>_xlfn.XLOOKUP(Matriz[[#This Row],[Categoría]],Categoría[Categoría],Categoría[Cat],"NA",0)</x:f>
        <x:v>#NAME?</x:v>
      </x:c>
      <x:c r="B242" s="165" t="s">
        <x:v>411</x:v>
      </x:c>
      <x:c r="C242" s="288" t="e">
        <x:f>_xlfn.XLOOKUP(Matriz[[#This Row],[Parámetro]],Parámetro[Parámetro],Parámetro[Par],0,0)</x:f>
        <x:v>#NAME?</x:v>
      </x:c>
      <x:c r="D242" s="165" t="s">
        <x:v>370</x:v>
      </x:c>
      <x:c r="E242" s="165" t="e">
        <x:f>Matriz[[#This Row],[Cat]]&amp;IF(Matriz[[#This Row],[Par]]=0,"","."&amp;Matriz[[#This Row],[Par]]&amp;"."&amp;TEXT(COUNTIFS(A$2:A242,Matriz[[#This Row],[Cat]],C$2:C242,Matriz[[#This Row],[Par]]),"000"))</x:f>
        <x:v>#NAME?</x:v>
      </x:c>
      <x:c r="F242" s="289" t="e">
        <x:f>IF(LEN(Matriz[[#This Row],[EDT]])=1,COUNTIF(Matriz[EDT],"?????????*"),IF(LEN(Matriz[[#This Row],[EDT]])=2,COUNTIF(Matriz[EDT],Matriz[[#This Row],[Cat]]&amp;"*")-1,0))</x:f>
        <x:v>#NAME?</x:v>
      </x:c>
      <x:c r="G242" s="165" t="e">
        <x:f>IF(Matriz[[#This Row],['# reque-rimientos]]&gt;0,"Sí","No")</x:f>
        <x:v>#REF!</x:v>
      </x:c>
      <x:c r="H242" s="165" t="e">
        <x:f>IF(Matriz[[#This Row],[Cat]]="0",0,IF(Matriz[[#This Row],[Par]]=0,1,LEN(Matriz[[#This Row],[EDT]])-LEN(SUBSTITUTE(Matriz[[#This Row],[EDT]],".",""))))</x:f>
        <x:v>#NAME?</x:v>
      </x:c>
      <x:c r="I242" s="169" t="s">
        <x:v>421</x:v>
      </x:c>
      <x:c r="K242" s="291"/>
      <x:c r="L242" s="291"/>
      <x:c r="M242" s="13" t="s">
        <x:v>120</x:v>
      </x:c>
      <x:c r="O242" s="165">
        <x:v>1</x:v>
      </x:c>
      <x:c r="R242" s="13">
        <x:v>10</x:v>
      </x:c>
      <x:c r="S242" s="13" t="s">
        <x:v>38</x:v>
      </x:c>
      <x:c r="X242" s="284" t="str">
        <x:v>Oracle Primavera Cloud (Portfolios/Programs) + Analytics</x:v>
      </x:c>
      <x:c r="Y242" s="285"/>
      <x:c r="Z242" s="284"/>
      <x:c r="AA242" s="13"/>
      <x:c r="AB242" s="286"/>
    </x:row>
    <x:row r="243" hidden="1">
      <x:c r="A243" s="290" t="e">
        <x:f>_xlfn.XLOOKUP(Matriz[[#This Row],[Categoría]],Categoría[Categoría],Categoría[Cat],"NA",0)</x:f>
        <x:v>#NAME?</x:v>
      </x:c>
      <x:c r="B243" s="165" t="s">
        <x:v>411</x:v>
      </x:c>
      <x:c r="C243" s="288" t="e">
        <x:f>_xlfn.XLOOKUP(Matriz[[#This Row],[Parámetro]],Parámetro[Parámetro],Parámetro[Par],0,0)</x:f>
        <x:v>#NAME?</x:v>
      </x:c>
      <x:c r="D243" s="165" t="s">
        <x:v>370</x:v>
      </x:c>
      <x:c r="E243" s="165" t="e">
        <x:f>Matriz[[#This Row],[Cat]]&amp;IF(Matriz[[#This Row],[Par]]=0,"","."&amp;Matriz[[#This Row],[Par]]&amp;"."&amp;TEXT(COUNTIFS(A$2:A243,Matriz[[#This Row],[Cat]],C$2:C243,Matriz[[#This Row],[Par]]),"000"))</x:f>
        <x:v>#NAME?</x:v>
      </x:c>
      <x:c r="F243" s="289" t="e">
        <x:f>IF(LEN(Matriz[[#This Row],[EDT]])=1,COUNTIF(Matriz[EDT],"?????????*"),IF(LEN(Matriz[[#This Row],[EDT]])=2,COUNTIF(Matriz[EDT],Matriz[[#This Row],[Cat]]&amp;"*")-1,0))</x:f>
        <x:v>#NAME?</x:v>
      </x:c>
      <x:c r="G243" s="165" t="e">
        <x:f>IF(Matriz[[#This Row],['# reque-rimientos]]&gt;0,"Sí","No")</x:f>
        <x:v>#REF!</x:v>
      </x:c>
      <x:c r="H243" s="165" t="e">
        <x:f>IF(Matriz[[#This Row],[Cat]]="0",0,IF(Matriz[[#This Row],[Par]]=0,1,LEN(Matriz[[#This Row],[EDT]])-LEN(SUBSTITUTE(Matriz[[#This Row],[EDT]],".",""))))</x:f>
        <x:v>#NAME?</x:v>
      </x:c>
      <x:c r="I243" s="13" t="s">
        <x:v>422</x:v>
      </x:c>
      <x:c r="M243" s="13" t="s">
        <x:v>120</x:v>
      </x:c>
      <x:c r="O243" s="165">
        <x:v>2</x:v>
      </x:c>
      <x:c r="R243" s="13">
        <x:v>7</x:v>
      </x:c>
      <x:c r="S243" s="13" t="s">
        <x:v>38</x:v>
      </x:c>
      <x:c r="X243" s="284" t="str">
        <x:v>Oracle Primavera Cloud (Portfolios/Programs) + Analytics</x:v>
      </x:c>
      <x:c r="Y243" s="285"/>
      <x:c r="Z243" s="284"/>
      <x:c r="AA243" s="13"/>
      <x:c r="AB243" s="286"/>
    </x:row>
    <x:row r="244">
      <x:c r="A244" s="290" t="e">
        <x:f>_xlfn.XLOOKUP(Matriz[[#This Row],[Categoría]],Categoría[Categoría],Categoría[Cat],"NA",0)</x:f>
        <x:v>#NAME?</x:v>
      </x:c>
      <x:c r="B244" s="165" t="s">
        <x:v>411</x:v>
      </x:c>
      <x:c r="C244" s="288" t="e">
        <x:f>_xlfn.XLOOKUP(Matriz[[#This Row],[Parámetro]],Parámetro[Parámetro],Parámetro[Par],0,0)</x:f>
        <x:v>#NAME?</x:v>
      </x:c>
      <x:c r="D244" s="165" t="s">
        <x:v>370</x:v>
      </x:c>
      <x:c r="E244" s="165" t="e">
        <x:f>Matriz[[#This Row],[Cat]]&amp;IF(Matriz[[#This Row],[Par]]=0,"","."&amp;Matriz[[#This Row],[Par]]&amp;"."&amp;TEXT(COUNTIFS(A$2:A244,Matriz[[#This Row],[Cat]],C$2:C244,Matriz[[#This Row],[Par]]),"000"))</x:f>
        <x:v>#NAME?</x:v>
      </x:c>
      <x:c r="F244" s="289" t="e">
        <x:f>IF(LEN(Matriz[[#This Row],[EDT]])=1,COUNTIF(Matriz[EDT],"?????????*"),IF(LEN(Matriz[[#This Row],[EDT]])=2,COUNTIF(Matriz[EDT],Matriz[[#This Row],[Cat]]&amp;"*")-1,0))</x:f>
        <x:v>#NAME?</x:v>
      </x:c>
      <x:c r="G244" s="165" t="e">
        <x:f>IF(Matriz[[#This Row],['# reque-rimientos]]&gt;0,"Sí","No")</x:f>
        <x:v>#REF!</x:v>
      </x:c>
      <x:c r="H244" s="165" t="e">
        <x:f>IF(Matriz[[#This Row],[Cat]]="0",0,IF(Matriz[[#This Row],[Par]]=0,1,LEN(Matriz[[#This Row],[EDT]])-LEN(SUBSTITUTE(Matriz[[#This Row],[EDT]],".",""))))</x:f>
        <x:v>#NAME?</x:v>
      </x:c>
      <x:c r="I244" s="13" t="s">
        <x:v>423</x:v>
      </x:c>
      <x:c r="M244" s="13" t="s">
        <x:v>120</x:v>
      </x:c>
      <x:c r="O244" s="165">
        <x:v>1</x:v>
      </x:c>
      <x:c r="R244" s="13">
        <x:v>7</x:v>
      </x:c>
      <x:c r="S244" s="13" t="s">
        <x:v>38</x:v>
      </x:c>
      <x:c r="X244" s="284" t="str">
        <x:v>Oracle Primavera Cloud (Portfolios/Programs) + Analytics</x:v>
      </x:c>
      <x:c r="Y244" s="285"/>
      <x:c r="Z244" s="284"/>
      <x:c r="AA244" s="13"/>
      <x:c r="AB244" s="286"/>
    </x:row>
    <x:row r="245">
      <x:c r="A245" s="290" t="e">
        <x:f>_xlfn.XLOOKUP(Matriz[[#This Row],[Categoría]],Categoría[Categoría],Categoría[Cat],"NA",0)</x:f>
        <x:v>#NAME?</x:v>
      </x:c>
      <x:c r="B245" s="165" t="s">
        <x:v>411</x:v>
      </x:c>
      <x:c r="C245" s="288" t="e">
        <x:f>_xlfn.XLOOKUP(Matriz[[#This Row],[Parámetro]],Parámetro[Parámetro],Parámetro[Par],0,0)</x:f>
        <x:v>#NAME?</x:v>
      </x:c>
      <x:c r="D245" s="165" t="s">
        <x:v>370</x:v>
      </x:c>
      <x:c r="E245" s="165" t="e">
        <x:f>Matriz[[#This Row],[Cat]]&amp;IF(Matriz[[#This Row],[Par]]=0,"","."&amp;Matriz[[#This Row],[Par]]&amp;"."&amp;TEXT(COUNTIFS(A$2:A245,Matriz[[#This Row],[Cat]],C$2:C245,Matriz[[#This Row],[Par]]),"000"))</x:f>
        <x:v>#NAME?</x:v>
      </x:c>
      <x:c r="F245" s="289" t="e">
        <x:f>IF(LEN(Matriz[[#This Row],[EDT]])=1,COUNTIF(Matriz[EDT],"?????????*"),IF(LEN(Matriz[[#This Row],[EDT]])=2,COUNTIF(Matriz[EDT],Matriz[[#This Row],[Cat]]&amp;"*")-1,0))</x:f>
        <x:v>#NAME?</x:v>
      </x:c>
      <x:c r="G245" s="165" t="e">
        <x:f>IF(Matriz[[#This Row],['# reque-rimientos]]&gt;0,"Sí","No")</x:f>
        <x:v>#REF!</x:v>
      </x:c>
      <x:c r="H245" s="165" t="e">
        <x:f>IF(Matriz[[#This Row],[Cat]]="0",0,IF(Matriz[[#This Row],[Par]]=0,1,LEN(Matriz[[#This Row],[EDT]])-LEN(SUBSTITUTE(Matriz[[#This Row],[EDT]],".",""))))</x:f>
        <x:v>#NAME?</x:v>
      </x:c>
      <x:c r="I245" s="13" t="s">
        <x:v>424</x:v>
      </x:c>
      <x:c r="M245" s="13" t="s">
        <x:v>120</x:v>
      </x:c>
      <x:c r="O245" s="165">
        <x:v>1</x:v>
      </x:c>
      <x:c r="R245" s="13">
        <x:v>8</x:v>
      </x:c>
      <x:c r="S245" s="13" t="s">
        <x:v>83</x:v>
      </x:c>
      <x:c r="X245" s="284" t="str">
        <x:v>Oracle Primavera Cloud + Unifier + Aconex + APIs/Gateway/ETL</x:v>
      </x:c>
      <x:c r="Y245" s="285"/>
      <x:c r="Z245" s="284"/>
      <x:c r="AA245" s="13"/>
      <x:c r="AB245" s="286"/>
    </x:row>
    <x:row r="246" hidden="1">
      <x:c r="A246" s="290" t="e">
        <x:f>_xlfn.XLOOKUP(Matriz[[#This Row],[Categoría]],Categoría[Categoría],Categoría[Cat],"NA",0)</x:f>
        <x:v>#NAME?</x:v>
      </x:c>
      <x:c r="B246" s="165" t="s">
        <x:v>411</x:v>
      </x:c>
      <x:c r="C246" s="288" t="e">
        <x:f>_xlfn.XLOOKUP(Matriz[[#This Row],[Parámetro]],Parámetro[Parámetro],Parámetro[Par],0,0)</x:f>
        <x:v>#NAME?</x:v>
      </x:c>
      <x:c r="D246" s="165" t="s">
        <x:v>370</x:v>
      </x:c>
      <x:c r="E246" s="165" t="e">
        <x:f>Matriz[[#This Row],[Cat]]&amp;IF(Matriz[[#This Row],[Par]]=0,"","."&amp;Matriz[[#This Row],[Par]]&amp;"."&amp;TEXT(COUNTIFS(A$2:A246,Matriz[[#This Row],[Cat]],C$2:C246,Matriz[[#This Row],[Par]]),"000"))</x:f>
        <x:v>#NAME?</x:v>
      </x:c>
      <x:c r="F246" s="289" t="e">
        <x:f>IF(LEN(Matriz[[#This Row],[EDT]])=1,COUNTIF(Matriz[EDT],"?????????*"),IF(LEN(Matriz[[#This Row],[EDT]])=2,COUNTIF(Matriz[EDT],Matriz[[#This Row],[Cat]]&amp;"*")-1,0))</x:f>
        <x:v>#NAME?</x:v>
      </x:c>
      <x:c r="G246" s="165" t="e">
        <x:f>IF(Matriz[[#This Row],['# reque-rimientos]]&gt;0,"Sí","No")</x:f>
        <x:v>#REF!</x:v>
      </x:c>
      <x:c r="H246" s="165" t="e">
        <x:f>IF(Matriz[[#This Row],[Cat]]="0",0,IF(Matriz[[#This Row],[Par]]=0,1,LEN(Matriz[[#This Row],[EDT]])-LEN(SUBSTITUTE(Matriz[[#This Row],[EDT]],".",""))))</x:f>
        <x:v>#NAME?</x:v>
      </x:c>
      <x:c r="I246" s="13" t="s">
        <x:v>425</x:v>
      </x:c>
      <x:c r="M246" s="13" t="s">
        <x:v>120</x:v>
      </x:c>
      <x:c r="O246" s="165">
        <x:v>2</x:v>
      </x:c>
      <x:c r="R246" s="13">
        <x:v>7</x:v>
      </x:c>
      <x:c r="S246" s="13" t="s">
        <x:v>38</x:v>
      </x:c>
      <x:c r="X246" s="284" t="str">
        <x:v>Oracle Primavera Cloud (Portfolios/Programs) + Analytics</x:v>
      </x:c>
      <x:c r="Y246" s="285"/>
      <x:c r="Z246" s="284"/>
      <x:c r="AA246" s="13"/>
      <x:c r="AB246" s="286"/>
    </x:row>
    <x:row r="247">
      <x:c r="A247" s="290" t="e">
        <x:f>_xlfn.XLOOKUP(Matriz[[#This Row],[Categoría]],Categoría[Categoría],Categoría[Cat],"NA",0)</x:f>
        <x:v>#NAME?</x:v>
      </x:c>
      <x:c r="B247" s="165" t="s">
        <x:v>411</x:v>
      </x:c>
      <x:c r="C247" s="288" t="e">
        <x:f>_xlfn.XLOOKUP(Matriz[[#This Row],[Parámetro]],Parámetro[Parámetro],Parámetro[Par],0,0)</x:f>
        <x:v>#NAME?</x:v>
      </x:c>
      <x:c r="D247" s="165" t="s">
        <x:v>370</x:v>
      </x:c>
      <x:c r="E247" s="165" t="e">
        <x:f>Matriz[[#This Row],[Cat]]&amp;IF(Matriz[[#This Row],[Par]]=0,"","."&amp;Matriz[[#This Row],[Par]]&amp;"."&amp;TEXT(COUNTIFS(A$2:A247,Matriz[[#This Row],[Cat]],C$2:C247,Matriz[[#This Row],[Par]]),"000"))</x:f>
        <x:v>#NAME?</x:v>
      </x:c>
      <x:c r="F247" s="289" t="e">
        <x:f>IF(LEN(Matriz[[#This Row],[EDT]])=1,COUNTIF(Matriz[EDT],"?????????*"),IF(LEN(Matriz[[#This Row],[EDT]])=2,COUNTIF(Matriz[EDT],Matriz[[#This Row],[Cat]]&amp;"*")-1,0))</x:f>
        <x:v>#NAME?</x:v>
      </x:c>
      <x:c r="G247" s="165" t="e">
        <x:f>IF(Matriz[[#This Row],['# reque-rimientos]]&gt;0,"Sí","No")</x:f>
        <x:v>#REF!</x:v>
      </x:c>
      <x:c r="H247" s="165" t="e">
        <x:f>IF(Matriz[[#This Row],[Cat]]="0",0,IF(Matriz[[#This Row],[Par]]=0,1,LEN(Matriz[[#This Row],[EDT]])-LEN(SUBSTITUTE(Matriz[[#This Row],[EDT]],".",""))))</x:f>
        <x:v>#NAME?</x:v>
      </x:c>
      <x:c r="I247" s="13" t="s">
        <x:v>426</x:v>
      </x:c>
      <x:c r="M247" s="13" t="s">
        <x:v>32</x:v>
      </x:c>
      <x:c r="N247" s="13" t="s">
        <x:v>427</x:v>
      </x:c>
      <x:c r="O247" s="165">
        <x:v>1</x:v>
      </x:c>
      <x:c r="R247" s="13">
        <x:v>8</x:v>
      </x:c>
      <x:c r="S247" s="13" t="s">
        <x:v>38</x:v>
      </x:c>
      <x:c r="X247" s="284" t="str">
        <x:v>Oracle Primavera Cloud (Portfolios/Programs) + Analytics</x:v>
      </x:c>
      <x:c r="Y247" s="285"/>
      <x:c r="Z247" s="284"/>
      <x:c r="AA247" s="13"/>
      <x:c r="AB247" s="286"/>
    </x:row>
    <x:row r="248" ht="22.5" hidden="1">
      <x:c r="A248" s="290" t="e">
        <x:f>_xlfn.XLOOKUP(Matriz[[#This Row],[Categoría]],Categoría[Categoría],Categoría[Cat],"NA",0)</x:f>
        <x:v>#NAME?</x:v>
      </x:c>
      <x:c r="B248" s="290" t="s">
        <x:v>411</x:v>
      </x:c>
      <x:c r="C248" s="288" t="e">
        <x:f>_xlfn.XLOOKUP(Matriz[[#This Row],[Parámetro]],Parámetro[Parámetro],Parámetro[Par],0,0)</x:f>
        <x:v>#NAME?</x:v>
      </x:c>
      <x:c r="D248" s="288" t="s">
        <x:v>370</x:v>
      </x:c>
      <x:c r="E248" s="165" t="e">
        <x:f>Matriz[[#This Row],[Cat]]&amp;IF(Matriz[[#This Row],[Par]]=0,"","."&amp;Matriz[[#This Row],[Par]]&amp;"."&amp;TEXT(COUNTIFS(A$2:A248,Matriz[[#This Row],[Cat]],C$2:C248,Matriz[[#This Row],[Par]]),"000"))</x:f>
        <x:v>#NAME?</x:v>
      </x:c>
      <x:c r="F248" s="289" t="e">
        <x:f>IF(LEN(Matriz[[#This Row],[EDT]])=1,COUNTIF(Matriz[EDT],"?????????*"),IF(LEN(Matriz[[#This Row],[EDT]])=2,COUNTIF(Matriz[EDT],Matriz[[#This Row],[Cat]]&amp;"*")-1,0))</x:f>
        <x:v>#NAME?</x:v>
      </x:c>
      <x:c r="G248" s="165" t="e">
        <x:f>IF(Matriz[[#This Row],['# reque-rimientos]]&gt;0,"Sí","No")</x:f>
        <x:v>#REF!</x:v>
      </x:c>
      <x:c r="H248" s="165" t="e">
        <x:f>IF(Matriz[[#This Row],[Cat]]="0",0,IF(Matriz[[#This Row],[Par]]=0,1,LEN(Matriz[[#This Row],[EDT]])-LEN(SUBSTITUTE(Matriz[[#This Row],[EDT]],".",""))))</x:f>
        <x:v>#NAME?</x:v>
      </x:c>
      <x:c r="I248" s="165" t="s">
        <x:v>428</x:v>
      </x:c>
      <x:c r="M248" s="13" t="s">
        <x:v>120</x:v>
      </x:c>
      <x:c r="N248" s="13" t="s">
        <x:v>429</x:v>
      </x:c>
      <x:c r="O248" s="165"/>
      <x:c r="X248" s="284" t="str">
        <x:v>Oracle Primavera Cloud (Portfolios/Programs) + Analytics</x:v>
      </x:c>
      <x:c r="Y248" s="285"/>
      <x:c r="Z248" s="284"/>
      <x:c r="AA248" s="13"/>
      <x:c r="AB248" s="286"/>
    </x:row>
    <x:row r="249" ht="12.75">
      <x:c r="A249" s="279" t="e">
        <x:f>_xlfn.XLOOKUP(Matriz[[#This Row],[Categoría]],Categoría[Categoría],Categoría[Cat],"NA",0)</x:f>
        <x:v>#NAME?</x:v>
      </x:c>
      <x:c r="B249" s="280" t="s">
        <x:v>430</x:v>
      </x:c>
      <x:c r="C249" s="281" t="e">
        <x:f>_xlfn.XLOOKUP(Matriz[[#This Row],[Parámetro]],Parámetro[Parámetro],Parámetro[Par],0,0)</x:f>
        <x:v>#NAME?</x:v>
      </x:c>
      <x:c r="E249" s="13" t="e">
        <x:f>Matriz[[#This Row],[Cat]]&amp;IF(Matriz[[#This Row],[Par]]=0,"","."&amp;Matriz[[#This Row],[Par]]&amp;"."&amp;TEXT(COUNTIFS(A$2:A249,Matriz[[#This Row],[Cat]],C$2:C249,Matriz[[#This Row],[Par]]),"000"))</x:f>
        <x:v>#NAME?</x:v>
      </x:c>
      <x:c r="F249" s="295" t="e">
        <x:f>IF(LEN(Matriz[[#This Row],[EDT]])=1,COUNTIF(Matriz[EDT],"?????????*"),IF(LEN(Matriz[[#This Row],[EDT]])=2,COUNTIF(Matriz[EDT],Matriz[[#This Row],[Cat]]&amp;"*")-1,0))</x:f>
        <x:v>#NAME?</x:v>
      </x:c>
      <x:c r="G249" s="13" t="e">
        <x:f>IF(Matriz[[#This Row],['# reque-rimientos]]&gt;0,"Sí","No")</x:f>
        <x:v>#REF!</x:v>
      </x:c>
      <x:c r="H249" s="13" t="e">
        <x:f>IF(Matriz[[#This Row],[Cat]]="0",0,IF(Matriz[[#This Row],[Par]]=0,1,LEN(Matriz[[#This Row],[EDT]])-LEN(SUBSTITUTE(Matriz[[#This Row],[EDT]],".",""))))</x:f>
        <x:v>#NAME?</x:v>
      </x:c>
      <x:c r="M249" s="13" t="s">
        <x:v>120</x:v>
      </x:c>
      <x:c r="N249" s="13" t="s">
        <x:v>431</x:v>
      </x:c>
      <x:c r="O249" s="165">
        <x:v>1</x:v>
      </x:c>
      <x:c r="R249" s="287" t="e">
        <x:f>_xlfn.XLOOKUP(Matriz[[#This Row],[Cat]],Categoría[Cat],Categoría[IMP],"NA",0)</x:f>
        <x:v>#NAME?</x:v>
      </x:c>
      <x:c r="S249" s="13" t="s">
        <x:v>52</x:v>
      </x:c>
      <x:c r="X249" s="284"/>
      <x:c r="Y249" s="285"/>
      <x:c r="Z249" s="284"/>
      <x:c r="AA249" s="13"/>
      <x:c r="AB249" s="286"/>
    </x:row>
    <x:row r="250">
      <x:c r="A250" s="290" t="e">
        <x:f>_xlfn.XLOOKUP(Matriz[[#This Row],[Categoría]],Categoría[Categoría],Categoría[Cat],"NA",0)</x:f>
        <x:v>#NAME?</x:v>
      </x:c>
      <x:c r="B250" s="165" t="s">
        <x:v>430</x:v>
      </x:c>
      <x:c r="C250" s="288" t="e">
        <x:f>_xlfn.XLOOKUP(Matriz[[#This Row],[Parámetro]],Parámetro[Parámetro],Parámetro[Par],0,0)</x:f>
        <x:v>#NAME?</x:v>
      </x:c>
      <x:c r="D250" s="165" t="s">
        <x:v>152</x:v>
      </x:c>
      <x:c r="E250" s="165" t="e">
        <x:f>Matriz[[#This Row],[Cat]]&amp;IF(Matriz[[#This Row],[Par]]=0,"","."&amp;Matriz[[#This Row],[Par]]&amp;"."&amp;TEXT(COUNTIFS(A$2:A250,Matriz[[#This Row],[Cat]],C$2:C250,Matriz[[#This Row],[Par]]),"000"))</x:f>
        <x:v>#NAME?</x:v>
      </x:c>
      <x:c r="F250" s="289" t="e">
        <x:f>IF(LEN(Matriz[[#This Row],[EDT]])=1,COUNTIF(Matriz[EDT],"?????????*"),IF(LEN(Matriz[[#This Row],[EDT]])=2,COUNTIF(Matriz[EDT],Matriz[[#This Row],[Cat]]&amp;"*")-1,0))</x:f>
        <x:v>#NAME?</x:v>
      </x:c>
      <x:c r="G250" s="165" t="e">
        <x:f>IF(Matriz[[#This Row],['# reque-rimientos]]&gt;0,"Sí","No")</x:f>
        <x:v>#REF!</x:v>
      </x:c>
      <x:c r="H250" s="165" t="e">
        <x:f>IF(Matriz[[#This Row],[Cat]]="0",0,IF(Matriz[[#This Row],[Par]]=0,1,LEN(Matriz[[#This Row],[EDT]])-LEN(SUBSTITUTE(Matriz[[#This Row],[EDT]],".",""))))</x:f>
        <x:v>#NAME?</x:v>
      </x:c>
      <x:c r="I250" s="13" t="s">
        <x:v>432</x:v>
      </x:c>
      <x:c r="M250" s="13" t="s">
        <x:v>32</x:v>
      </x:c>
      <x:c r="O250" s="165">
        <x:v>1</x:v>
      </x:c>
      <x:c r="R250" s="13">
        <x:v>8</x:v>
      </x:c>
      <x:c r="S250" s="13" t="s">
        <x:v>433</x:v>
      </x:c>
      <x:c r="X250" s="284"/>
      <x:c r="Y250" s="285"/>
      <x:c r="Z250" s="284"/>
      <x:c r="AA250" s="13"/>
      <x:c r="AB250" s="286"/>
    </x:row>
    <x:row r="251">
      <x:c r="A251" s="290" t="e">
        <x:f>_xlfn.XLOOKUP(Matriz[[#This Row],[Categoría]],Categoría[Categoría],Categoría[Cat],"NA",0)</x:f>
        <x:v>#NAME?</x:v>
      </x:c>
      <x:c r="B251" s="165" t="s">
        <x:v>430</x:v>
      </x:c>
      <x:c r="C251" s="288" t="e">
        <x:f>_xlfn.XLOOKUP(Matriz[[#This Row],[Parámetro]],Parámetro[Parámetro],Parámetro[Par],0,0)</x:f>
        <x:v>#NAME?</x:v>
      </x:c>
      <x:c r="D251" s="165" t="s">
        <x:v>152</x:v>
      </x:c>
      <x:c r="E251" s="165" t="e">
        <x:f>Matriz[[#This Row],[Cat]]&amp;IF(Matriz[[#This Row],[Par]]=0,"","."&amp;Matriz[[#This Row],[Par]]&amp;"."&amp;TEXT(COUNTIFS(A$2:A251,Matriz[[#This Row],[Cat]],C$2:C251,Matriz[[#This Row],[Par]]),"000"))</x:f>
        <x:v>#NAME?</x:v>
      </x:c>
      <x:c r="F251" s="289" t="e">
        <x:f>IF(LEN(Matriz[[#This Row],[EDT]])=1,COUNTIF(Matriz[EDT],"?????????*"),IF(LEN(Matriz[[#This Row],[EDT]])=2,COUNTIF(Matriz[EDT],Matriz[[#This Row],[Cat]]&amp;"*")-1,0))</x:f>
        <x:v>#NAME?</x:v>
      </x:c>
      <x:c r="G251" s="165" t="e">
        <x:f>IF(Matriz[[#This Row],['# reque-rimientos]]&gt;0,"Sí","No")</x:f>
        <x:v>#REF!</x:v>
      </x:c>
      <x:c r="H251" s="165" t="e">
        <x:f>IF(Matriz[[#This Row],[Cat]]="0",0,IF(Matriz[[#This Row],[Par]]=0,1,LEN(Matriz[[#This Row],[EDT]])-LEN(SUBSTITUTE(Matriz[[#This Row],[EDT]],".",""))))</x:f>
        <x:v>#NAME?</x:v>
      </x:c>
      <x:c r="I251" s="13" t="s">
        <x:v>434</x:v>
      </x:c>
      <x:c r="M251" s="13" t="s">
        <x:v>32</x:v>
      </x:c>
      <x:c r="O251" s="165">
        <x:v>1</x:v>
      </x:c>
      <x:c r="R251" s="13">
        <x:v>8</x:v>
      </x:c>
      <x:c r="S251" s="13" t="s">
        <x:v>434</x:v>
      </x:c>
      <x:c r="X251" s="284"/>
      <x:c r="Y251" s="285"/>
      <x:c r="Z251" s="284"/>
      <x:c r="AA251" s="13"/>
      <x:c r="AB251" s="286"/>
    </x:row>
    <x:row r="252">
      <x:c r="A252" s="290" t="e">
        <x:f>_xlfn.XLOOKUP(Matriz[[#This Row],[Categoría]],Categoría[Categoría],Categoría[Cat],"NA",0)</x:f>
        <x:v>#NAME?</x:v>
      </x:c>
      <x:c r="B252" s="165" t="s">
        <x:v>430</x:v>
      </x:c>
      <x:c r="C252" s="288" t="e">
        <x:f>_xlfn.XLOOKUP(Matriz[[#This Row],[Parámetro]],Parámetro[Parámetro],Parámetro[Par],0,0)</x:f>
        <x:v>#NAME?</x:v>
      </x:c>
      <x:c r="D252" s="165" t="s">
        <x:v>152</x:v>
      </x:c>
      <x:c r="E252" s="165" t="e">
        <x:f>Matriz[[#This Row],[Cat]]&amp;IF(Matriz[[#This Row],[Par]]=0,"","."&amp;Matriz[[#This Row],[Par]]&amp;"."&amp;TEXT(COUNTIFS(A$2:A252,Matriz[[#This Row],[Cat]],C$2:C252,Matriz[[#This Row],[Par]]),"000"))</x:f>
        <x:v>#NAME?</x:v>
      </x:c>
      <x:c r="F252" s="289" t="e">
        <x:f>IF(LEN(Matriz[[#This Row],[EDT]])=1,COUNTIF(Matriz[EDT],"?????????*"),IF(LEN(Matriz[[#This Row],[EDT]])=2,COUNTIF(Matriz[EDT],Matriz[[#This Row],[Cat]]&amp;"*")-1,0))</x:f>
        <x:v>#NAME?</x:v>
      </x:c>
      <x:c r="G252" s="165" t="e">
        <x:f>IF(Matriz[[#This Row],['# reque-rimientos]]&gt;0,"Sí","No")</x:f>
        <x:v>#REF!</x:v>
      </x:c>
      <x:c r="H252" s="165" t="e">
        <x:f>IF(Matriz[[#This Row],[Cat]]="0",0,IF(Matriz[[#This Row],[Par]]=0,1,LEN(Matriz[[#This Row],[EDT]])-LEN(SUBSTITUTE(Matriz[[#This Row],[EDT]],".",""))))</x:f>
        <x:v>#NAME?</x:v>
      </x:c>
      <x:c r="I252" s="13" t="s">
        <x:v>435</x:v>
      </x:c>
      <x:c r="M252" s="13" t="s">
        <x:v>32</x:v>
      </x:c>
      <x:c r="O252" s="165">
        <x:v>1</x:v>
      </x:c>
      <x:c r="R252" s="13">
        <x:v>8</x:v>
      </x:c>
      <x:c r="S252" s="13" t="s">
        <x:v>435</x:v>
      </x:c>
      <x:c r="X252" s="284"/>
      <x:c r="Y252" s="285"/>
      <x:c r="Z252" s="284"/>
      <x:c r="AA252" s="13"/>
      <x:c r="AB252" s="286"/>
    </x:row>
    <x:row r="253">
      <x:c r="A253" s="290" t="e">
        <x:f>_xlfn.XLOOKUP(Matriz[[#This Row],[Categoría]],Categoría[Categoría],Categoría[Cat],"NA",0)</x:f>
        <x:v>#NAME?</x:v>
      </x:c>
      <x:c r="B253" s="165" t="s">
        <x:v>430</x:v>
      </x:c>
      <x:c r="C253" s="288" t="e">
        <x:f>_xlfn.XLOOKUP(Matriz[[#This Row],[Parámetro]],Parámetro[Parámetro],Parámetro[Par],0,0)</x:f>
        <x:v>#NAME?</x:v>
      </x:c>
      <x:c r="D253" s="165" t="s">
        <x:v>152</x:v>
      </x:c>
      <x:c r="E253" s="165" t="e">
        <x:f>Matriz[[#This Row],[Cat]]&amp;IF(Matriz[[#This Row],[Par]]=0,"","."&amp;Matriz[[#This Row],[Par]]&amp;"."&amp;TEXT(COUNTIFS(A$2:A253,Matriz[[#This Row],[Cat]],C$2:C253,Matriz[[#This Row],[Par]]),"000"))</x:f>
        <x:v>#NAME?</x:v>
      </x:c>
      <x:c r="F253" s="289" t="e">
        <x:f>IF(LEN(Matriz[[#This Row],[EDT]])=1,COUNTIF(Matriz[EDT],"?????????*"),IF(LEN(Matriz[[#This Row],[EDT]])=2,COUNTIF(Matriz[EDT],Matriz[[#This Row],[Cat]]&amp;"*")-1,0))</x:f>
        <x:v>#NAME?</x:v>
      </x:c>
      <x:c r="G253" s="165" t="e">
        <x:f>IF(Matriz[[#This Row],['# reque-rimientos]]&gt;0,"Sí","No")</x:f>
        <x:v>#REF!</x:v>
      </x:c>
      <x:c r="H253" s="165" t="e">
        <x:f>IF(Matriz[[#This Row],[Cat]]="0",0,IF(Matriz[[#This Row],[Par]]=0,1,LEN(Matriz[[#This Row],[EDT]])-LEN(SUBSTITUTE(Matriz[[#This Row],[EDT]],".",""))))</x:f>
        <x:v>#NAME?</x:v>
      </x:c>
      <x:c r="I253" s="13" t="s">
        <x:v>436</x:v>
      </x:c>
      <x:c r="M253" s="13" t="s">
        <x:v>32</x:v>
      </x:c>
      <x:c r="O253" s="165">
        <x:v>1</x:v>
      </x:c>
      <x:c r="R253" s="13">
        <x:v>8</x:v>
      </x:c>
      <x:c r="S253" s="13" t="s">
        <x:v>436</x:v>
      </x:c>
      <x:c r="X253" s="284"/>
      <x:c r="Y253" s="285"/>
      <x:c r="Z253" s="284"/>
      <x:c r="AA253" s="13"/>
      <x:c r="AB253" s="286"/>
    </x:row>
    <x:row r="254">
      <x:c r="A254" s="290" t="e">
        <x:f>_xlfn.XLOOKUP(Matriz[[#This Row],[Categoría]],Categoría[Categoría],Categoría[Cat],"NA",0)</x:f>
        <x:v>#NAME?</x:v>
      </x:c>
      <x:c r="B254" s="165" t="s">
        <x:v>430</x:v>
      </x:c>
      <x:c r="C254" s="288" t="e">
        <x:f>_xlfn.XLOOKUP(Matriz[[#This Row],[Parámetro]],Parámetro[Parámetro],Parámetro[Par],0,0)</x:f>
        <x:v>#NAME?</x:v>
      </x:c>
      <x:c r="D254" s="165" t="s">
        <x:v>152</x:v>
      </x:c>
      <x:c r="E254" s="165" t="e">
        <x:f>Matriz[[#This Row],[Cat]]&amp;IF(Matriz[[#This Row],[Par]]=0,"","."&amp;Matriz[[#This Row],[Par]]&amp;"."&amp;TEXT(COUNTIFS(A$2:A254,Matriz[[#This Row],[Cat]],C$2:C254,Matriz[[#This Row],[Par]]),"000"))</x:f>
        <x:v>#NAME?</x:v>
      </x:c>
      <x:c r="F254" s="289" t="e">
        <x:f>IF(LEN(Matriz[[#This Row],[EDT]])=1,COUNTIF(Matriz[EDT],"?????????*"),IF(LEN(Matriz[[#This Row],[EDT]])=2,COUNTIF(Matriz[EDT],Matriz[[#This Row],[Cat]]&amp;"*")-1,0))</x:f>
        <x:v>#NAME?</x:v>
      </x:c>
      <x:c r="G254" s="165" t="e">
        <x:f>IF(Matriz[[#This Row],['# reque-rimientos]]&gt;0,"Sí","No")</x:f>
        <x:v>#REF!</x:v>
      </x:c>
      <x:c r="H254" s="165" t="e">
        <x:f>IF(Matriz[[#This Row],[Cat]]="0",0,IF(Matriz[[#This Row],[Par]]=0,1,LEN(Matriz[[#This Row],[EDT]])-LEN(SUBSTITUTE(Matriz[[#This Row],[EDT]],".",""))))</x:f>
        <x:v>#NAME?</x:v>
      </x:c>
      <x:c r="I254" s="168" t="s">
        <x:v>437</x:v>
      </x:c>
      <x:c r="M254" s="13" t="s">
        <x:v>120</x:v>
      </x:c>
      <x:c r="O254" s="165">
        <x:v>1</x:v>
      </x:c>
      <x:c r="R254" s="13">
        <x:v>8</x:v>
      </x:c>
      <x:c r="S254" s="13" t="s">
        <x:v>438</x:v>
      </x:c>
      <x:c r="X254" s="284"/>
      <x:c r="Y254" s="285"/>
      <x:c r="Z254" s="284"/>
      <x:c r="AA254" s="13"/>
      <x:c r="AB254" s="286"/>
    </x:row>
    <x:row r="255">
      <x:c r="A255" s="290" t="e">
        <x:f>_xlfn.XLOOKUP(Matriz[[#This Row],[Categoría]],Categoría[Categoría],Categoría[Cat],"NA",0)</x:f>
        <x:v>#NAME?</x:v>
      </x:c>
      <x:c r="B255" s="165" t="s">
        <x:v>430</x:v>
      </x:c>
      <x:c r="C255" s="288" t="e">
        <x:f>_xlfn.XLOOKUP(Matriz[[#This Row],[Parámetro]],Parámetro[Parámetro],Parámetro[Par],0,0)</x:f>
        <x:v>#NAME?</x:v>
      </x:c>
      <x:c r="D255" s="165" t="s">
        <x:v>152</x:v>
      </x:c>
      <x:c r="E255" s="165" t="e">
        <x:f>Matriz[[#This Row],[Cat]]&amp;IF(Matriz[[#This Row],[Par]]=0,"","."&amp;Matriz[[#This Row],[Par]]&amp;"."&amp;TEXT(COUNTIFS(A$2:A255,Matriz[[#This Row],[Cat]],C$2:C255,Matriz[[#This Row],[Par]]),"000"))</x:f>
        <x:v>#NAME?</x:v>
      </x:c>
      <x:c r="F255" s="289" t="e">
        <x:f>IF(LEN(Matriz[[#This Row],[EDT]])=1,COUNTIF(Matriz[EDT],"?????????*"),IF(LEN(Matriz[[#This Row],[EDT]])=2,COUNTIF(Matriz[EDT],Matriz[[#This Row],[Cat]]&amp;"*")-1,0))</x:f>
        <x:v>#NAME?</x:v>
      </x:c>
      <x:c r="G255" s="165" t="e">
        <x:f>IF(Matriz[[#This Row],['# reque-rimientos]]&gt;0,"Sí","No")</x:f>
        <x:v>#REF!</x:v>
      </x:c>
      <x:c r="H255" s="165" t="e">
        <x:f>IF(Matriz[[#This Row],[Cat]]="0",0,IF(Matriz[[#This Row],[Par]]=0,1,LEN(Matriz[[#This Row],[EDT]])-LEN(SUBSTITUTE(Matriz[[#This Row],[EDT]],".",""))))</x:f>
        <x:v>#NAME?</x:v>
      </x:c>
      <x:c r="I255" s="168" t="s">
        <x:v>439</x:v>
      </x:c>
      <x:c r="M255" s="13" t="s">
        <x:v>120</x:v>
      </x:c>
      <x:c r="O255" s="165">
        <x:v>1</x:v>
      </x:c>
      <x:c r="R255" s="13">
        <x:v>8</x:v>
      </x:c>
      <x:c r="S255" s="13" t="s">
        <x:v>440</x:v>
      </x:c>
      <x:c r="X255" s="284"/>
      <x:c r="Y255" s="285"/>
      <x:c r="Z255" s="284"/>
      <x:c r="AA255" s="13"/>
      <x:c r="AB255" s="286"/>
    </x:row>
    <x:row r="256">
      <x:c r="A256" s="290" t="e">
        <x:f>_xlfn.XLOOKUP(Matriz[[#This Row],[Categoría]],Categoría[Categoría],Categoría[Cat],"NA",0)</x:f>
        <x:v>#NAME?</x:v>
      </x:c>
      <x:c r="B256" s="165" t="s">
        <x:v>430</x:v>
      </x:c>
      <x:c r="C256" s="288" t="e">
        <x:f>_xlfn.XLOOKUP(Matriz[[#This Row],[Parámetro]],Parámetro[Parámetro],Parámetro[Par],0,0)</x:f>
        <x:v>#NAME?</x:v>
      </x:c>
      <x:c r="D256" s="165" t="s">
        <x:v>152</x:v>
      </x:c>
      <x:c r="E256" s="165" t="e">
        <x:f>Matriz[[#This Row],[Cat]]&amp;IF(Matriz[[#This Row],[Par]]=0,"","."&amp;Matriz[[#This Row],[Par]]&amp;"."&amp;TEXT(COUNTIFS(A$2:A256,Matriz[[#This Row],[Cat]],C$2:C256,Matriz[[#This Row],[Par]]),"000"))</x:f>
        <x:v>#NAME?</x:v>
      </x:c>
      <x:c r="F256" s="289" t="e">
        <x:f>IF(LEN(Matriz[[#This Row],[EDT]])=1,COUNTIF(Matriz[EDT],"?????????*"),IF(LEN(Matriz[[#This Row],[EDT]])=2,COUNTIF(Matriz[EDT],Matriz[[#This Row],[Cat]]&amp;"*")-1,0))</x:f>
        <x:v>#NAME?</x:v>
      </x:c>
      <x:c r="G256" s="165" t="e">
        <x:f>IF(Matriz[[#This Row],['# reque-rimientos]]&gt;0,"Sí","No")</x:f>
        <x:v>#REF!</x:v>
      </x:c>
      <x:c r="H256" s="165" t="e">
        <x:f>IF(Matriz[[#This Row],[Cat]]="0",0,IF(Matriz[[#This Row],[Par]]=0,1,LEN(Matriz[[#This Row],[EDT]])-LEN(SUBSTITUTE(Matriz[[#This Row],[EDT]],".",""))))</x:f>
        <x:v>#NAME?</x:v>
      </x:c>
      <x:c r="I256" s="168" t="s">
        <x:v>441</x:v>
      </x:c>
      <x:c r="M256" s="13" t="s">
        <x:v>120</x:v>
      </x:c>
      <x:c r="O256" s="165">
        <x:v>1</x:v>
      </x:c>
      <x:c r="R256" s="13">
        <x:v>8</x:v>
      </x:c>
      <x:c r="S256" s="13" t="s">
        <x:v>442</x:v>
      </x:c>
      <x:c r="X256" s="284"/>
      <x:c r="Y256" s="285"/>
      <x:c r="Z256" s="284"/>
      <x:c r="AA256" s="13"/>
      <x:c r="AB256" s="286"/>
    </x:row>
    <x:row r="257" ht="135">
      <x:c r="A257" s="290" t="e">
        <x:f>_xlfn.XLOOKUP(Matriz[[#This Row],[Categoría]],Categoría[Categoría],Categoría[Cat],"NA",0)</x:f>
        <x:v>#NAME?</x:v>
      </x:c>
      <x:c r="B257" s="165" t="s">
        <x:v>430</x:v>
      </x:c>
      <x:c r="C257" s="288" t="e">
        <x:f>_xlfn.XLOOKUP(Matriz[[#This Row],[Parámetro]],Parámetro[Parámetro],Parámetro[Par],0,0)</x:f>
        <x:v>#NAME?</x:v>
      </x:c>
      <x:c r="D257" s="165" t="s">
        <x:v>152</x:v>
      </x:c>
      <x:c r="E257" s="165" t="e">
        <x:f>Matriz[[#This Row],[Cat]]&amp;IF(Matriz[[#This Row],[Par]]=0,"","."&amp;Matriz[[#This Row],[Par]]&amp;"."&amp;TEXT(COUNTIFS(A$2:A257,Matriz[[#This Row],[Cat]],C$2:C257,Matriz[[#This Row],[Par]]),"000"))</x:f>
        <x:v>#NAME?</x:v>
      </x:c>
      <x:c r="F257" s="289" t="e">
        <x:f>IF(LEN(Matriz[[#This Row],[EDT]])=1,COUNTIF(Matriz[EDT],"?????????*"),IF(LEN(Matriz[[#This Row],[EDT]])=2,COUNTIF(Matriz[EDT],Matriz[[#This Row],[Cat]]&amp;"*")-1,0))</x:f>
        <x:v>#NAME?</x:v>
      </x:c>
      <x:c r="G257" s="165" t="e">
        <x:f>IF(Matriz[[#This Row],['# reque-rimientos]]&gt;0,"Sí","No")</x:f>
        <x:v>#REF!</x:v>
      </x:c>
      <x:c r="H257" s="165" t="e">
        <x:f>IF(Matriz[[#This Row],[Cat]]="0",0,IF(Matriz[[#This Row],[Par]]=0,1,LEN(Matriz[[#This Row],[EDT]])-LEN(SUBSTITUTE(Matriz[[#This Row],[EDT]],".",""))))</x:f>
        <x:v>#NAME?</x:v>
      </x:c>
      <x:c r="I257" s="168" t="s">
        <x:v>443</x:v>
      </x:c>
      <x:c r="J257" s="13" t="s">
        <x:v>105</x:v>
      </x:c>
      <x:c r="M257" s="13" t="s">
        <x:v>120</x:v>
      </x:c>
      <x:c r="N257" s="297" t="str">
        <x:f>_xlfn.XLOOKUP("Garantía",Glosario[Glosario ⬇️],Glosario[Descripción],"NA",0)</x:f>
        <x:v>Cubre errores imputables al proveedor, no operación normal: “Todo lo que debería funcionar según el alcance aprobado y no lo hace”.
✅ Normalmente SÍ cubre: ▪Defectos de configuración, ▪Errores de desarrollo / parametrización, ▪Flujos que no funcionan conforme a lo diseñado, ▪Reportes que no entregan los resultados definidos, ▪Automatizaciones mal implementadas, ▪Problemas de performance atribuibles al diseño.
❌ Normalmente NO cubre: ▪Nuevos requerimientos, ▪Cambios de alcance, ▪Capacitación adicional, ▪Soporte funcional recurrente, ▪Cambios solicitados por usuarios, ▪Evoluciones del modelo PMO</x:v>
      </x:c>
      <x:c r="O257" s="165">
        <x:v>1</x:v>
      </x:c>
      <x:c r="R257" s="13">
        <x:v>8</x:v>
      </x:c>
      <x:c r="S257" s="13" t="s">
        <x:v>67</x:v>
      </x:c>
      <x:c r="T257" s="13" t="s">
        <x:v>39</x:v>
      </x:c>
      <x:c r="U257" s="13">
        <x:v>2</x:v>
      </x:c>
      <x:c r="X257" s="284"/>
      <x:c r="Y257" s="285"/>
      <x:c r="Z257" s="284"/>
      <x:c r="AA257" s="13"/>
      <x:c r="AB257" s="286"/>
    </x:row>
    <x:row r="258">
      <x:c r="A258" s="290" t="e">
        <x:f>_xlfn.XLOOKUP(Matriz[[#This Row],[Categoría]],Categoría[Categoría],Categoría[Cat],"NA",0)</x:f>
        <x:v>#NAME?</x:v>
      </x:c>
      <x:c r="B258" s="165" t="s">
        <x:v>430</x:v>
      </x:c>
      <x:c r="C258" s="288" t="e">
        <x:f>_xlfn.XLOOKUP(Matriz[[#This Row],[Parámetro]],Parámetro[Parámetro],Parámetro[Par],0,0)</x:f>
        <x:v>#NAME?</x:v>
      </x:c>
      <x:c r="D258" s="165" t="s">
        <x:v>152</x:v>
      </x:c>
      <x:c r="E258" s="165" t="e">
        <x:f>Matriz[[#This Row],[Cat]]&amp;IF(Matriz[[#This Row],[Par]]=0,"","."&amp;Matriz[[#This Row],[Par]]&amp;"."&amp;TEXT(COUNTIFS(A$2:A258,Matriz[[#This Row],[Cat]],C$2:C258,Matriz[[#This Row],[Par]]),"000"))</x:f>
        <x:v>#NAME?</x:v>
      </x:c>
      <x:c r="F258" s="289" t="e">
        <x:f>IF(LEN(Matriz[[#This Row],[EDT]])=1,COUNTIF(Matriz[EDT],"?????????*"),IF(LEN(Matriz[[#This Row],[EDT]])=2,COUNTIF(Matriz[EDT],Matriz[[#This Row],[Cat]]&amp;"*")-1,0))</x:f>
        <x:v>#NAME?</x:v>
      </x:c>
      <x:c r="G258" s="165" t="e">
        <x:f>IF(Matriz[[#This Row],['# reque-rimientos]]&gt;0,"Sí","No")</x:f>
        <x:v>#REF!</x:v>
      </x:c>
      <x:c r="H258" s="165" t="e">
        <x:f>IF(Matriz[[#This Row],[Cat]]="0",0,IF(Matriz[[#This Row],[Par]]=0,1,LEN(Matriz[[#This Row],[EDT]])-LEN(SUBSTITUTE(Matriz[[#This Row],[EDT]],".",""))))</x:f>
        <x:v>#NAME?</x:v>
      </x:c>
      <x:c r="I258" s="168" t="s">
        <x:v>444</x:v>
      </x:c>
      <x:c r="J258" s="13" t="s">
        <x:v>105</x:v>
      </x:c>
      <x:c r="M258" s="13" t="s">
        <x:v>120</x:v>
      </x:c>
      <x:c r="N258" s="13" t="s">
        <x:v>445</x:v>
      </x:c>
      <x:c r="O258" s="165">
        <x:v>1</x:v>
      </x:c>
      <x:c r="R258" s="13">
        <x:v>8</x:v>
      </x:c>
      <x:c r="S258" s="13" t="s">
        <x:v>67</x:v>
      </x:c>
      <x:c r="T258" s="13" t="s">
        <x:v>39</x:v>
      </x:c>
      <x:c r="X258" s="284"/>
      <x:c r="Y258" s="285"/>
      <x:c r="Z258" s="284"/>
      <x:c r="AA258" s="13"/>
      <x:c r="AB258" s="286"/>
    </x:row>
    <x:row r="259">
      <x:c r="A259" s="290" t="e">
        <x:f>_xlfn.XLOOKUP(Matriz[[#This Row],[Categoría]],Categoría[Categoría],Categoría[Cat],"NA",0)</x:f>
        <x:v>#NAME?</x:v>
      </x:c>
      <x:c r="B259" s="165" t="s">
        <x:v>430</x:v>
      </x:c>
      <x:c r="C259" s="288" t="e">
        <x:f>_xlfn.XLOOKUP(Matriz[[#This Row],[Parámetro]],Parámetro[Parámetro],Parámetro[Par],0,0)</x:f>
        <x:v>#NAME?</x:v>
      </x:c>
      <x:c r="D259" s="165" t="s">
        <x:v>152</x:v>
      </x:c>
      <x:c r="E259" s="165" t="e">
        <x:f>Matriz[[#This Row],[Cat]]&amp;IF(Matriz[[#This Row],[Par]]=0,"","."&amp;Matriz[[#This Row],[Par]]&amp;"."&amp;TEXT(COUNTIFS(A$2:A259,Matriz[[#This Row],[Cat]],C$2:C259,Matriz[[#This Row],[Par]]),"000"))</x:f>
        <x:v>#NAME?</x:v>
      </x:c>
      <x:c r="F259" s="289" t="e">
        <x:f>IF(LEN(Matriz[[#This Row],[EDT]])=1,COUNTIF(Matriz[EDT],"?????????*"),IF(LEN(Matriz[[#This Row],[EDT]])=2,COUNTIF(Matriz[EDT],Matriz[[#This Row],[Cat]]&amp;"*")-1,0))</x:f>
        <x:v>#NAME?</x:v>
      </x:c>
      <x:c r="G259" s="165" t="e">
        <x:f>IF(Matriz[[#This Row],['# reque-rimientos]]&gt;0,"Sí","No")</x:f>
        <x:v>#REF!</x:v>
      </x:c>
      <x:c r="H259" s="165" t="e">
        <x:f>IF(Matriz[[#This Row],[Cat]]="0",0,IF(Matriz[[#This Row],[Par]]=0,1,LEN(Matriz[[#This Row],[EDT]])-LEN(SUBSTITUTE(Matriz[[#This Row],[EDT]],".",""))))</x:f>
        <x:v>#NAME?</x:v>
      </x:c>
      <x:c r="I259" s="168" t="s">
        <x:v>446</x:v>
      </x:c>
      <x:c r="J259" s="168" t="s">
        <x:v>447</x:v>
      </x:c>
      <x:c r="M259" s="13" t="s">
        <x:v>120</x:v>
      </x:c>
      <x:c r="N259" s="13" t="s">
        <x:v>448</x:v>
      </x:c>
      <x:c r="O259" s="165">
        <x:v>1</x:v>
      </x:c>
      <x:c r="R259" s="13">
        <x:v>10</x:v>
      </x:c>
      <x:c r="S259" s="13" t="s">
        <x:v>108</x:v>
      </x:c>
      <x:c r="T259" s="13" t="s">
        <x:v>109</x:v>
      </x:c>
      <x:c r="X259" s="298"/>
      <x:c r="Y259" s="285"/>
      <x:c r="Z259" s="284"/>
      <x:c r="AA259" s="13"/>
      <x:c r="AB259" s="286"/>
    </x:row>
    <x:row r="260" ht="22.5">
      <x:c r="A260" s="290" t="e">
        <x:f>_xlfn.XLOOKUP(Matriz[[#This Row],[Categoría]],Categoría[Categoría],Categoría[Cat],"NA",0)</x:f>
        <x:v>#NAME?</x:v>
      </x:c>
      <x:c r="B260" s="165" t="s">
        <x:v>430</x:v>
      </x:c>
      <x:c r="C260" s="288" t="e">
        <x:f>_xlfn.XLOOKUP(Matriz[[#This Row],[Parámetro]],Parámetro[Parámetro],Parámetro[Par],0,0)</x:f>
        <x:v>#NAME?</x:v>
      </x:c>
      <x:c r="D260" s="165" t="s">
        <x:v>152</x:v>
      </x:c>
      <x:c r="E260" s="13" t="e">
        <x:f>Matriz[[#This Row],[Cat]]&amp;IF(Matriz[[#This Row],[Par]]=0,"","."&amp;Matriz[[#This Row],[Par]]&amp;"."&amp;TEXT(COUNTIFS(A$2:A269,Matriz[[#This Row],[Cat]],C$2:C269,Matriz[[#This Row],[Par]]),"000"))</x:f>
        <x:v>#NAME?</x:v>
      </x:c>
      <x:c r="F260" s="289" t="e">
        <x:f>IF(LEN(Matriz[[#This Row],[EDT]])=1,COUNTIF(Matriz[EDT],"?????????*"),IF(LEN(Matriz[[#This Row],[EDT]])=2,COUNTIF(Matriz[EDT],Matriz[[#This Row],[Cat]]&amp;"*")-1,0))</x:f>
        <x:v>#NAME?</x:v>
      </x:c>
      <x:c r="G260" s="165" t="e">
        <x:f>IF(Matriz[[#This Row],['# reque-rimientos]]&gt;0,"Sí","No")</x:f>
        <x:v>#REF!</x:v>
      </x:c>
      <x:c r="H260" s="165" t="e">
        <x:f>IF(Matriz[[#This Row],[Cat]]="0",0,IF(Matriz[[#This Row],[Par]]=0,1,LEN(Matriz[[#This Row],[EDT]])-LEN(SUBSTITUTE(Matriz[[#This Row],[EDT]],".",""))))</x:f>
        <x:v>#NAME?</x:v>
      </x:c>
      <x:c r="I260" s="64" t="s">
        <x:v>449</x:v>
      </x:c>
      <x:c r="J260" s="165" t="s">
        <x:v>447</x:v>
      </x:c>
      <x:c r="K260" s="165"/>
      <x:c r="L260" s="165"/>
      <x:c r="M260" s="165" t="s">
        <x:v>120</x:v>
      </x:c>
      <x:c r="N260" s="165" t="s">
        <x:v>450</x:v>
      </x:c>
      <x:c r="O260" s="165">
        <x:v>1</x:v>
      </x:c>
      <x:c r="R260" s="13">
        <x:v>7</x:v>
      </x:c>
      <x:c r="S260" s="13" t="s">
        <x:v>108</x:v>
      </x:c>
      <x:c r="T260" s="13" t="s">
        <x:v>109</x:v>
      </x:c>
      <x:c r="X260" s="299"/>
      <x:c r="Y260" s="285"/>
      <x:c r="Z260" s="284"/>
      <x:c r="AA260" s="13"/>
      <x:c r="AB260" s="286"/>
    </x:row>
    <x:row r="261" hidden="1">
      <x:c r="A261" s="290" t="e">
        <x:f>_xlfn.XLOOKUP(Matriz[[#This Row],[Categoría]],Categoría[Categoría],Categoría[Cat],"NA",0)</x:f>
        <x:v>#NAME?</x:v>
      </x:c>
      <x:c r="B261" s="290" t="s">
        <x:v>430</x:v>
      </x:c>
      <x:c r="C261" s="288" t="e">
        <x:f>_xlfn.XLOOKUP(Matriz[[#This Row],[Parámetro]],Parámetro[Parámetro],Parámetro[Par],0,0)</x:f>
        <x:v>#NAME?</x:v>
      </x:c>
      <x:c r="D261" s="288" t="s">
        <x:v>180</x:v>
      </x:c>
      <x:c r="E261" s="13" t="e">
        <x:f>Matriz[[#This Row],[Cat]]&amp;IF(Matriz[[#This Row],[Par]]=0,"","."&amp;Matriz[[#This Row],[Par]]&amp;"."&amp;TEXT(COUNTIFS(A$2:A270,Matriz[[#This Row],[Cat]],C$2:C270,Matriz[[#This Row],[Par]]),"000"))</x:f>
        <x:v>#NAME?</x:v>
      </x:c>
      <x:c r="F261" s="289" t="e">
        <x:f>IF(LEN(Matriz[[#This Row],[EDT]])=1,COUNTIF(Matriz[EDT],"?????????*"),IF(LEN(Matriz[[#This Row],[EDT]])=2,COUNTIF(Matriz[EDT],Matriz[[#This Row],[Cat]]&amp;"*")-1,0))</x:f>
        <x:v>#NAME?</x:v>
      </x:c>
      <x:c r="G261" s="165" t="e">
        <x:f>IF([1]!Matriz[[#This Row],['# reque-rimientos]]&gt;0,"Sí","No")</x:f>
        <x:v>#NAME?</x:v>
      </x:c>
      <x:c r="H261" s="165" t="e">
        <x:f>IF([1]!Matriz[[#This Row],[Cat]]="0",0,IF([1]!Matriz[[#This Row],[Par]]=0,1,LEN([1]!Matriz[[#This Row],[EDT]])-LEN(SUBSTITUTE([1]!Matriz[[#This Row],[EDT]],".",""))))</x:f>
        <x:v>#NAME?</x:v>
      </x:c>
      <x:c r="I261" s="165" t="s">
        <x:v>451</x:v>
      </x:c>
      <x:c r="J261" s="13" t="s">
        <x:v>447</x:v>
      </x:c>
      <x:c r="M261" s="13" t="s">
        <x:v>32</x:v>
      </x:c>
      <x:c r="N261" s="13" t="s">
        <x:v>452</x:v>
      </x:c>
      <x:c r="O261" s="165">
        <x:v>2</x:v>
      </x:c>
      <x:c r="R261" s="13">
        <x:v>7</x:v>
      </x:c>
      <x:c r="S261" s="13" t="s">
        <x:v>108</x:v>
      </x:c>
      <x:c r="T261" s="13" t="s">
        <x:v>109</x:v>
      </x:c>
      <x:c r="X261" s="299"/>
      <x:c r="Y261" s="285"/>
      <x:c r="Z261" s="284"/>
      <x:c r="AA261" s="13"/>
      <x:c r="AB261" s="286"/>
    </x:row>
    <x:row r="262" ht="67.5" hidden="1">
      <x:c r="A262" s="290" t="e">
        <x:f>_xlfn.XLOOKUP(Matriz[[#This Row],[Categoría]],Categoría[Categoría],Categoría[Cat],"NA",0)</x:f>
        <x:v>#NAME?</x:v>
      </x:c>
      <x:c r="B262" s="290" t="s">
        <x:v>430</x:v>
      </x:c>
      <x:c r="C262" s="288" t="e">
        <x:f>_xlfn.XLOOKUP(Matriz[[#This Row],[Parámetro]],Parámetro[Parámetro],Parámetro[Par],0,0)</x:f>
        <x:v>#NAME?</x:v>
      </x:c>
      <x:c r="D262" s="288" t="s">
        <x:v>180</x:v>
      </x:c>
      <x:c r="E262" s="13" t="e">
        <x:f>Matriz[[#This Row],[Cat]]&amp;IF(Matriz[[#This Row],[Par]]=0,"","."&amp;Matriz[[#This Row],[Par]]&amp;"."&amp;TEXT(COUNTIFS(A$2:A271,Matriz[[#This Row],[Cat]],C$2:C271,Matriz[[#This Row],[Par]]),"000"))</x:f>
        <x:v>#NAME?</x:v>
      </x:c>
      <x:c r="F262" s="289" t="e">
        <x:f>IF(LEN(Matriz[[#This Row],[EDT]])=1,COUNTIF(Matriz[EDT],"?????????*"),IF(LEN(Matriz[[#This Row],[EDT]])=2,COUNTIF(Matriz[EDT],Matriz[[#This Row],[Cat]]&amp;"*")-1,0))</x:f>
        <x:v>#NAME?</x:v>
      </x:c>
      <x:c r="G262" s="165" t="e">
        <x:f>IF([1]!Matriz[[#This Row],['# reque-rimientos]]&gt;0,"Sí","No")</x:f>
        <x:v>#NAME?</x:v>
      </x:c>
      <x:c r="H262" s="165" t="e">
        <x:f>IF([1]!Matriz[[#This Row],[Cat]]="0",0,IF([1]!Matriz[[#This Row],[Par]]=0,1,LEN([1]!Matriz[[#This Row],[EDT]])-LEN(SUBSTITUTE([1]!Matriz[[#This Row],[EDT]],".",""))))</x:f>
        <x:v>#NAME?</x:v>
      </x:c>
      <x:c r="I262" s="165" t="s">
        <x:v>453</x:v>
      </x:c>
      <x:c r="J262" s="13" t="s">
        <x:v>454</x:v>
      </x:c>
      <x:c r="M262" s="13" t="s">
        <x:v>32</x:v>
      </x:c>
      <x:c r="O262" s="165">
        <x:v>2</x:v>
      </x:c>
      <x:c r="R262" s="13">
        <x:v>7</x:v>
      </x:c>
      <x:c r="S262" s="13" t="s">
        <x:v>455</x:v>
      </x:c>
      <x:c r="X262" s="284"/>
      <x:c r="Y262" s="285"/>
      <x:c r="Z262" s="284"/>
      <x:c r="AA262" s="13"/>
      <x:c r="AB262" s="286"/>
    </x:row>
    <x:row r="263" hidden="1">
      <x:c r="A263" s="290" t="e">
        <x:f>_xlfn.XLOOKUP(Matriz[[#This Row],[Categoría]],Categoría[Categoría],Categoría[Cat],"NA",0)</x:f>
        <x:v>#NAME?</x:v>
      </x:c>
      <x:c r="B263" s="290" t="s">
        <x:v>430</x:v>
      </x:c>
      <x:c r="C263" s="288" t="e">
        <x:f>_xlfn.XLOOKUP(Matriz[[#This Row],[Parámetro]],Parámetro[Parámetro],Parámetro[Par],0,0)</x:f>
        <x:v>#NAME?</x:v>
      </x:c>
      <x:c r="D263" s="288" t="s">
        <x:v>195</x:v>
      </x:c>
      <x:c r="E263" s="13" t="e">
        <x:f>Matriz[[#This Row],[Cat]]&amp;IF(Matriz[[#This Row],[Par]]=0,"","."&amp;Matriz[[#This Row],[Par]]&amp;"."&amp;TEXT(COUNTIFS(A$2:A272,Matriz[[#This Row],[Cat]],C$2:C272,Matriz[[#This Row],[Par]]),"000"))</x:f>
        <x:v>#NAME?</x:v>
      </x:c>
      <x:c r="F263" s="289" t="e">
        <x:f>IF(LEN(Matriz[[#This Row],[EDT]])=1,COUNTIF(Matriz[EDT],"?????????*"),IF(LEN(Matriz[[#This Row],[EDT]])=2,COUNTIF(Matriz[EDT],Matriz[[#This Row],[Cat]]&amp;"*")-1,0))</x:f>
        <x:v>#NAME?</x:v>
      </x:c>
      <x:c r="G263" s="165" t="e">
        <x:f>IF([1]!Matriz[[#This Row],['# reque-rimientos]]&gt;0,"Sí","No")</x:f>
        <x:v>#NAME?</x:v>
      </x:c>
      <x:c r="H263" s="165" t="e">
        <x:f>IF([1]!Matriz[[#This Row],[Cat]]="0",0,IF([1]!Matriz[[#This Row],[Par]]=0,1,LEN([1]!Matriz[[#This Row],[EDT]])-LEN(SUBSTITUTE([1]!Matriz[[#This Row],[EDT]],".",""))))</x:f>
        <x:v>#NAME?</x:v>
      </x:c>
      <x:c r="I263" s="274" t="s">
        <x:v>456</x:v>
      </x:c>
      <x:c r="J263" s="13" t="s">
        <x:v>457</x:v>
      </x:c>
      <x:c r="M263" s="13" t="s">
        <x:v>120</x:v>
      </x:c>
      <x:c r="N263" s="165" t="s">
        <x:v>458</x:v>
      </x:c>
      <x:c r="O263" s="165">
        <x:v>2</x:v>
      </x:c>
      <x:c r="R263" s="13">
        <x:v>7</x:v>
      </x:c>
      <x:c r="S263" s="13" t="s">
        <x:v>108</x:v>
      </x:c>
      <x:c r="T263" s="13" t="s">
        <x:v>109</x:v>
      </x:c>
      <x:c r="X263" s="298" t="n">
        <x:f>IFERROR(TCO!K35/X58,0)</x:f>
        <x:v>0</x:v>
      </x:c>
      <x:c r="Y263" s="285"/>
      <x:c r="Z263" s="284"/>
      <x:c r="AA263" s="13"/>
      <x:c r="AB263" s="286"/>
    </x:row>
    <x:row r="264" hidden="1">
      <x:c r="A264" s="290" t="e">
        <x:f>_xlfn.XLOOKUP(Matriz[[#This Row],[Categoría]],Categoría[Categoría],Categoría[Cat],"NA",0)</x:f>
        <x:v>#NAME?</x:v>
      </x:c>
      <x:c r="B264" s="290" t="s">
        <x:v>430</x:v>
      </x:c>
      <x:c r="C264" s="288" t="e">
        <x:f>_xlfn.XLOOKUP(Matriz[[#This Row],[Parámetro]],Parámetro[Parámetro],Parámetro[Par],0,0)</x:f>
        <x:v>#NAME?</x:v>
      </x:c>
      <x:c r="D264" s="288" t="s">
        <x:v>195</x:v>
      </x:c>
      <x:c r="E264" s="13" t="e">
        <x:f>Matriz[[#This Row],[Cat]]&amp;IF(Matriz[[#This Row],[Par]]=0,"","."&amp;Matriz[[#This Row],[Par]]&amp;"."&amp;TEXT(COUNTIFS(A$2:A273,Matriz[[#This Row],[Cat]],C$2:C273,Matriz[[#This Row],[Par]]),"000"))</x:f>
        <x:v>#NAME?</x:v>
      </x:c>
      <x:c r="F264" s="289" t="e">
        <x:f>IF(LEN(Matriz[[#This Row],[EDT]])=1,COUNTIF(Matriz[EDT],"?????????*"),IF(LEN(Matriz[[#This Row],[EDT]])=2,COUNTIF(Matriz[EDT],Matriz[[#This Row],[Cat]]&amp;"*")-1,0))</x:f>
        <x:v>#NAME?</x:v>
      </x:c>
      <x:c r="G264" s="165" t="e">
        <x:f>IF([1]!Matriz[[#This Row],['# reque-rimientos]]&gt;0,"Sí","No")</x:f>
        <x:v>#NAME?</x:v>
      </x:c>
      <x:c r="H264" s="165" t="e">
        <x:f>IF([1]!Matriz[[#This Row],[Cat]]="0",0,IF([1]!Matriz[[#This Row],[Par]]=0,1,LEN([1]!Matriz[[#This Row],[EDT]])-LEN(SUBSTITUTE([1]!Matriz[[#This Row],[EDT]],".",""))))</x:f>
        <x:v>#NAME?</x:v>
      </x:c>
      <x:c r="I264" s="274" t="s">
        <x:v>459</x:v>
      </x:c>
      <x:c r="J264" s="13" t="s">
        <x:v>460</x:v>
      </x:c>
      <x:c r="M264" s="13" t="s">
        <x:v>120</x:v>
      </x:c>
      <x:c r="N264" s="165" t="s">
        <x:v>461</x:v>
      </x:c>
      <x:c r="O264" s="165">
        <x:v>2</x:v>
      </x:c>
      <x:c r="R264" s="13">
        <x:v>6</x:v>
      </x:c>
      <x:c r="S264" s="13" t="s">
        <x:v>108</x:v>
      </x:c>
      <x:c r="T264" s="13" t="s">
        <x:v>109</x:v>
      </x:c>
      <x:c r="X264" s="300" t="n">
        <x:f>TCO!K42</x:f>
        <x:v>100</x:v>
      </x:c>
      <x:c r="Y264" s="285"/>
      <x:c r="Z264" s="284"/>
      <x:c r="AA264" s="13"/>
      <x:c r="AB264" s="286"/>
    </x:row>
    <x:row r="265" hidden="1">
      <x:c r="A265" s="290" t="e">
        <x:f>_xlfn.XLOOKUP(Matriz[[#This Row],[Categoría]],Categoría[Categoría],Categoría[Cat],"NA",0)</x:f>
        <x:v>#NAME?</x:v>
      </x:c>
      <x:c r="B265" s="290" t="s">
        <x:v>430</x:v>
      </x:c>
      <x:c r="C265" s="288" t="e">
        <x:f>_xlfn.XLOOKUP(Matriz[[#This Row],[Parámetro]],Parámetro[Parámetro],Parámetro[Par],0,0)</x:f>
        <x:v>#NAME?</x:v>
      </x:c>
      <x:c r="D265" s="288" t="s">
        <x:v>195</x:v>
      </x:c>
      <x:c r="E265" s="13" t="e">
        <x:f>Matriz[[#This Row],[Cat]]&amp;IF(Matriz[[#This Row],[Par]]=0,"","."&amp;Matriz[[#This Row],[Par]]&amp;"."&amp;TEXT(COUNTIFS(A$2:A274,Matriz[[#This Row],[Cat]],C$2:C274,Matriz[[#This Row],[Par]]),"000"))</x:f>
        <x:v>#NAME?</x:v>
      </x:c>
      <x:c r="F265" s="289" t="e">
        <x:f>IF(LEN(Matriz[[#This Row],[EDT]])=1,COUNTIF(Matriz[EDT],"?????????*"),IF(LEN(Matriz[[#This Row],[EDT]])=2,COUNTIF(Matriz[EDT],Matriz[[#This Row],[Cat]]&amp;"*")-1,0))</x:f>
        <x:v>#NAME?</x:v>
      </x:c>
      <x:c r="G265" s="165" t="e">
        <x:f>IF([1]!Matriz[[#This Row],['# reque-rimientos]]&gt;0,"Sí","No")</x:f>
        <x:v>#NAME?</x:v>
      </x:c>
      <x:c r="H265" s="165" t="e">
        <x:f>IF([1]!Matriz[[#This Row],[Cat]]="0",0,IF([1]!Matriz[[#This Row],[Par]]=0,1,LEN([1]!Matriz[[#This Row],[EDT]])-LEN(SUBSTITUTE([1]!Matriz[[#This Row],[EDT]],".",""))))</x:f>
        <x:v>#NAME?</x:v>
      </x:c>
      <x:c r="I265" s="274" t="s">
        <x:v>462</x:v>
      </x:c>
      <x:c r="M265" s="13" t="s">
        <x:v>120</x:v>
      </x:c>
      <x:c r="N265" s="297"/>
      <x:c r="O265" s="165">
        <x:v>2</x:v>
      </x:c>
      <x:c r="R265" s="13">
        <x:v>5</x:v>
      </x:c>
      <x:c r="S265" s="13" t="s">
        <x:v>155</x:v>
      </x:c>
      <x:c r="X265" s="284"/>
      <x:c r="Y265" s="285"/>
      <x:c r="Z265" s="284"/>
      <x:c r="AA265" s="13"/>
      <x:c r="AB265" s="286"/>
    </x:row>
    <x:row r="266" ht="67.5" hidden="1">
      <x:c r="A266" s="290" t="e">
        <x:f>_xlfn.XLOOKUP(Matriz[[#This Row],[Categoría]],Categoría[Categoría],Categoría[Cat],"NA",0)</x:f>
        <x:v>#NAME?</x:v>
      </x:c>
      <x:c r="B266" s="290" t="s">
        <x:v>430</x:v>
      </x:c>
      <x:c r="C266" s="288" t="e">
        <x:f>_xlfn.XLOOKUP(Matriz[[#This Row],[Parámetro]],Parámetro[Parámetro],Parámetro[Par],0,0)</x:f>
        <x:v>#NAME?</x:v>
      </x:c>
      <x:c r="D266" s="288" t="s">
        <x:v>195</x:v>
      </x:c>
      <x:c r="E266" s="13" t="e">
        <x:f>Matriz[[#This Row],[Cat]]&amp;IF(Matriz[[#This Row],[Par]]=0,"","."&amp;Matriz[[#This Row],[Par]]&amp;"."&amp;TEXT(COUNTIFS(A$2:A275,Matriz[[#This Row],[Cat]],C$2:C275,Matriz[[#This Row],[Par]]),"000"))</x:f>
        <x:v>#NAME?</x:v>
      </x:c>
      <x:c r="F266" s="289" t="e">
        <x:f>IF(LEN(Matriz[[#This Row],[EDT]])=1,COUNTIF(Matriz[EDT],"?????????*"),IF(LEN(Matriz[[#This Row],[EDT]])=2,COUNTIF(Matriz[EDT],Matriz[[#This Row],[Cat]]&amp;"*")-1,0))</x:f>
        <x:v>#NAME?</x:v>
      </x:c>
      <x:c r="G266" s="165" t="e">
        <x:f>IF([1]!Matriz[[#This Row],['# reque-rimientos]]&gt;0,"Sí","No")</x:f>
        <x:v>#NAME?</x:v>
      </x:c>
      <x:c r="H266" s="165" t="e">
        <x:f>IF([1]!Matriz[[#This Row],[Cat]]="0",0,IF([1]!Matriz[[#This Row],[Par]]=0,1,LEN([1]!Matriz[[#This Row],[EDT]])-LEN(SUBSTITUTE([1]!Matriz[[#This Row],[EDT]],".",""))))</x:f>
        <x:v>#NAME?</x:v>
      </x:c>
      <x:c r="I266" s="165" t="s">
        <x:v>463</x:v>
      </x:c>
      <x:c r="J266" s="13" t="s">
        <x:v>454</x:v>
      </x:c>
      <x:c r="M266" s="13" t="s">
        <x:v>120</x:v>
      </x:c>
      <x:c r="O266" s="165">
        <x:v>2</x:v>
      </x:c>
      <x:c r="R266" s="13">
        <x:v>5</x:v>
      </x:c>
      <x:c r="S266" s="13" t="s">
        <x:v>455</x:v>
      </x:c>
      <x:c r="X266" s="284"/>
      <x:c r="Y266" s="285"/>
      <x:c r="Z266" s="284"/>
      <x:c r="AA266" s="13"/>
      <x:c r="AB266" s="286"/>
    </x:row>
    <x:row r="267" hidden="1">
      <x:c r="A267" s="290" t="e">
        <x:f>_xlfn.XLOOKUP(Matriz[[#This Row],[Categoría]],Categoría[Categoría],Categoría[Cat],"NA",0)</x:f>
        <x:v>#NAME?</x:v>
      </x:c>
      <x:c r="B267" s="290" t="s">
        <x:v>430</x:v>
      </x:c>
      <x:c r="C267" s="288" t="e">
        <x:f>_xlfn.XLOOKUP(Matriz[[#This Row],[Parámetro]],Parámetro[Parámetro],Parámetro[Par],0,0)</x:f>
        <x:v>#NAME?</x:v>
      </x:c>
      <x:c r="D267" s="288" t="s">
        <x:v>195</x:v>
      </x:c>
      <x:c r="E267" s="13" t="e">
        <x:f>Matriz[[#This Row],[Cat]]&amp;IF(Matriz[[#This Row],[Par]]=0,"","."&amp;Matriz[[#This Row],[Par]]&amp;"."&amp;TEXT(COUNTIFS(A$2:A276,Matriz[[#This Row],[Cat]],C$2:C276,Matriz[[#This Row],[Par]]),"000"))</x:f>
        <x:v>#NAME?</x:v>
      </x:c>
      <x:c r="F267" s="289" t="e">
        <x:f>IF(LEN(Matriz[[#This Row],[EDT]])=1,COUNTIF(Matriz[EDT],"?????????*"),IF(LEN(Matriz[[#This Row],[EDT]])=2,COUNTIF(Matriz[EDT],Matriz[[#This Row],[Cat]]&amp;"*")-1,0))</x:f>
        <x:v>#NAME?</x:v>
      </x:c>
      <x:c r="G267" s="165" t="e">
        <x:f>IF([1]!Matriz[[#This Row],['# reque-rimientos]]&gt;0,"Sí","No")</x:f>
        <x:v>#NAME?</x:v>
      </x:c>
      <x:c r="H267" s="165" t="e">
        <x:f>IF([1]!Matriz[[#This Row],[Cat]]="0",0,IF([1]!Matriz[[#This Row],[Par]]=0,1,LEN([1]!Matriz[[#This Row],[EDT]])-LEN(SUBSTITUTE([1]!Matriz[[#This Row],[EDT]],".",""))))</x:f>
        <x:v>#NAME?</x:v>
      </x:c>
      <x:c r="I267" s="165" t="s">
        <x:v>464</x:v>
      </x:c>
      <x:c r="M267" s="13" t="s">
        <x:v>120</x:v>
      </x:c>
      <x:c r="O267" s="165">
        <x:v>2</x:v>
      </x:c>
      <x:c r="R267" s="13">
        <x:v>5</x:v>
      </x:c>
      <x:c r="S267" s="13" t="s">
        <x:v>438</x:v>
      </x:c>
      <x:c r="X267" s="284"/>
      <x:c r="Y267" s="285"/>
      <x:c r="Z267" s="284"/>
      <x:c r="AA267" s="13"/>
      <x:c r="AB267" s="286"/>
    </x:row>
    <x:row r="268" hidden="1">
      <x:c r="A268" s="290" t="e">
        <x:f>_xlfn.XLOOKUP(Matriz[[#This Row],[Categoría]],Categoría[Categoría],Categoría[Cat],"NA",0)</x:f>
        <x:v>#NAME?</x:v>
      </x:c>
      <x:c r="B268" s="290" t="s">
        <x:v>430</x:v>
      </x:c>
      <x:c r="C268" s="288" t="e">
        <x:f>_xlfn.XLOOKUP(Matriz[[#This Row],[Parámetro]],Parámetro[Parámetro],Parámetro[Par],0,0)</x:f>
        <x:v>#NAME?</x:v>
      </x:c>
      <x:c r="D268" s="288" t="s">
        <x:v>195</x:v>
      </x:c>
      <x:c r="E268" s="13" t="e">
        <x:f>Matriz[[#This Row],[Cat]]&amp;IF(Matriz[[#This Row],[Par]]=0,"","."&amp;Matriz[[#This Row],[Par]]&amp;"."&amp;TEXT(COUNTIFS(A$2:A277,Matriz[[#This Row],[Cat]],C$2:C277,Matriz[[#This Row],[Par]]),"000"))</x:f>
        <x:v>#NAME?</x:v>
      </x:c>
      <x:c r="F268" s="289" t="e">
        <x:f>IF(LEN(Matriz[[#This Row],[EDT]])=1,COUNTIF(Matriz[EDT],"?????????*"),IF(LEN(Matriz[[#This Row],[EDT]])=2,COUNTIF(Matriz[EDT],Matriz[[#This Row],[Cat]]&amp;"*")-1,0))</x:f>
        <x:v>#NAME?</x:v>
      </x:c>
      <x:c r="G268" s="165" t="e">
        <x:f>IF([1]!Matriz[[#This Row],['# reque-rimientos]]&gt;0,"Sí","No")</x:f>
        <x:v>#NAME?</x:v>
      </x:c>
      <x:c r="H268" s="165" t="e">
        <x:f>IF([1]!Matriz[[#This Row],[Cat]]="0",0,IF([1]!Matriz[[#This Row],[Par]]=0,1,LEN([1]!Matriz[[#This Row],[EDT]])-LEN(SUBSTITUTE([1]!Matriz[[#This Row],[EDT]],".",""))))</x:f>
        <x:v>#NAME?</x:v>
      </x:c>
      <x:c r="I268" s="165" t="s">
        <x:v>465</x:v>
      </x:c>
      <x:c r="M268" s="13" t="s">
        <x:v>120</x:v>
      </x:c>
      <x:c r="O268" s="165">
        <x:v>2</x:v>
      </x:c>
      <x:c r="R268" s="13">
        <x:v>5</x:v>
      </x:c>
      <x:c r="S268" s="13" t="s">
        <x:v>440</x:v>
      </x:c>
      <x:c r="X268" s="284"/>
      <x:c r="Y268" s="285"/>
      <x:c r="Z268" s="284"/>
      <x:c r="AA268" s="13"/>
      <x:c r="AB268" s="286"/>
    </x:row>
    <x:row r="269" ht="22.5">
      <x:c r="A269" s="290" t="e">
        <x:f>_xlfn.XLOOKUP(Matriz[[#This Row],[Categoría]],Categoría[Categoría],Categoría[Cat],"NA",0)</x:f>
        <x:v>#NAME?</x:v>
      </x:c>
      <x:c r="B269" s="290" t="s">
        <x:v>430</x:v>
      </x:c>
      <x:c r="C269" s="288" t="e">
        <x:f>_xlfn.XLOOKUP(Matriz[[#This Row],[Parámetro]],Parámetro[Parámetro],Parámetro[Par],0,0)</x:f>
        <x:v>#NAME?</x:v>
      </x:c>
      <x:c r="D269" s="288" t="s">
        <x:v>430</x:v>
      </x:c>
      <x:c r="E269" s="13" t="e">
        <x:f>Matriz[[#This Row],[Cat]]&amp;IF(Matriz[[#This Row],[Par]]=0,"","."&amp;Matriz[[#This Row],[Par]]&amp;"."&amp;TEXT(COUNTIFS(A$2:A278,Matriz[[#This Row],[Cat]],C$2:C278,Matriz[[#This Row],[Par]]),"000"))</x:f>
        <x:v>#NAME?</x:v>
      </x:c>
      <x:c r="F269" s="289" t="e">
        <x:f>IF(LEN(Matriz[[#This Row],[EDT]])=1,COUNTIF(Matriz[EDT],"?????????*"),IF(LEN(Matriz[[#This Row],[EDT]])=2,COUNTIF(Matriz[EDT],Matriz[[#This Row],[Cat]]&amp;"*")-1,0))</x:f>
        <x:v>#NAME?</x:v>
      </x:c>
      <x:c r="G269" s="165" t="e">
        <x:f>IF([1]!Matriz[[#This Row],['# reque-rimientos]]&gt;0,"Sí","No")</x:f>
        <x:v>#NAME?</x:v>
      </x:c>
      <x:c r="H269" s="165" t="e">
        <x:f>IF([1]!Matriz[[#This Row],[Cat]]="0",0,IF([1]!Matriz[[#This Row],[Par]]=0,1,LEN([1]!Matriz[[#This Row],[EDT]])-LEN(SUBSTITUTE([1]!Matriz[[#This Row],[EDT]],".",""))))</x:f>
        <x:v>#NAME?</x:v>
      </x:c>
      <x:c r="I269" s="82" t="s">
        <x:v>466</x:v>
      </x:c>
      <x:c r="J269" s="165" t="s">
        <x:v>447</x:v>
      </x:c>
      <x:c r="K269" s="291"/>
      <x:c r="L269" s="291"/>
      <x:c r="M269" s="13" t="s">
        <x:v>120</x:v>
      </x:c>
      <x:c r="N269" s="165" t="s">
        <x:v>467</x:v>
      </x:c>
      <x:c r="O269" s="165">
        <x:v>1</x:v>
      </x:c>
      <x:c r="R269" s="13">
        <x:v>10</x:v>
      </x:c>
      <x:c r="S269" s="13" t="s">
        <x:v>108</x:v>
      </x:c>
      <x:c r="T269" s="13" t="s">
        <x:v>109</x:v>
      </x:c>
      <x:c r="X269" s="299" t="e">
        <x:f>TCO/1000</x:f>
        <x:v>#VALUE!</x:v>
      </x:c>
      <x:c r="Y269" s="285"/>
      <x:c r="Z269" s="284"/>
      <x:c r="AA269" s="13"/>
      <x:c r="AB269" s="286"/>
    </x:row>
    <x:row r="270">
      <x:c r="A270" s="13" t="s">
        <x:v>29</x:v>
      </x:c>
      <x:c r="C270" s="13"/>
      <x:c r="G270" s="165"/>
      <x:c r="H270" s="165"/>
      <x:c r="I270" s="165" t="n">
        <x:f>SUBTOTAL(103,Matriz[Requerimiento])-1</x:f>
        <x:v>258</x:v>
      </x:c>
      <x:c r="O270" s="165"/>
      <x:c r="X270" s="301"/>
      <x:c r="Y270" s="301"/>
      <x:c r="Z270" s="301"/>
      <x:c r="AA270" s="13"/>
      <x:c r="AB270" s="302"/>
    </x:row>
  </x:sheetData>
  <x:mergeCells>
    <x:mergeCell ref="X1:AB1"/>
  </x:mergeCells>
  <x:conditionalFormatting sqref="A3:AB269">
    <x:cfRule type="expression" dxfId="64" priority="6">
      <x:formula>RIGHT($E3,3)="001"</x:formula>
    </x:cfRule>
  </x:conditionalFormatting>
  <x:conditionalFormatting sqref="I3:I269 R3:R269">
    <x:cfRule type="expression" dxfId="63" priority="7">
      <x:formula>$R3&gt;=8</x:formula>
    </x:cfRule>
    <x:cfRule type="expression" dxfId="62" priority="8">
      <x:formula>AND($R3&gt;=5, $R3&lt;=7)</x:formula>
    </x:cfRule>
    <x:cfRule type="expression" dxfId="61" priority="9">
      <x:formula>AND($R3&gt;=2, $R3&lt;=4)</x:formula>
    </x:cfRule>
    <x:cfRule type="expression" dxfId="60" priority="10">
      <x:formula>AND($R3&gt;=0, $R3&lt;=1,ISBLANK($R3)=FALSE)</x:formula>
    </x:cfRule>
  </x:conditionalFormatting>
  <x:dataValidations count="27">
    <x:dataValidation type="list" allowBlank="1" showInputMessage="1" showErrorMessage="1" sqref="X55 X61 X63:X66 X69 X72:X73 X265">
      <x:formula1>EscalaS</x:formula1>
    </x:dataValidation>
    <x:dataValidation type="list" allowBlank="1" showInputMessage="1" showErrorMessage="1" sqref="Q3:Q78 P2:P78 P79:Q269">
      <x:formula1>SíNo</x:formula1>
    </x:dataValidation>
    <x:dataValidation type="list" allowBlank="1" showInputMessage="1" showErrorMessage="1" sqref="X67 X71 X77">
      <x:formula1>EscalaC</x:formula1>
    </x:dataValidation>
    <x:dataValidation type="list" allowBlank="1" showInputMessage="1" showErrorMessage="1" sqref="X254 X267">
      <x:formula1>EscalaCA</x:formula1>
    </x:dataValidation>
    <x:dataValidation type="list" allowBlank="1" showInputMessage="1" showErrorMessage="1" sqref="X79">
      <x:formula1>EscalaCD</x:formula1>
    </x:dataValidation>
    <x:dataValidation type="list" allowBlank="1" showInputMessage="1" showErrorMessage="1" sqref="X255 X268">
      <x:formula1>EscalaCB</x:formula1>
    </x:dataValidation>
    <x:dataValidation type="list" allowBlank="1" showInputMessage="1" showErrorMessage="1" sqref="X256">
      <x:formula1>EscalaCC</x:formula1>
    </x:dataValidation>
    <x:dataValidation type="list" allowBlank="1" showInputMessage="1" showErrorMessage="1" sqref="X85">
      <x:formula1>EscalaDB</x:formula1>
    </x:dataValidation>
    <x:dataValidation type="list" allowBlank="1" showInputMessage="1" showErrorMessage="1" sqref="X86">
      <x:formula1>EscalaDC</x:formula1>
    </x:dataValidation>
    <x:dataValidation type="list" allowBlank="1" showInputMessage="1" showErrorMessage="1" sqref="X21 X4">
      <x:formula1>EscalaE</x:formula1>
    </x:dataValidation>
    <x:dataValidation type="list" allowBlank="1" showInputMessage="1" showErrorMessage="1" sqref="X23:X30 X91:X92 X94 X97 X101 X123 X127 X136 X140 X145 X150:X151 X159 X161 X171:X172 X178 X200 X205 X209 X240 X245 X235 X191:X195 X186:X187">
      <x:formula1>EscalaI</x:formula1>
    </x:dataValidation>
    <x:dataValidation type="list" allowBlank="1" showInputMessage="1" showErrorMessage="1" sqref="X132:X134 X5:X10 X22 X31:X32 X108:X116 X121:X122 X124 X14:X16 X154:X155 X157:X158 X204 X241:X244 X246:X248 X12 X128:X130 X214:X234 X236:X238 X201:X202 X148:X149 X193:X194 X196:X199">
      <x:formula1>EscalaK</x:formula1>
    </x:dataValidation>
    <x:dataValidation type="list" allowBlank="1" showInputMessage="1" showErrorMessage="1" sqref="X33">
      <x:formula1>EscalaM</x:formula1>
    </x:dataValidation>
    <x:dataValidation type="list" allowBlank="1" showInputMessage="1" showErrorMessage="1" sqref="X35">
      <x:formula1>EscalaO</x:formula1>
    </x:dataValidation>
    <x:dataValidation type="list" allowBlank="1" showInputMessage="1" showErrorMessage="1" sqref="X45:X46">
      <x:formula1>EscalaR</x:formula1>
    </x:dataValidation>
    <x:dataValidation type="list" allowBlank="1" showInputMessage="1" showErrorMessage="1" sqref="X87:X90 X93 X152 X156 X166">
      <x:formula1>EscalaQ</x:formula1>
    </x:dataValidation>
    <x:dataValidation type="list" allowBlank="1" showInputMessage="1" showErrorMessage="1" sqref="X125:X126 X36 X95:X96 X98:X100 X102:X107 X117:X120 X135 X137:X139 X141:X144 X146:X147 X153 X160 X165 X167:X170 X173:X177 X203 X206:X208 X210:X213 X239 X149 X179:X185 X188:X190">
      <x:formula1>EscalaU</x:formula1>
    </x:dataValidation>
    <x:dataValidation type="list" allowBlank="1" showInputMessage="1" showErrorMessage="1" sqref="X11 X249">
      <x:formula1>EscalaV</x:formula1>
    </x:dataValidation>
    <x:dataValidation type="list" allowBlank="1" showInputMessage="1" showErrorMessage="1" sqref="X250">
      <x:formula1>EscalaVA</x:formula1>
    </x:dataValidation>
    <x:dataValidation type="list" allowBlank="1" showInputMessage="1" showErrorMessage="1" sqref="X251">
      <x:formula1>EscalaVB</x:formula1>
    </x:dataValidation>
    <x:dataValidation type="list" allowBlank="1" showInputMessage="1" showErrorMessage="1" sqref="X252:X253">
      <x:formula1>EscalaVC</x:formula1>
    </x:dataValidation>
    <x:dataValidation allowBlank="1" showInputMessage="1" showErrorMessage="1" sqref="X13"/>
    <x:dataValidation type="list" allowBlank="1" showInputMessage="1" showErrorMessage="1" sqref="X262 X266">
      <x:formula1>EscalaF</x:formula1>
    </x:dataValidation>
    <x:dataValidation type="list" allowBlank="1" showInputMessage="1" showErrorMessage="1" sqref="T3:T269">
      <x:formula1>"≤,=,≥"</x:formula1>
    </x:dataValidation>
    <x:dataValidation type="list" allowBlank="1" showInputMessage="1" showErrorMessage="1" sqref="B3:B269">
      <x:formula1>Catego</x:formula1>
    </x:dataValidation>
    <x:dataValidation type="list" allowBlank="1" showInputMessage="1" showErrorMessage="1" sqref="D2:D269">
      <x:formula1>Parám</x:formula1>
    </x:dataValidation>
    <x:dataValidation type="list" showInputMessage="1" showErrorMessage="1" errorTitle="Error" error="Introduzca solamente valores de la lista disponible." sqref="S3:S269">
      <x:formula1>EscaList</x:formula1>
    </x:dataValidation>
  </x:dataValidations>
  <x:pageMargins left="0.7" right="0.7" top="0.75" bottom="0.75" header="0.3" footer="0.3"/>
  <x:legacyDrawing xmlns:r="http://schemas.openxmlformats.org/officeDocument/2006/relationships" r:id="Rc687c4ba1a184404"/>
  <x:tableParts count="1">
    <x:tablePart xmlns:r="http://schemas.openxmlformats.org/officeDocument/2006/relationships" r:id="R58d38ac494474023"/>
  </x:tableParts>
</x:worksheet>
</file>

<file path=xl/worksheets/sheet2.xml><?xml version="1.0" encoding="utf-8"?>
<x:worksheet xmlns:x="http://schemas.openxmlformats.org/spreadsheetml/2006/main">
  <x:sheetPr>
    <x:tabColor theme="4" tint="0.79998"/>
  </x:sheetPr>
  <x:sheetFormatPr defaultColWidth="12" defaultRowHeight="11.25"/>
  <x:sheetData>
    <x:row r="1" ht="15.75">
      <x:c r="A1" s="161" t="s">
        <x:v>468</x:v>
      </x:c>
    </x:row>
    <x:row r="2">
      <x:c r="N2" s="203"/>
    </x:row>
    <x:row r="3"/>
    <x:row r="4"/>
    <x:row r="5"/>
    <x:row r="6"/>
    <x:row r="7"/>
    <x:row r="8"/>
    <x:row r="9"/>
    <x:row r="10"/>
    <x:row r="11"/>
    <x:row r="12"/>
    <x:row r="13"/>
    <x:row r="14"/>
    <x:row r="15"/>
    <x:row r="16"/>
    <x:row r="17"/>
    <x:row r="18"/>
    <x:row r="19"/>
    <x:row r="20"/>
    <x:row r="21"/>
    <x:row r="22"/>
    <x:row r="23"/>
    <x:row r="24"/>
    <x:row r="25"/>
    <x:row r="26"/>
    <x:row r="27"/>
    <x:row r="28"/>
    <x:row r="29"/>
    <x:row r="30"/>
    <x:row r="31"/>
    <x:row r="32"/>
    <x:row r="33">
      <x:c r="A33" t="s">
        <x:v>469</x:v>
      </x:c>
    </x:row>
    <x:row r="34"/>
    <x:row r="35" ht="15.75">
      <x:c r="A35" s="161" t="s">
        <x:v>470</x:v>
      </x:c>
    </x:row>
    <x:row r="36"/>
    <x:row r="37"/>
    <x:row r="38"/>
    <x:row r="39"/>
    <x:row r="40"/>
    <x:row r="41"/>
    <x:row r="42"/>
    <x:row r="43"/>
    <x:row r="44"/>
    <x:row r="45"/>
    <x:row r="46"/>
    <x:row r="47"/>
    <x:row r="48"/>
    <x:row r="49"/>
    <x:row r="50"/>
    <x:row r="51"/>
    <x:row r="52"/>
    <x:row r="53"/>
    <x:row r="54"/>
    <x:row r="55"/>
    <x:row r="56"/>
    <x:row r="57"/>
    <x:row r="58"/>
    <x:row r="59"/>
    <x:row r="60"/>
    <x:row r="61"/>
    <x:row r="62"/>
    <x:row r="63"/>
    <x:row r="64"/>
    <x:row r="65"/>
    <x:row r="66"/>
    <x:row r="67"/>
    <x:row r="68"/>
    <x:row r="69"/>
    <x:row r="70"/>
    <x:row r="71"/>
    <x:row r="72"/>
    <x:row r="73"/>
    <x:row r="74"/>
    <x:row r="75"/>
    <x:row r="76"/>
    <x:row r="77"/>
    <x:row r="78"/>
    <x:row r="79"/>
    <x:row r="80"/>
    <x:row r="81"/>
    <x:row r="82"/>
    <x:row r="83"/>
    <x:row r="84"/>
    <x:row r="85"/>
    <x:row r="86"/>
    <x:row r="87"/>
    <x:row r="88"/>
    <x:row r="89"/>
    <x:row r="90"/>
    <x:row r="91">
      <x:c r="A91" t="s">
        <x:v>471</x:v>
      </x:c>
    </x:row>
    <x:row r="92"/>
    <x:row r="93" ht="15.75">
      <x:c r="A93" s="161" t="s">
        <x:v>472</x:v>
      </x:c>
      <x:c r="W93" s="179">
        <x:v>46037</x:v>
      </x:c>
    </x:row>
    <x:row r="94">
      <x:c r="W94" s="179">
        <x:v>45910</x:v>
      </x:c>
    </x:row>
    <x:row r="95">
      <x:c r="W95" t="n">
        <x:f>W93-W94+1</x:f>
        <x:v>128</x:v>
      </x:c>
    </x:row>
    <x:row r="96">
      <x:c r="W96" t="n">
        <x:f>W95/(365.25/12)</x:f>
        <x:v>4.205338809034908</x:v>
      </x:c>
    </x:row>
    <x:row r="97"/>
    <x:row r="98"/>
    <x:row r="99"/>
    <x:row r="100"/>
    <x:row r="101"/>
    <x:row r="102"/>
    <x:row r="103"/>
    <x:row r="104"/>
    <x:row r="105"/>
    <x:row r="106"/>
    <x:row r="107"/>
    <x:row r="108"/>
    <x:row r="109"/>
    <x:row r="110"/>
    <x:row r="111"/>
    <x:row r="112"/>
    <x:row r="113"/>
    <x:row r="114"/>
    <x:row r="115"/>
    <x:row r="116"/>
    <x:row r="117"/>
    <x:row r="118"/>
    <x:row r="119">
      <x:c r="A119" t="s">
        <x:v>473</x:v>
      </x:c>
    </x:row>
    <x:row r="120"/>
    <x:row r="121"/>
    <x:row r="122"/>
    <x:row r="123">
      <x:c r="A123" t="s">
        <x:v>474</x:v>
      </x:c>
    </x:row>
    <x:row r="124"/>
    <x:row r="125" ht="15.75">
      <x:c r="A125" s="161" t="s">
        <x:v>475</x:v>
      </x:c>
    </x:row>
    <x:row r="126"/>
    <x:row r="127"/>
    <x:row r="128"/>
    <x:row r="129"/>
    <x:row r="130"/>
    <x:row r="131"/>
    <x:row r="132"/>
    <x:row r="133"/>
    <x:row r="134"/>
    <x:row r="135"/>
    <x:row r="136"/>
    <x:row r="137"/>
    <x:row r="138"/>
    <x:row r="139"/>
    <x:row r="140"/>
    <x:row r="141"/>
    <x:row r="142"/>
    <x:row r="143"/>
    <x:row r="144"/>
    <x:row r="145"/>
    <x:row r="146"/>
    <x:row r="147"/>
    <x:row r="148"/>
    <x:row r="149"/>
    <x:row r="150"/>
    <x:row r="151"/>
    <x:row r="152"/>
    <x:row r="153">
      <x:c r="A153" t="s">
        <x:v>476</x:v>
      </x:c>
    </x:row>
    <x:row r="154">
      <x:c r="A154" t="s">
        <x:v>477</x:v>
      </x:c>
    </x:row>
    <x:row r="155"/>
    <x:row r="156"/>
    <x:row r="157"/>
  </x:sheetData>
  <x:pageMargins left="0.7" right="0.7" top="0.75" bottom="0.75" header="0.3" footer="0.3"/>
  <x:drawing xmlns:r="http://schemas.openxmlformats.org/officeDocument/2006/relationships" r:id="Rdcd5a9c052dc4d0c"/>
</x:worksheet>
</file>

<file path=xl/worksheets/sheet3.xml><?xml version="1.0" encoding="utf-8"?>
<x:worksheet xmlns:x="http://schemas.openxmlformats.org/spreadsheetml/2006/main">
  <x:sheetPr>
    <x:tabColor rgb="FF0070D4"/>
  </x:sheetPr>
  <x:sheetFormatPr defaultColWidth="11" defaultRowHeight="11.25"/>
  <x:cols>
    <x:col min="1" max="1" width="41.1640625" customWidth="1"/>
    <x:col min="2" max="2" width="29" customWidth="1"/>
    <x:col min="3" max="3" width="50.6640625" customWidth="1"/>
    <x:col min="4" max="4" width="12.6640625" customWidth="1"/>
    <x:col min="5" max="5" width="10.6640625" customWidth="1"/>
    <x:col min="6" max="6" width="10.83203125" customWidth="1"/>
    <x:col min="7" max="8" width="10.6640625" style="25" customWidth="1"/>
    <x:col min="9" max="9" width="26.5" customWidth="1"/>
    <x:col min="10" max="10" width="14.6640625" hidden="1" customWidth="1"/>
    <x:col min="11" max="11" width="11" customWidth="1"/>
    <x:col min="18" max="18" width="6" customWidth="1"/>
    <x:col min="19" max="54" width="7.6640625" customWidth="1"/>
    <x:col min="55" max="55" width="12.6640625" customWidth="1"/>
  </x:cols>
  <x:sheetData>
    <x:row r="1" ht="14.25">
      <x:c r="A1" t="s">
        <x:v>478</x:v>
      </x:c>
      <x:c r="B1" s="227" t="s">
        <x:v>479</x:v>
      </x:c>
      <x:c r="C1" s="227"/>
      <x:c r="E1" s="260" t="s">
        <x:v>480</x:v>
      </x:c>
      <x:c r="F1" s="261"/>
      <x:c r="G1" s="262"/>
      <x:c r="H1" s="262"/>
      <x:c r="I1" s="261"/>
      <x:c r="J1" s="261"/>
      <x:c r="K1" s="261"/>
      <x:c r="L1" s="261"/>
      <x:c r="M1" s="261"/>
      <x:c r="N1" s="261"/>
      <x:c r="O1" s="261"/>
      <x:c r="P1" s="261"/>
      <x:c r="Q1" s="263"/>
      <x:c r="S1" s="239" t="s">
        <x:v>481</x:v>
      </x:c>
      <x:c r="T1" s="240" t="s">
        <x:v>482</x:v>
      </x:c>
      <x:c r="U1" s="240" t="s">
        <x:v>483</x:v>
      </x:c>
      <x:c r="V1" s="240" t="s">
        <x:v>484</x:v>
      </x:c>
      <x:c r="W1" s="240" t="s">
        <x:v>485</x:v>
      </x:c>
      <x:c r="X1" s="240" t="s">
        <x:v>486</x:v>
      </x:c>
      <x:c r="Y1" s="240" t="s">
        <x:v>487</x:v>
      </x:c>
      <x:c r="Z1" s="240" t="s">
        <x:v>488</x:v>
      </x:c>
      <x:c r="AA1" s="240" t="s">
        <x:v>489</x:v>
      </x:c>
      <x:c r="AB1" s="240" t="s">
        <x:v>490</x:v>
      </x:c>
      <x:c r="AC1" s="240" t="s">
        <x:v>491</x:v>
      </x:c>
      <x:c r="AD1" s="241" t="s">
        <x:v>492</x:v>
      </x:c>
      <x:c r="AE1" s="214" t="s">
        <x:v>493</x:v>
      </x:c>
      <x:c r="AF1" s="215" t="s">
        <x:v>494</x:v>
      </x:c>
      <x:c r="AG1" s="215" t="s">
        <x:v>495</x:v>
      </x:c>
      <x:c r="AH1" s="215" t="s">
        <x:v>496</x:v>
      </x:c>
      <x:c r="AI1" s="215" t="s">
        <x:v>497</x:v>
      </x:c>
      <x:c r="AJ1" s="215" t="s">
        <x:v>498</x:v>
      </x:c>
      <x:c r="AK1" s="215" t="s">
        <x:v>499</x:v>
      </x:c>
      <x:c r="AL1" s="215" t="s">
        <x:v>500</x:v>
      </x:c>
      <x:c r="AM1" s="215" t="s">
        <x:v>501</x:v>
      </x:c>
      <x:c r="AN1" s="215" t="s">
        <x:v>502</x:v>
      </x:c>
      <x:c r="AO1" s="215" t="s">
        <x:v>503</x:v>
      </x:c>
      <x:c r="AP1" s="216" t="s">
        <x:v>504</x:v>
      </x:c>
      <x:c r="AQ1" s="239" t="s">
        <x:v>505</x:v>
      </x:c>
      <x:c r="AR1" s="240" t="s">
        <x:v>506</x:v>
      </x:c>
      <x:c r="AS1" s="240" t="s">
        <x:v>507</x:v>
      </x:c>
      <x:c r="AT1" s="240" t="s">
        <x:v>508</x:v>
      </x:c>
      <x:c r="AU1" s="240" t="s">
        <x:v>509</x:v>
      </x:c>
      <x:c r="AV1" s="240" t="s">
        <x:v>510</x:v>
      </x:c>
      <x:c r="AW1" s="240" t="s">
        <x:v>511</x:v>
      </x:c>
      <x:c r="AX1" s="240" t="s">
        <x:v>512</x:v>
      </x:c>
      <x:c r="AY1" s="240" t="s">
        <x:v>513</x:v>
      </x:c>
      <x:c r="AZ1" s="240" t="s">
        <x:v>514</x:v>
      </x:c>
      <x:c r="BA1" s="240" t="s">
        <x:v>515</x:v>
      </x:c>
      <x:c r="BB1" s="241" t="s">
        <x:v>516</x:v>
      </x:c>
      <x:c r="BC1" s="309" t="s">
        <x:v>517</x:v>
      </x:c>
    </x:row>
    <x:row r="2" ht="13.5">
      <x:c r="A2" s="129" t="s">
        <x:v>518</x:v>
      </x:c>
      <x:c r="B2" s="227" t="s">
        <x:v>519</x:v>
      </x:c>
      <x:c r="C2" s="227"/>
      <x:c r="N2" s="203"/>
      <x:c r="S2" s="211">
        <x:v>2026</x:v>
      </x:c>
      <x:c r="T2" s="212"/>
      <x:c r="U2" s="212"/>
      <x:c r="V2" s="213"/>
      <x:c r="W2" s="211" t="n">
        <x:f t="shared" ref="W2:AU2" si="0">YEAR(W4)</x:f>
        <x:v>2027</x:v>
      </x:c>
      <x:c r="X2" s="212"/>
      <x:c r="Y2" s="212"/>
      <x:c r="Z2" s="212"/>
      <x:c r="AA2" s="212"/>
      <x:c r="AB2" s="212"/>
      <x:c r="AC2" s="212"/>
      <x:c r="AD2" s="212"/>
      <x:c r="AE2" s="212"/>
      <x:c r="AF2" s="212"/>
      <x:c r="AG2" s="212"/>
      <x:c r="AH2" s="213"/>
      <x:c r="AI2" s="211">
        <x:f t="shared" si="0"/>
        <x:v>2028</x:v>
      </x:c>
      <x:c r="AJ2" s="212"/>
      <x:c r="AK2" s="212"/>
      <x:c r="AL2" s="212"/>
      <x:c r="AM2" s="212"/>
      <x:c r="AN2" s="212"/>
      <x:c r="AO2" s="212"/>
      <x:c r="AP2" s="212"/>
      <x:c r="AQ2" s="212"/>
      <x:c r="AR2" s="212"/>
      <x:c r="AS2" s="212"/>
      <x:c r="AT2" s="213"/>
      <x:c r="AU2" s="211">
        <x:f t="shared" si="0"/>
        <x:v>2029</x:v>
      </x:c>
      <x:c r="AV2" s="212"/>
      <x:c r="AW2" s="212"/>
      <x:c r="AX2" s="212"/>
      <x:c r="AY2" s="212"/>
      <x:c r="AZ2" s="212"/>
      <x:c r="BA2" s="212"/>
      <x:c r="BB2" s="213"/>
      <x:c r="BC2" s="309"/>
    </x:row>
    <x:row r="3">
      <x:c r="J3" s="47" t="s">
        <x:v>520</x:v>
      </x:c>
      <x:c r="K3" s="227">
        <x:v>1</x:v>
      </x:c>
      <x:c r="L3" s="227">
        <x:v>11</x:v>
      </x:c>
      <x:c r="M3" s="227">
        <x:v>31</x:v>
      </x:c>
      <x:c r="N3" s="227">
        <x:v>51</x:v>
      </x:c>
      <x:c r="O3" s="227">
        <x:v>101</x:v>
      </x:c>
      <x:c r="P3" s="227">
        <x:v>201</x:v>
      </x:c>
      <x:c r="Q3" s="227">
        <x:v>501</x:v>
      </x:c>
      <x:c r="S3" s="210" t="s">
        <x:v>521</x:v>
      </x:c>
      <x:c r="T3" s="207" t="s">
        <x:v>522</x:v>
      </x:c>
      <x:c r="U3" s="208"/>
      <x:c r="V3" s="209"/>
      <x:c r="W3" s="207" t="s">
        <x:v>523</x:v>
      </x:c>
      <x:c r="X3" s="208"/>
      <x:c r="Y3" s="209"/>
      <x:c r="Z3" s="207" t="s">
        <x:v>524</x:v>
      </x:c>
      <x:c r="AA3" s="208"/>
      <x:c r="AB3" s="209"/>
      <x:c r="AC3" s="207" t="s">
        <x:v>521</x:v>
      </x:c>
      <x:c r="AD3" s="208"/>
      <x:c r="AE3" s="209"/>
      <x:c r="AF3" s="207" t="s">
        <x:v>522</x:v>
      </x:c>
      <x:c r="AG3" s="208"/>
      <x:c r="AH3" s="209"/>
      <x:c r="AI3" s="207" t="s">
        <x:v>523</x:v>
      </x:c>
      <x:c r="AJ3" s="208"/>
      <x:c r="AK3" s="209"/>
      <x:c r="AL3" s="207" t="s">
        <x:v>524</x:v>
      </x:c>
      <x:c r="AM3" s="208"/>
      <x:c r="AN3" s="209"/>
      <x:c r="AO3" s="207" t="s">
        <x:v>521</x:v>
      </x:c>
      <x:c r="AP3" s="208"/>
      <x:c r="AQ3" s="209"/>
      <x:c r="AR3" s="207" t="s">
        <x:v>522</x:v>
      </x:c>
      <x:c r="AS3" s="208"/>
      <x:c r="AT3" s="209"/>
      <x:c r="AU3" s="207" t="s">
        <x:v>523</x:v>
      </x:c>
      <x:c r="AV3" s="208"/>
      <x:c r="AW3" s="209"/>
      <x:c r="AX3" s="207" t="s">
        <x:v>524</x:v>
      </x:c>
      <x:c r="AY3" s="208"/>
      <x:c r="AZ3" s="209"/>
      <x:c r="BA3" s="207" t="s">
        <x:v>521</x:v>
      </x:c>
      <x:c r="BB3" s="209"/>
      <x:c r="BC3" s="309"/>
    </x:row>
    <x:row r="4">
      <x:c r="J4" s="47" t="s">
        <x:v>525</x:v>
      </x:c>
      <x:c r="K4" s="227">
        <x:v>10</x:v>
      </x:c>
      <x:c r="L4" s="227">
        <x:v>30</x:v>
      </x:c>
      <x:c r="M4" s="227">
        <x:v>50</x:v>
      </x:c>
      <x:c r="N4" s="227">
        <x:v>100</x:v>
      </x:c>
      <x:c r="O4" s="227">
        <x:v>200</x:v>
      </x:c>
      <x:c r="P4" s="227">
        <x:v>500</x:v>
      </x:c>
      <x:c r="Q4" s="227">
        <x:v>999</x:v>
      </x:c>
      <x:c r="S4" s="205">
        <x:v>46266</x:v>
      </x:c>
      <x:c r="T4" s="205">
        <x:v>46296</x:v>
      </x:c>
      <x:c r="U4" s="205">
        <x:v>46327</x:v>
      </x:c>
      <x:c r="V4" s="205">
        <x:v>46357</x:v>
      </x:c>
      <x:c r="W4" s="205">
        <x:v>46388</x:v>
      </x:c>
      <x:c r="X4" s="205">
        <x:v>46419</x:v>
      </x:c>
      <x:c r="Y4" s="205">
        <x:v>46447</x:v>
      </x:c>
      <x:c r="Z4" s="205">
        <x:v>46478</x:v>
      </x:c>
      <x:c r="AA4" s="205">
        <x:v>46508</x:v>
      </x:c>
      <x:c r="AB4" s="205">
        <x:v>46539</x:v>
      </x:c>
      <x:c r="AC4" s="205">
        <x:v>46569</x:v>
      </x:c>
      <x:c r="AD4" s="205">
        <x:v>46600</x:v>
      </x:c>
      <x:c r="AE4" s="205">
        <x:v>46631</x:v>
      </x:c>
      <x:c r="AF4" s="205">
        <x:v>46661</x:v>
      </x:c>
      <x:c r="AG4" s="205">
        <x:v>46692</x:v>
      </x:c>
      <x:c r="AH4" s="205">
        <x:v>46722</x:v>
      </x:c>
      <x:c r="AI4" s="205">
        <x:v>46753</x:v>
      </x:c>
      <x:c r="AJ4" s="205">
        <x:v>46784</x:v>
      </x:c>
      <x:c r="AK4" s="205">
        <x:v>46813</x:v>
      </x:c>
      <x:c r="AL4" s="205">
        <x:v>46844</x:v>
      </x:c>
      <x:c r="AM4" s="205">
        <x:v>46874</x:v>
      </x:c>
      <x:c r="AN4" s="205">
        <x:v>46905</x:v>
      </x:c>
      <x:c r="AO4" s="205">
        <x:v>46935</x:v>
      </x:c>
      <x:c r="AP4" s="205">
        <x:v>46966</x:v>
      </x:c>
      <x:c r="AQ4" s="205">
        <x:v>46997</x:v>
      </x:c>
      <x:c r="AR4" s="205">
        <x:v>47027</x:v>
      </x:c>
      <x:c r="AS4" s="205">
        <x:v>47058</x:v>
      </x:c>
      <x:c r="AT4" s="205">
        <x:v>47088</x:v>
      </x:c>
      <x:c r="AU4" s="205">
        <x:v>47119</x:v>
      </x:c>
      <x:c r="AV4" s="205">
        <x:v>47150</x:v>
      </x:c>
      <x:c r="AW4" s="205">
        <x:v>47178</x:v>
      </x:c>
      <x:c r="AX4" s="205">
        <x:v>47209</x:v>
      </x:c>
      <x:c r="AY4" s="205">
        <x:v>47239</x:v>
      </x:c>
      <x:c r="AZ4" s="205">
        <x:v>47270</x:v>
      </x:c>
      <x:c r="BA4" s="205">
        <x:v>47300</x:v>
      </x:c>
      <x:c r="BB4" s="205">
        <x:v>47331</x:v>
      </x:c>
    </x:row>
    <x:row r="5" ht="36">
      <x:c r="A5" s="199" t="s">
        <x:v>526</x:v>
      </x:c>
      <x:c r="B5" s="199" t="s">
        <x:v>527</x:v>
      </x:c>
      <x:c r="C5" s="200" t="s">
        <x:v>528</x:v>
      </x:c>
      <x:c r="D5" s="200" t="s">
        <x:v>529</x:v>
      </x:c>
      <x:c r="E5" s="202" t="s">
        <x:v>530</x:v>
      </x:c>
      <x:c r="F5" s="202" t="s">
        <x:v>531</x:v>
      </x:c>
      <x:c r="G5" s="237" t="s">
        <x:v>532</x:v>
      </x:c>
      <x:c r="H5" s="237" t="s">
        <x:v>533</x:v>
      </x:c>
      <x:c r="I5" s="202" t="s">
        <x:v>534</x:v>
      </x:c>
      <x:c r="J5" s="257" t="s">
        <x:v>535</x:v>
      </x:c>
      <x:c r="K5" s="253" t="s">
        <x:v>536</x:v>
      </x:c>
      <x:c r="L5" s="254"/>
      <x:c r="M5" s="254"/>
      <x:c r="N5" s="254"/>
      <x:c r="O5" s="254"/>
      <x:c r="P5" s="255"/>
      <x:c r="Q5" s="256"/>
      <x:c r="R5" s="264" t="s">
        <x:v>537</x:v>
      </x:c>
      <x:c r="S5" s="230" t="s">
        <x:v>538</x:v>
      </x:c>
      <x:c r="T5" s="206"/>
      <x:c r="U5" s="206"/>
      <x:c r="V5" s="206"/>
      <x:c r="W5" s="206"/>
      <x:c r="X5" s="206"/>
      <x:c r="Y5" s="206"/>
      <x:c r="Z5" s="206"/>
      <x:c r="AA5" s="206"/>
      <x:c r="AB5" s="206"/>
      <x:c r="AC5" s="206"/>
      <x:c r="AD5" s="206"/>
      <x:c r="AE5" s="206"/>
      <x:c r="AF5" s="206"/>
      <x:c r="AG5" s="206"/>
      <x:c r="AH5" s="206"/>
      <x:c r="AI5" s="206"/>
      <x:c r="AJ5" s="206"/>
      <x:c r="AK5" s="206"/>
      <x:c r="AL5" s="206"/>
      <x:c r="AM5" s="206"/>
      <x:c r="AN5" s="206"/>
      <x:c r="AO5" s="206"/>
      <x:c r="AP5" s="206"/>
      <x:c r="AQ5" s="206"/>
      <x:c r="AR5" s="206"/>
      <x:c r="AS5" s="206"/>
      <x:c r="AT5" s="206"/>
      <x:c r="AU5" s="206"/>
      <x:c r="AV5" s="206"/>
      <x:c r="AW5" s="206"/>
      <x:c r="AX5" s="206"/>
      <x:c r="AY5" s="206"/>
      <x:c r="AZ5" s="206"/>
      <x:c r="BA5" s="206"/>
      <x:c r="BB5" s="206"/>
    </x:row>
    <x:row r="6" s="217" customFormat="1" ht="10.5" customHeight="1">
      <x:c r="B6" s="218"/>
      <x:c r="C6" s="219" t="s">
        <x:v>539</x:v>
      </x:c>
      <x:c r="D6" s="220"/>
      <x:c r="E6" s="221"/>
      <x:c r="F6" s="221"/>
      <x:c r="G6" s="25"/>
      <x:c r="H6" s="25"/>
      <x:c r="I6" s="222"/>
      <x:c r="J6" s="222"/>
      <x:c r="K6" s="223"/>
      <x:c r="L6" s="223"/>
      <x:c r="M6" s="223"/>
      <x:c r="N6" s="223"/>
      <x:c r="O6" s="223"/>
      <x:c r="P6" s="223"/>
      <x:c r="Q6" s="223"/>
      <x:c r="R6" s="224"/>
      <x:c r="S6" s="245" t="s">
        <x:v>540</x:v>
      </x:c>
      <x:c r="AE6" s="246" t="s">
        <x:v>541</x:v>
      </x:c>
      <x:c r="AQ6" s="246" t="s">
        <x:v>542</x:v>
      </x:c>
    </x:row>
    <x:row r="7" ht="10.5" customHeight="1">
      <x:c r="A7" s="13" t="s">
        <x:v>543</x:v>
      </x:c>
      <x:c r="B7" t="s">
        <x:v>544</x:v>
      </x:c>
      <x:c r="C7" s="198" t="s">
        <x:v>545</x:v>
      </x:c>
      <x:c r="D7" s="198" t="s">
        <x:v>546</x:v>
      </x:c>
      <x:c r="E7" s="226" t="s">
        <x:v>547</x:v>
      </x:c>
      <x:c r="F7" s="236" t="s">
        <x:v>548</x:v>
      </x:c>
      <x:c r="G7" s="25" t="str">
        <x:f>_xlfn.XLOOKUP($F7,MonScale[Escala],MonScale[Valor],"NA",0)</x:f>
        <x:v>NA</x:v>
      </x:c>
      <x:c r="H7" s="250" t="n">
        <x:f>_xlfn.XLOOKUP($E7,TRM[MON],TRM[TRM],"NA",0)</x:f>
        <x:v>1.18</x:v>
      </x:c>
      <x:c r="I7" s="226" t="s">
        <x:v>549</x:v>
      </x:c>
      <x:c r="J7" s="226">
        <x:v>60</x:v>
      </x:c>
      <x:c r="R7" s="175"/>
      <x:c r="S7" s="243">
        <x:v>1</x:v>
      </x:c>
      <x:c r="T7" s="25"/>
      <x:c r="U7" s="25"/>
      <x:c r="V7" s="25"/>
      <x:c r="W7" s="25"/>
      <x:c r="X7" s="25"/>
      <x:c r="Y7" s="25"/>
      <x:c r="Z7" s="25"/>
      <x:c r="AA7" s="25"/>
      <x:c r="AB7" s="25"/>
      <x:c r="AC7" s="25"/>
      <x:c r="AD7" s="25"/>
      <x:c r="AE7" s="25" t="n">
        <x:f>S7</x:f>
        <x:v>1</x:v>
      </x:c>
      <x:c r="AF7" s="25" t="n">
        <x:f t="shared" ref="AF7:AF13" si="1">T7</x:f>
        <x:v>0</x:v>
      </x:c>
      <x:c r="AG7" s="25" t="n">
        <x:f t="shared" ref="AG7:AG13" si="2">U7</x:f>
        <x:v>0</x:v>
      </x:c>
      <x:c r="AH7" s="25" t="n">
        <x:f t="shared" ref="AH7:AH13" si="3">V7</x:f>
        <x:v>0</x:v>
      </x:c>
      <x:c r="AI7" s="25" t="n">
        <x:f t="shared" ref="AI7:AI13" si="4">W7</x:f>
        <x:v>0</x:v>
      </x:c>
      <x:c r="AJ7" s="25" t="n">
        <x:f t="shared" ref="AJ7:AJ13" si="5">X7</x:f>
        <x:v>0</x:v>
      </x:c>
      <x:c r="AK7" s="25" t="n">
        <x:f t="shared" ref="AK7:AK13" si="6">Y7</x:f>
        <x:v>0</x:v>
      </x:c>
      <x:c r="AL7" s="25" t="n">
        <x:f t="shared" ref="AL7:AL13" si="7">Z7</x:f>
        <x:v>0</x:v>
      </x:c>
      <x:c r="AM7" s="25" t="n">
        <x:f t="shared" ref="AM7:AM13" si="8">AA7</x:f>
        <x:v>0</x:v>
      </x:c>
      <x:c r="AN7" s="25" t="n">
        <x:f t="shared" ref="AN7:AN13" si="9">AB7</x:f>
        <x:v>0</x:v>
      </x:c>
      <x:c r="AO7" s="25" t="n">
        <x:f t="shared" ref="AO7:AO13" si="10">AC7</x:f>
        <x:v>0</x:v>
      </x:c>
      <x:c r="AP7" s="25" t="n">
        <x:f t="shared" ref="AP7:AP13" si="11">AD7</x:f>
        <x:v>0</x:v>
      </x:c>
      <x:c r="AQ7" s="25" t="n">
        <x:f t="shared" ref="AQ7:AQ13" si="12">AE7</x:f>
        <x:v>1</x:v>
      </x:c>
      <x:c r="AR7" s="25" t="n">
        <x:f t="shared" ref="AR7:AR13" si="13">AF7</x:f>
        <x:v>0</x:v>
      </x:c>
      <x:c r="AS7" s="25" t="n">
        <x:f t="shared" ref="AS7:AS13" si="14">AG7</x:f>
        <x:v>0</x:v>
      </x:c>
      <x:c r="AT7" s="25" t="n">
        <x:f t="shared" ref="AT7:AT13" si="15">AH7</x:f>
        <x:v>0</x:v>
      </x:c>
      <x:c r="AU7" s="25" t="n">
        <x:f t="shared" ref="AU7:AU13" si="16">AI7</x:f>
        <x:v>0</x:v>
      </x:c>
      <x:c r="AV7" s="25" t="n">
        <x:f t="shared" ref="AV7:AV13" si="17">AJ7</x:f>
        <x:v>0</x:v>
      </x:c>
      <x:c r="AW7" s="25" t="n">
        <x:f t="shared" ref="AW7:AW13" si="18">AK7</x:f>
        <x:v>0</x:v>
      </x:c>
      <x:c r="AX7" s="25" t="n">
        <x:f t="shared" ref="AX7:AX13" si="19">AL7</x:f>
        <x:v>0</x:v>
      </x:c>
      <x:c r="AY7" s="25" t="n">
        <x:f t="shared" ref="AY7:AY13" si="20">AM7</x:f>
        <x:v>0</x:v>
      </x:c>
      <x:c r="AZ7" s="25" t="n">
        <x:f t="shared" ref="AZ7:AZ13" si="21">AN7</x:f>
        <x:v>0</x:v>
      </x:c>
      <x:c r="BA7" s="25" t="n">
        <x:f t="shared" ref="BA7:BA13" si="22">AO7</x:f>
        <x:v>0</x:v>
      </x:c>
      <x:c r="BB7" s="25" t="n">
        <x:f t="shared" ref="BB7:BB13" si="23">AP7</x:f>
        <x:v>0</x:v>
      </x:c>
    </x:row>
    <x:row r="8" ht="10.5" customHeight="1">
      <x:c r="A8" s="13" t="s">
        <x:v>550</x:v>
      </x:c>
      <x:c r="B8" t="s">
        <x:v>551</x:v>
      </x:c>
      <x:c r="C8" s="198" t="s">
        <x:v>552</x:v>
      </x:c>
      <x:c r="D8" s="198" t="s">
        <x:v>546</x:v>
      </x:c>
      <x:c r="E8" s="226" t="s">
        <x:v>547</x:v>
      </x:c>
      <x:c r="F8" s="236" t="s">
        <x:v>548</x:v>
      </x:c>
      <x:c r="G8" s="25" t="str">
        <x:f>_xlfn.XLOOKUP($F8,MonScale[Escala],MonScale[Valor],"NA",0)</x:f>
        <x:v>NA</x:v>
      </x:c>
      <x:c r="H8" s="250" t="n">
        <x:f>_xlfn.XLOOKUP($E8,TRM[MON],TRM[TRM],"NA",0)</x:f>
        <x:v>1.18</x:v>
      </x:c>
      <x:c r="I8" s="226" t="s">
        <x:v>549</x:v>
      </x:c>
      <x:c r="J8" s="226">
        <x:v>60</x:v>
      </x:c>
      <x:c r="R8" s="175"/>
      <x:c r="S8" s="243">
        <x:v>1</x:v>
      </x:c>
      <x:c r="T8" s="25">
        <x:v>1</x:v>
      </x:c>
      <x:c r="U8" s="25">
        <x:v>1</x:v>
      </x:c>
      <x:c r="V8" s="25"/>
      <x:c r="W8" s="25"/>
      <x:c r="X8" s="25"/>
      <x:c r="Y8" s="25"/>
      <x:c r="Z8" s="25"/>
      <x:c r="AA8" s="25"/>
      <x:c r="AB8" s="25"/>
      <x:c r="AC8" s="25"/>
      <x:c r="AD8" s="25"/>
      <x:c r="AE8" s="25" t="n">
        <x:f t="shared" ref="AE8:AE13" si="24">S8</x:f>
        <x:v>1</x:v>
      </x:c>
      <x:c r="AF8" s="25">
        <x:f t="shared" si="1"/>
        <x:v>1</x:v>
      </x:c>
      <x:c r="AG8" s="25">
        <x:f t="shared" si="2"/>
        <x:v>1</x:v>
      </x:c>
      <x:c r="AH8" s="25">
        <x:f t="shared" si="3"/>
        <x:v>0</x:v>
      </x:c>
      <x:c r="AI8" s="25">
        <x:f t="shared" si="4"/>
        <x:v>0</x:v>
      </x:c>
      <x:c r="AJ8" s="25">
        <x:f t="shared" si="5"/>
        <x:v>0</x:v>
      </x:c>
      <x:c r="AK8" s="25">
        <x:f t="shared" si="6"/>
        <x:v>0</x:v>
      </x:c>
      <x:c r="AL8" s="25">
        <x:f t="shared" si="7"/>
        <x:v>0</x:v>
      </x:c>
      <x:c r="AM8" s="25">
        <x:f t="shared" si="8"/>
        <x:v>0</x:v>
      </x:c>
      <x:c r="AN8" s="25">
        <x:f t="shared" si="9"/>
        <x:v>0</x:v>
      </x:c>
      <x:c r="AO8" s="25">
        <x:f t="shared" si="10"/>
        <x:v>0</x:v>
      </x:c>
      <x:c r="AP8" s="25">
        <x:f t="shared" si="11"/>
        <x:v>0</x:v>
      </x:c>
      <x:c r="AQ8" s="25">
        <x:f t="shared" si="12"/>
        <x:v>1</x:v>
      </x:c>
      <x:c r="AR8" s="25">
        <x:f t="shared" si="13"/>
        <x:v>1</x:v>
      </x:c>
      <x:c r="AS8" s="25">
        <x:f t="shared" si="14"/>
        <x:v>1</x:v>
      </x:c>
      <x:c r="AT8" s="25">
        <x:f t="shared" si="15"/>
        <x:v>0</x:v>
      </x:c>
      <x:c r="AU8" s="25">
        <x:f t="shared" si="16"/>
        <x:v>0</x:v>
      </x:c>
      <x:c r="AV8" s="25">
        <x:f t="shared" si="17"/>
        <x:v>0</x:v>
      </x:c>
      <x:c r="AW8" s="25">
        <x:f t="shared" si="18"/>
        <x:v>0</x:v>
      </x:c>
      <x:c r="AX8" s="25">
        <x:f t="shared" si="19"/>
        <x:v>0</x:v>
      </x:c>
      <x:c r="AY8" s="25">
        <x:f t="shared" si="20"/>
        <x:v>0</x:v>
      </x:c>
      <x:c r="AZ8" s="25">
        <x:f t="shared" si="21"/>
        <x:v>0</x:v>
      </x:c>
      <x:c r="BA8" s="25">
        <x:f t="shared" si="22"/>
        <x:v>0</x:v>
      </x:c>
      <x:c r="BB8" s="25">
        <x:f t="shared" si="23"/>
        <x:v>0</x:v>
      </x:c>
    </x:row>
    <x:row r="9" ht="10.5" customHeight="1">
      <x:c r="A9" s="13" t="s">
        <x:v>553</x:v>
      </x:c>
      <x:c r="B9" t="s">
        <x:v>554</x:v>
      </x:c>
      <x:c r="C9" s="198" t="s">
        <x:v>555</x:v>
      </x:c>
      <x:c r="D9" s="198" t="s">
        <x:v>546</x:v>
      </x:c>
      <x:c r="E9" s="226" t="s">
        <x:v>547</x:v>
      </x:c>
      <x:c r="F9" s="236" t="s">
        <x:v>548</x:v>
      </x:c>
      <x:c r="G9" s="25" t="str">
        <x:f>_xlfn.XLOOKUP($F9,MonScale[Escala],MonScale[Valor],"NA",0)</x:f>
        <x:v>NA</x:v>
      </x:c>
      <x:c r="H9" s="250" t="n">
        <x:f>_xlfn.XLOOKUP($E9,TRM[MON],TRM[TRM],"NA",0)</x:f>
        <x:v>1.18</x:v>
      </x:c>
      <x:c r="I9" s="226" t="s">
        <x:v>549</x:v>
      </x:c>
      <x:c r="J9" s="226">
        <x:v>60</x:v>
      </x:c>
      <x:c r="K9" s="251">
        <x:v>60</x:v>
      </x:c>
      <x:c r="L9" s="251">
        <x:v>54</x:v>
      </x:c>
      <x:c r="M9" s="251">
        <x:v>48</x:v>
      </x:c>
      <x:c r="N9" s="251">
        <x:v>42</x:v>
      </x:c>
      <x:c r="O9" s="251">
        <x:v>36</x:v>
      </x:c>
      <x:c r="P9" s="251">
        <x:v>30</x:v>
      </x:c>
      <x:c r="Q9" s="251">
        <x:v>25</x:v>
      </x:c>
      <x:c r="R9" s="175"/>
      <x:c r="S9" s="244">
        <x:v>1</x:v>
      </x:c>
      <x:c r="T9" s="25"/>
      <x:c r="U9" s="25"/>
      <x:c r="V9" s="25"/>
      <x:c r="W9" s="25"/>
      <x:c r="X9" s="25"/>
      <x:c r="Y9" s="25"/>
      <x:c r="Z9" s="25"/>
      <x:c r="AA9" s="25"/>
      <x:c r="AB9" s="25"/>
      <x:c r="AC9" s="25"/>
      <x:c r="AD9" s="25"/>
      <x:c r="AE9" s="25">
        <x:f t="shared" si="24"/>
        <x:v>1</x:v>
      </x:c>
      <x:c r="AF9" s="25">
        <x:f t="shared" si="1"/>
        <x:v>0</x:v>
      </x:c>
      <x:c r="AG9" s="25">
        <x:f t="shared" si="2"/>
        <x:v>0</x:v>
      </x:c>
      <x:c r="AH9" s="25">
        <x:f t="shared" si="3"/>
        <x:v>0</x:v>
      </x:c>
      <x:c r="AI9" s="25">
        <x:f t="shared" si="4"/>
        <x:v>0</x:v>
      </x:c>
      <x:c r="AJ9" s="25">
        <x:f t="shared" si="5"/>
        <x:v>0</x:v>
      </x:c>
      <x:c r="AK9" s="25">
        <x:f t="shared" si="6"/>
        <x:v>0</x:v>
      </x:c>
      <x:c r="AL9" s="25">
        <x:f t="shared" si="7"/>
        <x:v>0</x:v>
      </x:c>
      <x:c r="AM9" s="25">
        <x:f t="shared" si="8"/>
        <x:v>0</x:v>
      </x:c>
      <x:c r="AN9" s="25">
        <x:f t="shared" si="9"/>
        <x:v>0</x:v>
      </x:c>
      <x:c r="AO9" s="25">
        <x:f t="shared" si="10"/>
        <x:v>0</x:v>
      </x:c>
      <x:c r="AP9" s="25">
        <x:f t="shared" si="11"/>
        <x:v>0</x:v>
      </x:c>
      <x:c r="AQ9" s="25">
        <x:f t="shared" si="12"/>
        <x:v>1</x:v>
      </x:c>
      <x:c r="AR9" s="25">
        <x:f t="shared" si="13"/>
        <x:v>0</x:v>
      </x:c>
      <x:c r="AS9" s="25">
        <x:f t="shared" si="14"/>
        <x:v>0</x:v>
      </x:c>
      <x:c r="AT9" s="25">
        <x:f t="shared" si="15"/>
        <x:v>0</x:v>
      </x:c>
      <x:c r="AU9" s="25">
        <x:f t="shared" si="16"/>
        <x:v>0</x:v>
      </x:c>
      <x:c r="AV9" s="25">
        <x:f t="shared" si="17"/>
        <x:v>0</x:v>
      </x:c>
      <x:c r="AW9" s="25">
        <x:f t="shared" si="18"/>
        <x:v>0</x:v>
      </x:c>
      <x:c r="AX9" s="25">
        <x:f t="shared" si="19"/>
        <x:v>0</x:v>
      </x:c>
      <x:c r="AY9" s="25">
        <x:f t="shared" si="20"/>
        <x:v>0</x:v>
      </x:c>
      <x:c r="AZ9" s="25">
        <x:f t="shared" si="21"/>
        <x:v>0</x:v>
      </x:c>
      <x:c r="BA9" s="25">
        <x:f t="shared" si="22"/>
        <x:v>0</x:v>
      </x:c>
      <x:c r="BB9" s="25">
        <x:f t="shared" si="23"/>
        <x:v>0</x:v>
      </x:c>
    </x:row>
    <x:row r="10" ht="10.5" customHeight="1">
      <x:c r="A10" s="13" t="s">
        <x:v>556</x:v>
      </x:c>
      <x:c r="B10" s="225" t="s">
        <x:v>557</x:v>
      </x:c>
      <x:c r="C10" s="198" t="s">
        <x:v>558</x:v>
      </x:c>
      <x:c r="D10" s="198" t="s">
        <x:v>559</x:v>
      </x:c>
      <x:c r="E10" s="226" t="s">
        <x:v>547</x:v>
      </x:c>
      <x:c r="F10" s="236" t="s">
        <x:v>548</x:v>
      </x:c>
      <x:c r="G10" s="25" t="str">
        <x:f>_xlfn.XLOOKUP($F10,MonScale[Escala],MonScale[Valor],"NA",0)</x:f>
        <x:v>NA</x:v>
      </x:c>
      <x:c r="H10" s="250" t="n">
        <x:f>_xlfn.XLOOKUP($E10,TRM[MON],TRM[TRM],"NA",0)</x:f>
        <x:v>1.18</x:v>
      </x:c>
      <x:c r="I10" s="226" t="s">
        <x:v>549</x:v>
      </x:c>
      <x:c r="J10" s="226">
        <x:v>60</x:v>
      </x:c>
      <x:c r="R10" s="175"/>
      <x:c r="S10" s="243"/>
      <x:c r="T10" s="25"/>
      <x:c r="U10" s="25"/>
      <x:c r="V10" s="25">
        <x:v>1</x:v>
      </x:c>
      <x:c r="W10" s="25"/>
      <x:c r="X10" s="25"/>
      <x:c r="Y10" s="25">
        <x:v>1</x:v>
      </x:c>
      <x:c r="Z10" s="25"/>
      <x:c r="AA10" s="25"/>
      <x:c r="AB10" s="25">
        <x:v>1</x:v>
      </x:c>
      <x:c r="AC10" s="25"/>
      <x:c r="AD10" s="25"/>
      <x:c r="AE10" s="25">
        <x:f t="shared" si="24"/>
        <x:v>0</x:v>
      </x:c>
      <x:c r="AF10" s="25">
        <x:f t="shared" si="1"/>
        <x:v>0</x:v>
      </x:c>
      <x:c r="AG10" s="25">
        <x:f t="shared" si="2"/>
        <x:v>0</x:v>
      </x:c>
      <x:c r="AH10" s="25">
        <x:f t="shared" si="3"/>
        <x:v>1</x:v>
      </x:c>
      <x:c r="AI10" s="25">
        <x:f t="shared" si="4"/>
        <x:v>0</x:v>
      </x:c>
      <x:c r="AJ10" s="25">
        <x:f t="shared" si="5"/>
        <x:v>0</x:v>
      </x:c>
      <x:c r="AK10" s="25">
        <x:f t="shared" si="6"/>
        <x:v>1</x:v>
      </x:c>
      <x:c r="AL10" s="25">
        <x:f t="shared" si="7"/>
        <x:v>0</x:v>
      </x:c>
      <x:c r="AM10" s="25">
        <x:f t="shared" si="8"/>
        <x:v>0</x:v>
      </x:c>
      <x:c r="AN10" s="25">
        <x:f t="shared" si="9"/>
        <x:v>1</x:v>
      </x:c>
      <x:c r="AO10" s="25">
        <x:f t="shared" si="10"/>
        <x:v>0</x:v>
      </x:c>
      <x:c r="AP10" s="25">
        <x:f t="shared" si="11"/>
        <x:v>0</x:v>
      </x:c>
      <x:c r="AQ10" s="25">
        <x:f t="shared" si="12"/>
        <x:v>0</x:v>
      </x:c>
      <x:c r="AR10" s="25">
        <x:f t="shared" si="13"/>
        <x:v>0</x:v>
      </x:c>
      <x:c r="AS10" s="25">
        <x:f t="shared" si="14"/>
        <x:v>0</x:v>
      </x:c>
      <x:c r="AT10" s="25">
        <x:f t="shared" si="15"/>
        <x:v>1</x:v>
      </x:c>
      <x:c r="AU10" s="25">
        <x:f t="shared" si="16"/>
        <x:v>0</x:v>
      </x:c>
      <x:c r="AV10" s="25">
        <x:f t="shared" si="17"/>
        <x:v>0</x:v>
      </x:c>
      <x:c r="AW10" s="25">
        <x:f t="shared" si="18"/>
        <x:v>1</x:v>
      </x:c>
      <x:c r="AX10" s="25">
        <x:f t="shared" si="19"/>
        <x:v>0</x:v>
      </x:c>
      <x:c r="AY10" s="25">
        <x:f t="shared" si="20"/>
        <x:v>0</x:v>
      </x:c>
      <x:c r="AZ10" s="25">
        <x:f t="shared" si="21"/>
        <x:v>1</x:v>
      </x:c>
      <x:c r="BA10" s="25">
        <x:f t="shared" si="22"/>
        <x:v>0</x:v>
      </x:c>
      <x:c r="BB10" s="25">
        <x:f t="shared" si="23"/>
        <x:v>0</x:v>
      </x:c>
    </x:row>
    <x:row r="11" ht="10.5" customHeight="1">
      <x:c r="A11" s="13" t="s">
        <x:v>560</x:v>
      </x:c>
      <x:c r="B11" t="s">
        <x:v>561</x:v>
      </x:c>
      <x:c r="C11" s="198" t="s">
        <x:v>562</x:v>
      </x:c>
      <x:c r="D11" s="198" t="s">
        <x:v>559</x:v>
      </x:c>
      <x:c r="E11" s="226" t="s">
        <x:v>547</x:v>
      </x:c>
      <x:c r="F11" s="236" t="s">
        <x:v>548</x:v>
      </x:c>
      <x:c r="G11" s="25" t="str">
        <x:f>_xlfn.XLOOKUP($F11,MonScale[Escala],MonScale[Valor],"NA",0)</x:f>
        <x:v>NA</x:v>
      </x:c>
      <x:c r="H11" s="250" t="n">
        <x:f>_xlfn.XLOOKUP($E11,TRM[MON],TRM[TRM],"NA",0)</x:f>
        <x:v>1.18</x:v>
      </x:c>
      <x:c r="I11" s="226" t="s">
        <x:v>549</x:v>
      </x:c>
      <x:c r="J11" s="226">
        <x:v>60</x:v>
      </x:c>
      <x:c r="K11" s="251">
        <x:v>40</x:v>
      </x:c>
      <x:c r="L11" s="251">
        <x:v>35</x:v>
      </x:c>
      <x:c r="M11" s="251">
        <x:v>30</x:v>
      </x:c>
      <x:c r="N11" s="251">
        <x:v>25</x:v>
      </x:c>
      <x:c r="O11" s="251">
        <x:v>20</x:v>
      </x:c>
      <x:c r="P11" s="251">
        <x:v>15</x:v>
      </x:c>
      <x:c r="Q11" s="251">
        <x:v>10</x:v>
      </x:c>
      <x:c r="R11" s="175"/>
      <x:c r="S11" s="244"/>
      <x:c r="T11" s="25"/>
      <x:c r="U11" s="25"/>
      <x:c r="V11" s="25"/>
      <x:c r="W11" s="25">
        <x:v>1</x:v>
      </x:c>
      <x:c r="X11" s="25"/>
      <x:c r="Y11" s="25"/>
      <x:c r="Z11" s="25">
        <x:v>1</x:v>
      </x:c>
      <x:c r="AA11" s="25"/>
      <x:c r="AB11" s="25"/>
      <x:c r="AC11" s="25">
        <x:v>1</x:v>
      </x:c>
      <x:c r="AD11" s="25"/>
      <x:c r="AE11" s="25">
        <x:f t="shared" si="24"/>
        <x:v>0</x:v>
      </x:c>
      <x:c r="AF11" s="25">
        <x:f t="shared" si="1"/>
        <x:v>0</x:v>
      </x:c>
      <x:c r="AG11" s="25">
        <x:f t="shared" si="2"/>
        <x:v>0</x:v>
      </x:c>
      <x:c r="AH11" s="25">
        <x:f t="shared" si="3"/>
        <x:v>0</x:v>
      </x:c>
      <x:c r="AI11" s="25">
        <x:f t="shared" si="4"/>
        <x:v>1</x:v>
      </x:c>
      <x:c r="AJ11" s="25">
        <x:f t="shared" si="5"/>
        <x:v>0</x:v>
      </x:c>
      <x:c r="AK11" s="25">
        <x:f t="shared" si="6"/>
        <x:v>0</x:v>
      </x:c>
      <x:c r="AL11" s="25">
        <x:f t="shared" si="7"/>
        <x:v>1</x:v>
      </x:c>
      <x:c r="AM11" s="25">
        <x:f t="shared" si="8"/>
        <x:v>0</x:v>
      </x:c>
      <x:c r="AN11" s="25">
        <x:f t="shared" si="9"/>
        <x:v>0</x:v>
      </x:c>
      <x:c r="AO11" s="25">
        <x:f t="shared" si="10"/>
        <x:v>1</x:v>
      </x:c>
      <x:c r="AP11" s="25">
        <x:f t="shared" si="11"/>
        <x:v>0</x:v>
      </x:c>
      <x:c r="AQ11" s="25">
        <x:f t="shared" si="12"/>
        <x:v>0</x:v>
      </x:c>
      <x:c r="AR11" s="25">
        <x:f t="shared" si="13"/>
        <x:v>0</x:v>
      </x:c>
      <x:c r="AS11" s="25">
        <x:f t="shared" si="14"/>
        <x:v>0</x:v>
      </x:c>
      <x:c r="AT11" s="25">
        <x:f t="shared" si="15"/>
        <x:v>0</x:v>
      </x:c>
      <x:c r="AU11" s="25">
        <x:f t="shared" si="16"/>
        <x:v>1</x:v>
      </x:c>
      <x:c r="AV11" s="25">
        <x:f t="shared" si="17"/>
        <x:v>0</x:v>
      </x:c>
      <x:c r="AW11" s="25">
        <x:f t="shared" si="18"/>
        <x:v>0</x:v>
      </x:c>
      <x:c r="AX11" s="25">
        <x:f t="shared" si="19"/>
        <x:v>1</x:v>
      </x:c>
      <x:c r="AY11" s="25">
        <x:f t="shared" si="20"/>
        <x:v>0</x:v>
      </x:c>
      <x:c r="AZ11" s="25">
        <x:f t="shared" si="21"/>
        <x:v>0</x:v>
      </x:c>
      <x:c r="BA11" s="25">
        <x:f t="shared" si="22"/>
        <x:v>1</x:v>
      </x:c>
      <x:c r="BB11" s="25">
        <x:f t="shared" si="23"/>
        <x:v>0</x:v>
      </x:c>
    </x:row>
    <x:row r="12" ht="10.5" customHeight="1">
      <x:c r="A12" s="13" t="s">
        <x:v>563</x:v>
      </x:c>
      <x:c r="B12" t="s">
        <x:v>564</x:v>
      </x:c>
      <x:c r="C12" s="198" t="s">
        <x:v>565</x:v>
      </x:c>
      <x:c r="D12" s="198" t="s">
        <x:v>566</x:v>
      </x:c>
      <x:c r="E12" s="226" t="s">
        <x:v>547</x:v>
      </x:c>
      <x:c r="F12" s="236" t="s">
        <x:v>548</x:v>
      </x:c>
      <x:c r="G12" s="25" t="str">
        <x:f>_xlfn.XLOOKUP($F12,MonScale[Escala],MonScale[Valor],"NA",0)</x:f>
        <x:v>NA</x:v>
      </x:c>
      <x:c r="H12" s="250" t="n">
        <x:f>_xlfn.XLOOKUP($E12,TRM[MON],TRM[TRM],"NA",0)</x:f>
        <x:v>1.18</x:v>
      </x:c>
      <x:c r="I12" s="226" t="s">
        <x:v>549</x:v>
      </x:c>
      <x:c r="J12" s="226">
        <x:v>60</x:v>
      </x:c>
      <x:c r="K12" s="251">
        <x:v>30</x:v>
      </x:c>
      <x:c r="L12" s="251">
        <x:v>26</x:v>
      </x:c>
      <x:c r="M12" s="251">
        <x:v>22</x:v>
      </x:c>
      <x:c r="N12" s="251">
        <x:v>18</x:v>
      </x:c>
      <x:c r="O12" s="251">
        <x:v>14</x:v>
      </x:c>
      <x:c r="P12" s="251">
        <x:v>10</x:v>
      </x:c>
      <x:c r="Q12" s="251">
        <x:v>5</x:v>
      </x:c>
      <x:c r="R12" s="175"/>
      <x:c r="S12" s="244"/>
      <x:c r="T12" s="25"/>
      <x:c r="U12" s="25"/>
      <x:c r="V12" s="25"/>
      <x:c r="W12" s="25"/>
      <x:c r="X12" s="25">
        <x:v>3</x:v>
      </x:c>
      <x:c r="Y12" s="25"/>
      <x:c r="Z12" s="25"/>
      <x:c r="AA12" s="25">
        <x:v>6</x:v>
      </x:c>
      <x:c r="AB12" s="25"/>
      <x:c r="AC12" s="25"/>
      <x:c r="AD12" s="25">
        <x:v>9</x:v>
      </x:c>
      <x:c r="AE12" s="25">
        <x:f t="shared" si="24"/>
        <x:v>0</x:v>
      </x:c>
      <x:c r="AF12" s="25">
        <x:f t="shared" si="1"/>
        <x:v>0</x:v>
      </x:c>
      <x:c r="AG12" s="25">
        <x:f t="shared" si="2"/>
        <x:v>0</x:v>
      </x:c>
      <x:c r="AH12" s="25">
        <x:f t="shared" si="3"/>
        <x:v>0</x:v>
      </x:c>
      <x:c r="AI12" s="25">
        <x:f t="shared" si="4"/>
        <x:v>0</x:v>
      </x:c>
      <x:c r="AJ12" s="25">
        <x:f t="shared" si="5"/>
        <x:v>3</x:v>
      </x:c>
      <x:c r="AK12" s="25">
        <x:f t="shared" si="6"/>
        <x:v>0</x:v>
      </x:c>
      <x:c r="AL12" s="25">
        <x:f t="shared" si="7"/>
        <x:v>0</x:v>
      </x:c>
      <x:c r="AM12" s="25">
        <x:f t="shared" si="8"/>
        <x:v>6</x:v>
      </x:c>
      <x:c r="AN12" s="25">
        <x:f t="shared" si="9"/>
        <x:v>0</x:v>
      </x:c>
      <x:c r="AO12" s="25">
        <x:f t="shared" si="10"/>
        <x:v>0</x:v>
      </x:c>
      <x:c r="AP12" s="25">
        <x:f t="shared" si="11"/>
        <x:v>9</x:v>
      </x:c>
      <x:c r="AQ12" s="25">
        <x:f t="shared" si="12"/>
        <x:v>0</x:v>
      </x:c>
      <x:c r="AR12" s="25">
        <x:f t="shared" si="13"/>
        <x:v>0</x:v>
      </x:c>
      <x:c r="AS12" s="25">
        <x:f t="shared" si="14"/>
        <x:v>0</x:v>
      </x:c>
      <x:c r="AT12" s="25">
        <x:f t="shared" si="15"/>
        <x:v>0</x:v>
      </x:c>
      <x:c r="AU12" s="25">
        <x:f t="shared" si="16"/>
        <x:v>0</x:v>
      </x:c>
      <x:c r="AV12" s="25">
        <x:f t="shared" si="17"/>
        <x:v>3</x:v>
      </x:c>
      <x:c r="AW12" s="25">
        <x:f t="shared" si="18"/>
        <x:v>0</x:v>
      </x:c>
      <x:c r="AX12" s="25">
        <x:f t="shared" si="19"/>
        <x:v>0</x:v>
      </x:c>
      <x:c r="AY12" s="25">
        <x:f t="shared" si="20"/>
        <x:v>6</x:v>
      </x:c>
      <x:c r="AZ12" s="25">
        <x:f t="shared" si="21"/>
        <x:v>0</x:v>
      </x:c>
      <x:c r="BA12" s="25">
        <x:f t="shared" si="22"/>
        <x:v>0</x:v>
      </x:c>
      <x:c r="BB12" s="25">
        <x:f t="shared" si="23"/>
        <x:v>9</x:v>
      </x:c>
    </x:row>
    <x:row r="13" ht="10.5" customHeight="1">
      <x:c r="A13" s="13" t="s">
        <x:v>567</x:v>
      </x:c>
      <x:c r="B13" t="s">
        <x:v>568</x:v>
      </x:c>
      <x:c r="C13" s="198" t="s">
        <x:v>569</x:v>
      </x:c>
      <x:c r="D13" s="198" t="s">
        <x:v>570</x:v>
      </x:c>
      <x:c r="E13" s="226" t="s">
        <x:v>547</x:v>
      </x:c>
      <x:c r="F13" s="236" t="s">
        <x:v>548</x:v>
      </x:c>
      <x:c r="G13" s="25" t="str">
        <x:f>_xlfn.XLOOKUP($F13,MonScale[Escala],MonScale[Valor],"NA",0)</x:f>
        <x:v>NA</x:v>
      </x:c>
      <x:c r="H13" s="250" t="n">
        <x:f>_xlfn.XLOOKUP($E13,TRM[MON],TRM[TRM],"NA",0)</x:f>
        <x:v>1.18</x:v>
      </x:c>
      <x:c r="I13" s="226" t="s">
        <x:v>549</x:v>
      </x:c>
      <x:c r="J13" s="226">
        <x:v>60</x:v>
      </x:c>
      <x:c r="K13" s="258">
        <x:v>0</x:v>
      </x:c>
      <x:c r="L13" s="258">
        <x:v>0</x:v>
      </x:c>
      <x:c r="M13" s="258">
        <x:v>0</x:v>
      </x:c>
      <x:c r="N13" s="258">
        <x:v>0</x:v>
      </x:c>
      <x:c r="O13" s="258">
        <x:v>0</x:v>
      </x:c>
      <x:c r="P13" s="258">
        <x:v>0</x:v>
      </x:c>
      <x:c r="Q13" s="258">
        <x:v>0</x:v>
      </x:c>
      <x:c r="R13" s="175"/>
      <x:c r="S13" s="244"/>
      <x:c r="T13" s="25"/>
      <x:c r="U13" s="25"/>
      <x:c r="V13" s="25"/>
      <x:c r="W13" s="25"/>
      <x:c r="X13" s="25">
        <x:v>2</x:v>
      </x:c>
      <x:c r="Y13" s="25"/>
      <x:c r="Z13" s="25"/>
      <x:c r="AA13" s="25">
        <x:v>2</x:v>
      </x:c>
      <x:c r="AB13" s="25"/>
      <x:c r="AC13" s="25"/>
      <x:c r="AD13" s="25">
        <x:v>2</x:v>
      </x:c>
      <x:c r="AE13" s="25">
        <x:f t="shared" si="24"/>
        <x:v>0</x:v>
      </x:c>
      <x:c r="AF13" s="25">
        <x:f t="shared" si="1"/>
        <x:v>0</x:v>
      </x:c>
      <x:c r="AG13" s="25">
        <x:f t="shared" si="2"/>
        <x:v>0</x:v>
      </x:c>
      <x:c r="AH13" s="25">
        <x:f t="shared" si="3"/>
        <x:v>0</x:v>
      </x:c>
      <x:c r="AI13" s="25">
        <x:f t="shared" si="4"/>
        <x:v>0</x:v>
      </x:c>
      <x:c r="AJ13" s="25">
        <x:f t="shared" si="5"/>
        <x:v>2</x:v>
      </x:c>
      <x:c r="AK13" s="25">
        <x:f t="shared" si="6"/>
        <x:v>0</x:v>
      </x:c>
      <x:c r="AL13" s="25">
        <x:f t="shared" si="7"/>
        <x:v>0</x:v>
      </x:c>
      <x:c r="AM13" s="25">
        <x:f t="shared" si="8"/>
        <x:v>2</x:v>
      </x:c>
      <x:c r="AN13" s="25">
        <x:f t="shared" si="9"/>
        <x:v>0</x:v>
      </x:c>
      <x:c r="AO13" s="25">
        <x:f t="shared" si="10"/>
        <x:v>0</x:v>
      </x:c>
      <x:c r="AP13" s="25">
        <x:f t="shared" si="11"/>
        <x:v>2</x:v>
      </x:c>
      <x:c r="AQ13" s="25">
        <x:f t="shared" si="12"/>
        <x:v>0</x:v>
      </x:c>
      <x:c r="AR13" s="25">
        <x:f t="shared" si="13"/>
        <x:v>0</x:v>
      </x:c>
      <x:c r="AS13" s="25">
        <x:f t="shared" si="14"/>
        <x:v>0</x:v>
      </x:c>
      <x:c r="AT13" s="25">
        <x:f t="shared" si="15"/>
        <x:v>0</x:v>
      </x:c>
      <x:c r="AU13" s="25">
        <x:f t="shared" si="16"/>
        <x:v>0</x:v>
      </x:c>
      <x:c r="AV13" s="25">
        <x:f t="shared" si="17"/>
        <x:v>2</x:v>
      </x:c>
      <x:c r="AW13" s="25">
        <x:f t="shared" si="18"/>
        <x:v>0</x:v>
      </x:c>
      <x:c r="AX13" s="25">
        <x:f t="shared" si="19"/>
        <x:v>0</x:v>
      </x:c>
      <x:c r="AY13" s="25">
        <x:f t="shared" si="20"/>
        <x:v>2</x:v>
      </x:c>
      <x:c r="AZ13" s="25">
        <x:f t="shared" si="21"/>
        <x:v>0</x:v>
      </x:c>
      <x:c r="BA13" s="25">
        <x:f t="shared" si="22"/>
        <x:v>0</x:v>
      </x:c>
      <x:c r="BB13" s="25">
        <x:f t="shared" si="23"/>
        <x:v>2</x:v>
      </x:c>
    </x:row>
    <x:row r="14" ht="10.5" customHeight="1">
      <x:c r="E14" s="201"/>
      <x:c r="F14" s="201"/>
      <x:c r="H14" s="250"/>
      <x:c r="K14" s="238"/>
      <x:c r="L14" s="238"/>
      <x:c r="M14" s="238"/>
      <x:c r="N14" s="238"/>
      <x:c r="O14" s="238"/>
      <x:c r="P14" s="238"/>
      <x:c r="Q14" s="238"/>
      <x:c r="R14" s="175"/>
      <x:c r="S14" s="25"/>
      <x:c r="T14" s="25"/>
      <x:c r="U14" s="25"/>
      <x:c r="V14" s="25"/>
      <x:c r="W14" s="25"/>
      <x:c r="X14" s="25"/>
      <x:c r="Y14" s="25"/>
      <x:c r="Z14" s="25"/>
      <x:c r="AA14" s="25"/>
      <x:c r="AB14" s="25"/>
      <x:c r="AC14" s="25"/>
      <x:c r="AD14" s="25"/>
      <x:c r="AE14" s="25"/>
      <x:c r="AF14" s="25"/>
      <x:c r="AG14" s="25"/>
      <x:c r="AH14" s="25"/>
      <x:c r="AI14" s="25"/>
      <x:c r="AJ14" s="25"/>
      <x:c r="AK14" s="25"/>
      <x:c r="AL14" s="25"/>
      <x:c r="AM14" s="25"/>
      <x:c r="AN14" s="25"/>
      <x:c r="AO14" s="25"/>
      <x:c r="AP14" s="25"/>
      <x:c r="AQ14" s="25"/>
      <x:c r="AR14" s="25"/>
      <x:c r="AS14" s="25"/>
      <x:c r="AT14" s="25"/>
      <x:c r="AU14" s="25"/>
      <x:c r="AV14" s="25"/>
      <x:c r="AW14" s="25"/>
      <x:c r="AX14" s="25"/>
      <x:c r="AY14" s="25"/>
      <x:c r="AZ14" s="25"/>
      <x:c r="BA14" s="25"/>
      <x:c r="BB14" s="25"/>
    </x:row>
    <x:row r="15" ht="10.5" customHeight="1">
      <x:c r="E15" s="201"/>
      <x:c r="F15" s="201"/>
      <x:c r="H15" s="250"/>
      <x:c r="K15" s="238"/>
      <x:c r="L15" s="238"/>
      <x:c r="M15" s="238"/>
      <x:c r="N15" s="238"/>
      <x:c r="O15" s="238"/>
      <x:c r="P15" s="238"/>
      <x:c r="Q15" s="238"/>
      <x:c r="R15" s="175"/>
      <x:c r="S15" s="25"/>
      <x:c r="T15" s="25"/>
      <x:c r="U15" s="25"/>
      <x:c r="V15" s="25"/>
      <x:c r="W15" s="25"/>
      <x:c r="X15" s="25"/>
      <x:c r="Y15" s="25"/>
      <x:c r="Z15" s="25"/>
      <x:c r="AA15" s="25"/>
      <x:c r="AB15" s="25"/>
      <x:c r="AC15" s="25"/>
      <x:c r="AD15" s="25"/>
      <x:c r="AE15" s="25"/>
      <x:c r="AF15" s="25"/>
      <x:c r="AG15" s="25"/>
      <x:c r="AH15" s="25"/>
      <x:c r="AI15" s="25"/>
      <x:c r="AJ15" s="25"/>
      <x:c r="AK15" s="25"/>
      <x:c r="AL15" s="25"/>
      <x:c r="AM15" s="25"/>
      <x:c r="AN15" s="25"/>
      <x:c r="AO15" s="25"/>
      <x:c r="AP15" s="25"/>
      <x:c r="AQ15" s="25"/>
      <x:c r="AR15" s="25"/>
      <x:c r="AS15" s="25"/>
      <x:c r="AT15" s="25"/>
      <x:c r="AU15" s="25"/>
      <x:c r="AV15" s="25"/>
      <x:c r="AW15" s="25"/>
      <x:c r="AX15" s="25"/>
      <x:c r="AY15" s="25"/>
      <x:c r="AZ15" s="25"/>
      <x:c r="BA15" s="25"/>
      <x:c r="BB15" s="25"/>
    </x:row>
    <x:row r="16" ht="10.5" customHeight="1">
      <x:c r="A16" s="170" t="s">
        <x:v>571</x:v>
      </x:c>
      <x:c r="E16" s="201"/>
      <x:c r="F16" s="201"/>
      <x:c r="H16" s="250"/>
      <x:c r="K16" s="238"/>
      <x:c r="L16" s="238"/>
      <x:c r="M16" s="238"/>
      <x:c r="N16" s="238"/>
      <x:c r="O16" s="238"/>
      <x:c r="P16" s="238"/>
      <x:c r="Q16" s="238"/>
      <x:c r="R16" s="175"/>
      <x:c r="S16" s="270" t="s">
        <x:v>571</x:v>
      </x:c>
      <x:c r="T16" s="271"/>
      <x:c r="U16" s="271"/>
      <x:c r="V16" s="271"/>
      <x:c r="W16" s="271"/>
      <x:c r="X16" s="271"/>
      <x:c r="Y16" s="271"/>
      <x:c r="Z16" s="271"/>
      <x:c r="AA16" s="271"/>
      <x:c r="AB16" s="271"/>
      <x:c r="AC16" s="271"/>
      <x:c r="AD16" s="271"/>
      <x:c r="AE16" s="271"/>
      <x:c r="AF16" s="271"/>
      <x:c r="AG16" s="271"/>
      <x:c r="AH16" s="271"/>
      <x:c r="AI16" s="271"/>
      <x:c r="AJ16" s="271"/>
      <x:c r="AK16" s="271"/>
      <x:c r="AL16" s="271"/>
      <x:c r="AM16" s="271"/>
      <x:c r="AN16" s="271"/>
      <x:c r="AO16" s="271"/>
      <x:c r="AP16" s="271"/>
      <x:c r="AQ16" s="271"/>
      <x:c r="AR16" s="271"/>
      <x:c r="AS16" s="271"/>
      <x:c r="AT16" s="271"/>
      <x:c r="AU16" s="271"/>
      <x:c r="AV16" s="271"/>
      <x:c r="AW16" s="271"/>
      <x:c r="AX16" s="271"/>
      <x:c r="AY16" s="271"/>
      <x:c r="AZ16" s="271"/>
      <x:c r="BA16" s="271"/>
      <x:c r="BB16" s="272"/>
    </x:row>
    <x:row r="17" ht="10.5" customHeight="1">
      <x:c r="A17" t="s">
        <x:v>572</x:v>
      </x:c>
      <x:c r="B17" t="s">
        <x:v>573</x:v>
      </x:c>
      <x:c r="C17" t="s">
        <x:v>574</x:v>
      </x:c>
      <x:c r="D17" t="s">
        <x:v>546</x:v>
      </x:c>
      <x:c r="E17" s="226" t="s">
        <x:v>547</x:v>
      </x:c>
      <x:c r="F17" s="236" t="s">
        <x:v>548</x:v>
      </x:c>
      <x:c r="G17" s="25" t="str">
        <x:f>_xlfn.XLOOKUP($F17,MonScale[Escala],MonScale[Valor],"NA",0)</x:f>
        <x:v>NA</x:v>
      </x:c>
      <x:c r="H17" s="250" t="n">
        <x:f>_xlfn.XLOOKUP($E17,TRM[MON],TRM[TRM],"NA",0)</x:f>
        <x:v>1.18</x:v>
      </x:c>
      <x:c r="I17" s="226" t="s">
        <x:v>549</x:v>
      </x:c>
      <x:c r="J17" s="226">
        <x:v>60</x:v>
      </x:c>
      <x:c r="R17" s="175"/>
      <x:c r="S17" s="25" t="n">
        <x:f>SUM($S7:S9)</x:f>
        <x:v>3</x:v>
      </x:c>
      <x:c r="T17" s="25" t="n">
        <x:f>SUM($S7:T9)</x:f>
        <x:v>4</x:v>
      </x:c>
      <x:c r="U17" s="25" t="n">
        <x:f>SUM($S7:U9)</x:f>
        <x:v>5</x:v>
      </x:c>
      <x:c r="V17" s="25" t="n">
        <x:f>SUM($S7:V9)</x:f>
        <x:v>5</x:v>
      </x:c>
      <x:c r="W17" s="25" t="n">
        <x:f>SUM($S7:W9)</x:f>
        <x:v>5</x:v>
      </x:c>
      <x:c r="X17" s="25" t="n">
        <x:f>SUM($S7:X9)</x:f>
        <x:v>5</x:v>
      </x:c>
      <x:c r="Y17" s="25" t="n">
        <x:f>SUM($S7:Y9)</x:f>
        <x:v>5</x:v>
      </x:c>
      <x:c r="Z17" s="25" t="n">
        <x:f>SUM($S7:Z9)</x:f>
        <x:v>5</x:v>
      </x:c>
      <x:c r="AA17" s="25" t="n">
        <x:f>SUM($S7:AA9)</x:f>
        <x:v>5</x:v>
      </x:c>
      <x:c r="AB17" s="25" t="n">
        <x:f>SUM($S7:AB9)</x:f>
        <x:v>5</x:v>
      </x:c>
      <x:c r="AC17" s="25" t="n">
        <x:f>SUM($S7:AC9)</x:f>
        <x:v>5</x:v>
      </x:c>
      <x:c r="AD17" s="25" t="n">
        <x:f>SUM($S7:AD9)</x:f>
        <x:v>5</x:v>
      </x:c>
      <x:c r="AE17" s="25" t="n">
        <x:f>SUM($S7:AE9)</x:f>
        <x:v>8</x:v>
      </x:c>
      <x:c r="AF17" s="25" t="n">
        <x:f>SUM($S7:AF9)</x:f>
        <x:v>9</x:v>
      </x:c>
      <x:c r="AG17" s="25" t="n">
        <x:f>SUM($S7:AG9)</x:f>
        <x:v>10</x:v>
      </x:c>
      <x:c r="AH17" s="25" t="n">
        <x:f>SUM($S7:AH9)</x:f>
        <x:v>10</x:v>
      </x:c>
      <x:c r="AI17" s="25" t="n">
        <x:f>SUM($S7:AI9)</x:f>
        <x:v>10</x:v>
      </x:c>
      <x:c r="AJ17" s="25" t="n">
        <x:f>SUM($S7:AJ9)</x:f>
        <x:v>10</x:v>
      </x:c>
      <x:c r="AK17" s="25" t="n">
        <x:f>SUM($S7:AK9)</x:f>
        <x:v>10</x:v>
      </x:c>
      <x:c r="AL17" s="25" t="n">
        <x:f>SUM($S7:AL9)</x:f>
        <x:v>10</x:v>
      </x:c>
      <x:c r="AM17" s="25" t="n">
        <x:f>SUM($S7:AM9)</x:f>
        <x:v>10</x:v>
      </x:c>
      <x:c r="AN17" s="25" t="n">
        <x:f>SUM($S7:AN9)</x:f>
        <x:v>10</x:v>
      </x:c>
      <x:c r="AO17" s="25" t="n">
        <x:f>SUM($S7:AO9)</x:f>
        <x:v>10</x:v>
      </x:c>
      <x:c r="AP17" s="25" t="n">
        <x:f>SUM($S7:AP9)</x:f>
        <x:v>10</x:v>
      </x:c>
      <x:c r="AQ17" s="25" t="n">
        <x:f>SUM($S7:AQ9)</x:f>
        <x:v>13</x:v>
      </x:c>
      <x:c r="AR17" s="25" t="n">
        <x:f>SUM($S7:AR9)</x:f>
        <x:v>14</x:v>
      </x:c>
      <x:c r="AS17" s="25" t="n">
        <x:f>SUM($S7:AS9)</x:f>
        <x:v>15</x:v>
      </x:c>
      <x:c r="AT17" s="25" t="n">
        <x:f>SUM($S7:AT9)</x:f>
        <x:v>15</x:v>
      </x:c>
      <x:c r="AU17" s="25" t="n">
        <x:f>SUM($S7:AU9)</x:f>
        <x:v>15</x:v>
      </x:c>
      <x:c r="AV17" s="25" t="n">
        <x:f>SUM($S7:AV9)</x:f>
        <x:v>15</x:v>
      </x:c>
      <x:c r="AW17" s="25" t="n">
        <x:f>SUM($S7:AW9)</x:f>
        <x:v>15</x:v>
      </x:c>
      <x:c r="AX17" s="25" t="n">
        <x:f>SUM($S7:AX9)</x:f>
        <x:v>15</x:v>
      </x:c>
      <x:c r="AY17" s="25" t="n">
        <x:f>SUM($S7:AY9)</x:f>
        <x:v>15</x:v>
      </x:c>
      <x:c r="AZ17" s="25" t="n">
        <x:f>SUM($S7:AZ9)</x:f>
        <x:v>15</x:v>
      </x:c>
      <x:c r="BA17" s="25" t="n">
        <x:f>SUM($S7:BA9)</x:f>
        <x:v>15</x:v>
      </x:c>
      <x:c r="BB17" s="25" t="n">
        <x:f>SUM($S7:BB9)</x:f>
        <x:v>15</x:v>
      </x:c>
    </x:row>
    <x:row r="18" ht="10.5" customHeight="1">
      <x:c r="A18" t="s">
        <x:v>575</x:v>
      </x:c>
      <x:c r="B18" t="s">
        <x:v>576</x:v>
      </x:c>
      <x:c r="C18" t="s">
        <x:v>577</x:v>
      </x:c>
      <x:c r="D18" t="s">
        <x:v>559</x:v>
      </x:c>
      <x:c r="E18" s="226" t="s">
        <x:v>547</x:v>
      </x:c>
      <x:c r="F18" s="236" t="s">
        <x:v>548</x:v>
      </x:c>
      <x:c r="G18" s="25" t="str">
        <x:f>_xlfn.XLOOKUP($F18,MonScale[Escala],MonScale[Valor],"NA",0)</x:f>
        <x:v>NA</x:v>
      </x:c>
      <x:c r="H18" s="250" t="n">
        <x:f>_xlfn.XLOOKUP($E18,TRM[MON],TRM[TRM],"NA",0)</x:f>
        <x:v>1.18</x:v>
      </x:c>
      <x:c r="I18" s="226" t="s">
        <x:v>549</x:v>
      </x:c>
      <x:c r="J18" s="226">
        <x:v>60</x:v>
      </x:c>
      <x:c r="R18" s="175"/>
      <x:c r="S18" s="25" t="n">
        <x:f>SUM($S10:S11)</x:f>
        <x:v>0</x:v>
      </x:c>
      <x:c r="T18" s="25" t="n">
        <x:f>SUM($S10:T11)</x:f>
        <x:v>0</x:v>
      </x:c>
      <x:c r="U18" s="25" t="n">
        <x:f>SUM($S10:U11)</x:f>
        <x:v>0</x:v>
      </x:c>
      <x:c r="V18" s="25" t="n">
        <x:f>SUM($S10:V11)</x:f>
        <x:v>1</x:v>
      </x:c>
      <x:c r="W18" s="25" t="n">
        <x:f>SUM($S10:W11)</x:f>
        <x:v>2</x:v>
      </x:c>
      <x:c r="X18" s="25" t="n">
        <x:f>SUM($S10:X11)</x:f>
        <x:v>2</x:v>
      </x:c>
      <x:c r="Y18" s="25" t="n">
        <x:f>SUM($S10:Y11)</x:f>
        <x:v>3</x:v>
      </x:c>
      <x:c r="Z18" s="25" t="n">
        <x:f>SUM($S10:Z11)</x:f>
        <x:v>4</x:v>
      </x:c>
      <x:c r="AA18" s="25" t="n">
        <x:f>SUM($S10:AA11)</x:f>
        <x:v>4</x:v>
      </x:c>
      <x:c r="AB18" s="25" t="n">
        <x:f>SUM($S10:AB11)</x:f>
        <x:v>5</x:v>
      </x:c>
      <x:c r="AC18" s="25" t="n">
        <x:f>SUM($S10:AC11)</x:f>
        <x:v>6</x:v>
      </x:c>
      <x:c r="AD18" s="25" t="n">
        <x:f>SUM($S10:AD11)</x:f>
        <x:v>6</x:v>
      </x:c>
      <x:c r="AE18" s="25" t="n">
        <x:f>SUM($S10:AE11)</x:f>
        <x:v>6</x:v>
      </x:c>
      <x:c r="AF18" s="25" t="n">
        <x:f>SUM($S10:AF11)</x:f>
        <x:v>6</x:v>
      </x:c>
      <x:c r="AG18" s="25" t="n">
        <x:f>SUM($S10:AG11)</x:f>
        <x:v>6</x:v>
      </x:c>
      <x:c r="AH18" s="25" t="n">
        <x:f>SUM($S10:AH11)</x:f>
        <x:v>7</x:v>
      </x:c>
      <x:c r="AI18" s="25" t="n">
        <x:f>SUM($S10:AI11)</x:f>
        <x:v>8</x:v>
      </x:c>
      <x:c r="AJ18" s="25" t="n">
        <x:f>SUM($S10:AJ11)</x:f>
        <x:v>8</x:v>
      </x:c>
      <x:c r="AK18" s="25" t="n">
        <x:f>SUM($S10:AK11)</x:f>
        <x:v>9</x:v>
      </x:c>
      <x:c r="AL18" s="25" t="n">
        <x:f>SUM($S10:AL11)</x:f>
        <x:v>10</x:v>
      </x:c>
      <x:c r="AM18" s="25" t="n">
        <x:f>SUM($S10:AM11)</x:f>
        <x:v>10</x:v>
      </x:c>
      <x:c r="AN18" s="25" t="n">
        <x:f>SUM($S10:AN11)</x:f>
        <x:v>11</x:v>
      </x:c>
      <x:c r="AO18" s="25" t="n">
        <x:f>SUM($S10:AO11)</x:f>
        <x:v>12</x:v>
      </x:c>
      <x:c r="AP18" s="25" t="n">
        <x:f>SUM($S10:AP11)</x:f>
        <x:v>12</x:v>
      </x:c>
      <x:c r="AQ18" s="25" t="n">
        <x:f>SUM($S10:AQ11)</x:f>
        <x:v>12</x:v>
      </x:c>
      <x:c r="AR18" s="25" t="n">
        <x:f>SUM($S10:AR11)</x:f>
        <x:v>12</x:v>
      </x:c>
      <x:c r="AS18" s="25" t="n">
        <x:f>SUM($S10:AS11)</x:f>
        <x:v>12</x:v>
      </x:c>
      <x:c r="AT18" s="25" t="n">
        <x:f>SUM($S10:AT11)</x:f>
        <x:v>13</x:v>
      </x:c>
      <x:c r="AU18" s="25" t="n">
        <x:f>SUM($S10:AU11)</x:f>
        <x:v>14</x:v>
      </x:c>
      <x:c r="AV18" s="25" t="n">
        <x:f>SUM($S10:AV11)</x:f>
        <x:v>14</x:v>
      </x:c>
      <x:c r="AW18" s="25" t="n">
        <x:f>SUM($S10:AW11)</x:f>
        <x:v>15</x:v>
      </x:c>
      <x:c r="AX18" s="25" t="n">
        <x:f>SUM($S10:AX11)</x:f>
        <x:v>16</x:v>
      </x:c>
      <x:c r="AY18" s="25" t="n">
        <x:f>SUM($S10:AY11)</x:f>
        <x:v>16</x:v>
      </x:c>
      <x:c r="AZ18" s="25" t="n">
        <x:f>SUM($S10:AZ11)</x:f>
        <x:v>17</x:v>
      </x:c>
      <x:c r="BA18" s="25" t="n">
        <x:f>SUM($S10:BA11)</x:f>
        <x:v>18</x:v>
      </x:c>
      <x:c r="BB18" s="25" t="n">
        <x:f>SUM($S10:BB11)</x:f>
        <x:v>18</x:v>
      </x:c>
    </x:row>
    <x:row r="19" ht="10.5" customHeight="1">
      <x:c r="A19" t="s">
        <x:v>578</x:v>
      </x:c>
      <x:c r="B19" t="s">
        <x:v>579</x:v>
      </x:c>
      <x:c r="C19" t="s">
        <x:v>580</x:v>
      </x:c>
      <x:c r="D19" t="s">
        <x:v>566</x:v>
      </x:c>
      <x:c r="E19" s="226" t="s">
        <x:v>547</x:v>
      </x:c>
      <x:c r="F19" s="236" t="s">
        <x:v>548</x:v>
      </x:c>
      <x:c r="G19" s="25" t="str">
        <x:f>_xlfn.XLOOKUP($F19,MonScale[Escala],MonScale[Valor],"NA",0)</x:f>
        <x:v>NA</x:v>
      </x:c>
      <x:c r="H19" s="250" t="n">
        <x:f>_xlfn.XLOOKUP($E19,TRM[MON],TRM[TRM],"NA",0)</x:f>
        <x:v>1.18</x:v>
      </x:c>
      <x:c r="I19" s="226" t="s">
        <x:v>549</x:v>
      </x:c>
      <x:c r="J19" s="226">
        <x:v>60</x:v>
      </x:c>
      <x:c r="R19" s="175"/>
      <x:c r="S19" s="25" t="n">
        <x:f>SUM($S12:S12)</x:f>
        <x:v>0</x:v>
      </x:c>
      <x:c r="T19" s="25" t="n">
        <x:f>SUM($S12:T12)</x:f>
        <x:v>0</x:v>
      </x:c>
      <x:c r="U19" s="25" t="n">
        <x:f>SUM($S12:U12)</x:f>
        <x:v>0</x:v>
      </x:c>
      <x:c r="V19" s="25" t="n">
        <x:f>SUM($S12:V12)</x:f>
        <x:v>0</x:v>
      </x:c>
      <x:c r="W19" s="25" t="n">
        <x:f>SUM($S12:W12)</x:f>
        <x:v>0</x:v>
      </x:c>
      <x:c r="X19" s="25" t="n">
        <x:f>SUM($S12:X12)</x:f>
        <x:v>3</x:v>
      </x:c>
      <x:c r="Y19" s="25" t="n">
        <x:f>SUM($S12:Y12)</x:f>
        <x:v>3</x:v>
      </x:c>
      <x:c r="Z19" s="25" t="n">
        <x:f>SUM($S12:Z12)</x:f>
        <x:v>3</x:v>
      </x:c>
      <x:c r="AA19" s="25" t="n">
        <x:f>SUM($S12:AA12)</x:f>
        <x:v>9</x:v>
      </x:c>
      <x:c r="AB19" s="25" t="n">
        <x:f>SUM($S12:AB12)</x:f>
        <x:v>9</x:v>
      </x:c>
      <x:c r="AC19" s="25" t="n">
        <x:f>SUM($S12:AC12)</x:f>
        <x:v>9</x:v>
      </x:c>
      <x:c r="AD19" s="25" t="n">
        <x:f>SUM($S12:AD12)</x:f>
        <x:v>18</x:v>
      </x:c>
      <x:c r="AE19" s="25" t="n">
        <x:f>SUM($S12:AE12)</x:f>
        <x:v>18</x:v>
      </x:c>
      <x:c r="AF19" s="25" t="n">
        <x:f>SUM($S12:AF12)</x:f>
        <x:v>18</x:v>
      </x:c>
      <x:c r="AG19" s="25" t="n">
        <x:f>SUM($S12:AG12)</x:f>
        <x:v>18</x:v>
      </x:c>
      <x:c r="AH19" s="25" t="n">
        <x:f>SUM($S12:AH12)</x:f>
        <x:v>18</x:v>
      </x:c>
      <x:c r="AI19" s="25" t="n">
        <x:f>SUM($S12:AI12)</x:f>
        <x:v>18</x:v>
      </x:c>
      <x:c r="AJ19" s="25" t="n">
        <x:f>SUM($S12:AJ12)</x:f>
        <x:v>21</x:v>
      </x:c>
      <x:c r="AK19" s="25" t="n">
        <x:f>SUM($S12:AK12)</x:f>
        <x:v>21</x:v>
      </x:c>
      <x:c r="AL19" s="25" t="n">
        <x:f>SUM($S12:AL12)</x:f>
        <x:v>21</x:v>
      </x:c>
      <x:c r="AM19" s="25" t="n">
        <x:f>SUM($S12:AM12)</x:f>
        <x:v>27</x:v>
      </x:c>
      <x:c r="AN19" s="25" t="n">
        <x:f>SUM($S12:AN12)</x:f>
        <x:v>27</x:v>
      </x:c>
      <x:c r="AO19" s="25" t="n">
        <x:f>SUM($S12:AO12)</x:f>
        <x:v>27</x:v>
      </x:c>
      <x:c r="AP19" s="25" t="n">
        <x:f>SUM($S12:AP12)</x:f>
        <x:v>36</x:v>
      </x:c>
      <x:c r="AQ19" s="25" t="n">
        <x:f>SUM($S12:AQ12)</x:f>
        <x:v>36</x:v>
      </x:c>
      <x:c r="AR19" s="25" t="n">
        <x:f>SUM($S12:AR12)</x:f>
        <x:v>36</x:v>
      </x:c>
      <x:c r="AS19" s="25" t="n">
        <x:f>SUM($S12:AS12)</x:f>
        <x:v>36</x:v>
      </x:c>
      <x:c r="AT19" s="25" t="n">
        <x:f>SUM($S12:AT12)</x:f>
        <x:v>36</x:v>
      </x:c>
      <x:c r="AU19" s="25" t="n">
        <x:f>SUM($S12:AU12)</x:f>
        <x:v>36</x:v>
      </x:c>
      <x:c r="AV19" s="25" t="n">
        <x:f>SUM($S12:AV12)</x:f>
        <x:v>39</x:v>
      </x:c>
      <x:c r="AW19" s="25" t="n">
        <x:f>SUM($S12:AW12)</x:f>
        <x:v>39</x:v>
      </x:c>
      <x:c r="AX19" s="25" t="n">
        <x:f>SUM($S12:AX12)</x:f>
        <x:v>39</x:v>
      </x:c>
      <x:c r="AY19" s="25" t="n">
        <x:f>SUM($S12:AY12)</x:f>
        <x:v>45</x:v>
      </x:c>
      <x:c r="AZ19" s="25" t="n">
        <x:f>SUM($S12:AZ12)</x:f>
        <x:v>45</x:v>
      </x:c>
      <x:c r="BA19" s="25" t="n">
        <x:f>SUM($S12:BA12)</x:f>
        <x:v>45</x:v>
      </x:c>
      <x:c r="BB19" s="25" t="n">
        <x:f>SUM($S12:BB12)</x:f>
        <x:v>54</x:v>
      </x:c>
    </x:row>
    <x:row r="20" ht="10.5" customHeight="1">
      <x:c r="A20" t="s">
        <x:v>581</x:v>
      </x:c>
      <x:c r="B20" t="s">
        <x:v>568</x:v>
      </x:c>
      <x:c r="C20" t="s">
        <x:v>582</x:v>
      </x:c>
      <x:c r="D20" t="s">
        <x:v>570</x:v>
      </x:c>
      <x:c r="E20" s="226" t="s">
        <x:v>547</x:v>
      </x:c>
      <x:c r="F20" s="236" t="s">
        <x:v>548</x:v>
      </x:c>
      <x:c r="G20" s="25" t="str">
        <x:f>_xlfn.XLOOKUP($F20,MonScale[Escala],MonScale[Valor],"NA",0)</x:f>
        <x:v>NA</x:v>
      </x:c>
      <x:c r="H20" s="250" t="n">
        <x:f>_xlfn.XLOOKUP($E20,TRM[MON],TRM[TRM],"NA",0)</x:f>
        <x:v>1.18</x:v>
      </x:c>
      <x:c r="I20" s="226" t="s">
        <x:v>549</x:v>
      </x:c>
      <x:c r="J20" s="226">
        <x:v>60</x:v>
      </x:c>
      <x:c r="R20" s="175"/>
      <x:c r="S20" s="25" t="n">
        <x:f>SUM($S13:S13)</x:f>
        <x:v>0</x:v>
      </x:c>
      <x:c r="T20" s="25" t="n">
        <x:f>SUM($S13:T13)</x:f>
        <x:v>0</x:v>
      </x:c>
      <x:c r="U20" s="25" t="n">
        <x:f>SUM($S13:U13)</x:f>
        <x:v>0</x:v>
      </x:c>
      <x:c r="V20" s="25" t="n">
        <x:f>SUM($S13:V13)</x:f>
        <x:v>0</x:v>
      </x:c>
      <x:c r="W20" s="25" t="n">
        <x:f>SUM($S13:W13)</x:f>
        <x:v>0</x:v>
      </x:c>
      <x:c r="X20" s="25" t="n">
        <x:f>SUM($S13:X13)</x:f>
        <x:v>2</x:v>
      </x:c>
      <x:c r="Y20" s="25" t="n">
        <x:f>SUM($S13:Y13)</x:f>
        <x:v>2</x:v>
      </x:c>
      <x:c r="Z20" s="25" t="n">
        <x:f>SUM($S13:Z13)</x:f>
        <x:v>2</x:v>
      </x:c>
      <x:c r="AA20" s="25" t="n">
        <x:f>SUM($S13:AA13)</x:f>
        <x:v>4</x:v>
      </x:c>
      <x:c r="AB20" s="25" t="n">
        <x:f>SUM($S13:AB13)</x:f>
        <x:v>4</x:v>
      </x:c>
      <x:c r="AC20" s="25" t="n">
        <x:f>SUM($S13:AC13)</x:f>
        <x:v>4</x:v>
      </x:c>
      <x:c r="AD20" s="25" t="n">
        <x:f>SUM($S13:AD13)</x:f>
        <x:v>6</x:v>
      </x:c>
      <x:c r="AE20" s="25" t="n">
        <x:f>SUM($S13:AE13)</x:f>
        <x:v>6</x:v>
      </x:c>
      <x:c r="AF20" s="25" t="n">
        <x:f>SUM($S13:AF13)</x:f>
        <x:v>6</x:v>
      </x:c>
      <x:c r="AG20" s="25" t="n">
        <x:f>SUM($S13:AG13)</x:f>
        <x:v>6</x:v>
      </x:c>
      <x:c r="AH20" s="25" t="n">
        <x:f>SUM($S13:AH13)</x:f>
        <x:v>6</x:v>
      </x:c>
      <x:c r="AI20" s="25" t="n">
        <x:f>SUM($S13:AI13)</x:f>
        <x:v>6</x:v>
      </x:c>
      <x:c r="AJ20" s="25" t="n">
        <x:f>SUM($S13:AJ13)</x:f>
        <x:v>8</x:v>
      </x:c>
      <x:c r="AK20" s="25" t="n">
        <x:f>SUM($S13:AK13)</x:f>
        <x:v>8</x:v>
      </x:c>
      <x:c r="AL20" s="25" t="n">
        <x:f>SUM($S13:AL13)</x:f>
        <x:v>8</x:v>
      </x:c>
      <x:c r="AM20" s="25" t="n">
        <x:f>SUM($S13:AM13)</x:f>
        <x:v>10</x:v>
      </x:c>
      <x:c r="AN20" s="25" t="n">
        <x:f>SUM($S13:AN13)</x:f>
        <x:v>10</x:v>
      </x:c>
      <x:c r="AO20" s="25" t="n">
        <x:f>SUM($S13:AO13)</x:f>
        <x:v>10</x:v>
      </x:c>
      <x:c r="AP20" s="25" t="n">
        <x:f>SUM($S13:AP13)</x:f>
        <x:v>12</x:v>
      </x:c>
      <x:c r="AQ20" s="25" t="n">
        <x:f>SUM($S13:AQ13)</x:f>
        <x:v>12</x:v>
      </x:c>
      <x:c r="AR20" s="25" t="n">
        <x:f>SUM($S13:AR13)</x:f>
        <x:v>12</x:v>
      </x:c>
      <x:c r="AS20" s="25" t="n">
        <x:f>SUM($S13:AS13)</x:f>
        <x:v>12</x:v>
      </x:c>
      <x:c r="AT20" s="25" t="n">
        <x:f>SUM($S13:AT13)</x:f>
        <x:v>12</x:v>
      </x:c>
      <x:c r="AU20" s="25" t="n">
        <x:f>SUM($S13:AU13)</x:f>
        <x:v>12</x:v>
      </x:c>
      <x:c r="AV20" s="25" t="n">
        <x:f>SUM($S13:AV13)</x:f>
        <x:v>14</x:v>
      </x:c>
      <x:c r="AW20" s="25" t="n">
        <x:f>SUM($S13:AW13)</x:f>
        <x:v>14</x:v>
      </x:c>
      <x:c r="AX20" s="25" t="n">
        <x:f>SUM($S13:AX13)</x:f>
        <x:v>14</x:v>
      </x:c>
      <x:c r="AY20" s="25" t="n">
        <x:f>SUM($S13:AY13)</x:f>
        <x:v>16</x:v>
      </x:c>
      <x:c r="AZ20" s="25" t="n">
        <x:f>SUM($S13:AZ13)</x:f>
        <x:v>16</x:v>
      </x:c>
      <x:c r="BA20" s="25" t="n">
        <x:f>SUM($S13:BA13)</x:f>
        <x:v>16</x:v>
      </x:c>
      <x:c r="BB20" s="25" t="n">
        <x:f>SUM($S13:BB13)</x:f>
        <x:v>18</x:v>
      </x:c>
    </x:row>
    <x:row r="21" ht="10.5" customHeight="1">
      <x:c r="E21" s="201"/>
      <x:c r="F21" s="201"/>
      <x:c r="H21" s="250"/>
      <x:c r="K21" s="238"/>
      <x:c r="L21" s="238"/>
      <x:c r="M21" s="238"/>
      <x:c r="N21" s="238"/>
      <x:c r="O21" s="238"/>
      <x:c r="P21" s="238"/>
      <x:c r="Q21" s="238"/>
      <x:c r="R21" s="175"/>
      <x:c r="S21" s="25"/>
      <x:c r="T21" s="25"/>
      <x:c r="U21" s="25"/>
      <x:c r="V21" s="25"/>
      <x:c r="W21" s="25"/>
      <x:c r="X21" s="25"/>
      <x:c r="Y21" s="25"/>
      <x:c r="Z21" s="25"/>
      <x:c r="AA21" s="25"/>
      <x:c r="AB21" s="25"/>
      <x:c r="AC21" s="25"/>
      <x:c r="AD21" s="25"/>
      <x:c r="AE21" s="25"/>
      <x:c r="AF21" s="25"/>
      <x:c r="AG21" s="25"/>
      <x:c r="AH21" s="25"/>
      <x:c r="AI21" s="25"/>
      <x:c r="AJ21" s="25"/>
      <x:c r="AK21" s="25"/>
      <x:c r="AL21" s="25"/>
      <x:c r="AM21" s="25"/>
      <x:c r="AN21" s="25"/>
      <x:c r="AO21" s="25"/>
      <x:c r="AP21" s="25"/>
      <x:c r="AQ21" s="25"/>
      <x:c r="AR21" s="25"/>
      <x:c r="AS21" s="25"/>
      <x:c r="AT21" s="25"/>
      <x:c r="AU21" s="25"/>
      <x:c r="AV21" s="25"/>
      <x:c r="AW21" s="25"/>
      <x:c r="AX21" s="25"/>
      <x:c r="AY21" s="25"/>
      <x:c r="AZ21" s="25"/>
      <x:c r="BA21" s="25"/>
      <x:c r="BB21" s="25"/>
    </x:row>
    <x:row r="22" ht="10.5" customHeight="1">
      <x:c r="A22" s="170" t="s">
        <x:v>583</x:v>
      </x:c>
      <x:c r="E22" s="201"/>
      <x:c r="F22" s="201"/>
      <x:c r="H22" s="250"/>
      <x:c r="K22" s="238"/>
      <x:c r="L22" s="238"/>
      <x:c r="M22" s="238"/>
      <x:c r="N22" s="238"/>
      <x:c r="O22" s="238"/>
      <x:c r="P22" s="238"/>
      <x:c r="Q22" s="238"/>
      <x:c r="R22" s="175"/>
      <x:c r="S22" s="270" t="s">
        <x:v>583</x:v>
      </x:c>
      <x:c r="T22" s="271"/>
      <x:c r="U22" s="271"/>
      <x:c r="V22" s="271"/>
      <x:c r="W22" s="271"/>
      <x:c r="X22" s="271"/>
      <x:c r="Y22" s="271"/>
      <x:c r="Z22" s="271"/>
      <x:c r="AA22" s="271"/>
      <x:c r="AB22" s="271"/>
      <x:c r="AC22" s="271"/>
      <x:c r="AD22" s="271"/>
      <x:c r="AE22" s="271"/>
      <x:c r="AF22" s="271"/>
      <x:c r="AG22" s="271"/>
      <x:c r="AH22" s="271"/>
      <x:c r="AI22" s="271"/>
      <x:c r="AJ22" s="271"/>
      <x:c r="AK22" s="271"/>
      <x:c r="AL22" s="271"/>
      <x:c r="AM22" s="271"/>
      <x:c r="AN22" s="271"/>
      <x:c r="AO22" s="271"/>
      <x:c r="AP22" s="271"/>
      <x:c r="AQ22" s="271"/>
      <x:c r="AR22" s="271"/>
      <x:c r="AS22" s="271"/>
      <x:c r="AT22" s="271"/>
      <x:c r="AU22" s="271"/>
      <x:c r="AV22" s="271"/>
      <x:c r="AW22" s="271"/>
      <x:c r="AX22" s="271"/>
      <x:c r="AY22" s="271"/>
      <x:c r="AZ22" s="271"/>
      <x:c r="BA22" s="271"/>
      <x:c r="BB22" s="272"/>
    </x:row>
    <x:row r="23" ht="10.5" customHeight="1">
      <x:c r="A23" t="str">
        <x:f t="shared" ref="A23:B26" si="25">A17</x:f>
        <x:v>Planners</x:v>
      </x:c>
      <x:c r="B23" t="str">
        <x:f t="shared" si="25"/>
        <x:v>Admin</x:v>
      </x:c>
      <x:c r="C23" t="str">
        <x:f t="shared" ref="C23:D23" si="26">C17</x:f>
        <x:v>Administrador</x:v>
      </x:c>
      <x:c r="D23" t="str">
        <x:f t="shared" si="26"/>
        <x:v>PP5</x:v>
      </x:c>
      <x:c r="E23" s="201"/>
      <x:c r="F23" s="201"/>
      <x:c r="H23" s="250"/>
      <x:c r="K23" s="238"/>
      <x:c r="L23" s="238"/>
      <x:c r="M23" s="238"/>
      <x:c r="N23" s="238"/>
      <x:c r="O23" s="238"/>
      <x:c r="P23" s="238"/>
      <x:c r="Q23" s="238"/>
      <x:c r="R23" s="175"/>
      <x:c r="S23" s="252" t="e">
        <x:f>_xlfn.XLOOKUP(S17,$K$3:$Q$3,$K9:$Q9,0,-1)*$H9*$G9</x:f>
        <x:v>#VALUE!</x:v>
      </x:c>
      <x:c r="T23" s="252" t="e">
        <x:f t="shared" ref="T23:BB23" si="27">_xlfn.XLOOKUP(T17,$K$3:$Q$3,$K9:$Q9,0,-1)*$H9*$G9</x:f>
        <x:v>#VALUE!</x:v>
      </x:c>
      <x:c r="U23" s="252">
        <x:f t="shared" si="27"/>
        <x:v>70.8</x:v>
      </x:c>
      <x:c r="V23" s="252">
        <x:f t="shared" si="27"/>
        <x:v>70.8</x:v>
      </x:c>
      <x:c r="W23" s="252">
        <x:f t="shared" si="27"/>
        <x:v>70.8</x:v>
      </x:c>
      <x:c r="X23" s="252">
        <x:f t="shared" si="27"/>
        <x:v>70.8</x:v>
      </x:c>
      <x:c r="Y23" s="252">
        <x:f t="shared" si="27"/>
        <x:v>70.8</x:v>
      </x:c>
      <x:c r="Z23" s="252">
        <x:f t="shared" si="27"/>
        <x:v>70.8</x:v>
      </x:c>
      <x:c r="AA23" s="252">
        <x:f t="shared" si="27"/>
        <x:v>70.8</x:v>
      </x:c>
      <x:c r="AB23" s="252">
        <x:f t="shared" si="27"/>
        <x:v>70.8</x:v>
      </x:c>
      <x:c r="AC23" s="252">
        <x:f t="shared" si="27"/>
        <x:v>70.8</x:v>
      </x:c>
      <x:c r="AD23" s="252">
        <x:f t="shared" si="27"/>
        <x:v>70.8</x:v>
      </x:c>
      <x:c r="AE23" s="252">
        <x:f t="shared" si="27"/>
        <x:v>70.8</x:v>
      </x:c>
      <x:c r="AF23" s="252">
        <x:f t="shared" si="27"/>
        <x:v>70.8</x:v>
      </x:c>
      <x:c r="AG23" s="252">
        <x:f t="shared" si="27"/>
        <x:v>70.8</x:v>
      </x:c>
      <x:c r="AH23" s="252">
        <x:f t="shared" si="27"/>
        <x:v>70.8</x:v>
      </x:c>
      <x:c r="AI23" s="252">
        <x:f t="shared" si="27"/>
        <x:v>70.8</x:v>
      </x:c>
      <x:c r="AJ23" s="252">
        <x:f t="shared" si="27"/>
        <x:v>70.8</x:v>
      </x:c>
      <x:c r="AK23" s="252">
        <x:f t="shared" si="27"/>
        <x:v>70.8</x:v>
      </x:c>
      <x:c r="AL23" s="252">
        <x:f t="shared" si="27"/>
        <x:v>70.8</x:v>
      </x:c>
      <x:c r="AM23" s="252">
        <x:f t="shared" si="27"/>
        <x:v>70.8</x:v>
      </x:c>
      <x:c r="AN23" s="252">
        <x:f t="shared" si="27"/>
        <x:v>70.8</x:v>
      </x:c>
      <x:c r="AO23" s="252">
        <x:f t="shared" si="27"/>
        <x:v>70.8</x:v>
      </x:c>
      <x:c r="AP23" s="252">
        <x:f t="shared" si="27"/>
        <x:v>70.8</x:v>
      </x:c>
      <x:c r="AQ23" s="252">
        <x:f t="shared" si="27"/>
        <x:v>63.72</x:v>
      </x:c>
      <x:c r="AR23" s="252">
        <x:f t="shared" si="27"/>
        <x:v>63.72</x:v>
      </x:c>
      <x:c r="AS23" s="252">
        <x:f t="shared" si="27"/>
        <x:v>63.72</x:v>
      </x:c>
      <x:c r="AT23" s="252">
        <x:f t="shared" si="27"/>
        <x:v>63.72</x:v>
      </x:c>
      <x:c r="AU23" s="252">
        <x:f t="shared" si="27"/>
        <x:v>63.72</x:v>
      </x:c>
      <x:c r="AV23" s="252">
        <x:f t="shared" si="27"/>
        <x:v>63.72</x:v>
      </x:c>
      <x:c r="AW23" s="252">
        <x:f t="shared" si="27"/>
        <x:v>63.72</x:v>
      </x:c>
      <x:c r="AX23" s="252">
        <x:f t="shared" si="27"/>
        <x:v>63.72</x:v>
      </x:c>
      <x:c r="AY23" s="252">
        <x:f t="shared" si="27"/>
        <x:v>63.72</x:v>
      </x:c>
      <x:c r="AZ23" s="252">
        <x:f t="shared" si="27"/>
        <x:v>63.72</x:v>
      </x:c>
      <x:c r="BA23" s="252">
        <x:f t="shared" si="27"/>
        <x:v>63.72</x:v>
      </x:c>
      <x:c r="BB23" s="252">
        <x:f t="shared" si="27"/>
        <x:v>63.72</x:v>
      </x:c>
    </x:row>
    <x:row r="24" ht="10.5" customHeight="1">
      <x:c r="A24" t="str">
        <x:f t="shared" si="25"/>
        <x:v>Ing. Senior</x:v>
      </x:c>
      <x:c r="B24" t="str">
        <x:f t="shared" si="25"/>
        <x:v>Project Manager</x:v>
      </x:c>
      <x:c r="C24" t="str">
        <x:f t="shared" ref="C24:D24" si="28">C18</x:f>
        <x:v>Gerente y líder</x:v>
      </x:c>
      <x:c r="D24" t="str">
        <x:f t="shared" si="28"/>
        <x:v>PP3</x:v>
      </x:c>
      <x:c r="E24" s="201"/>
      <x:c r="F24" s="201"/>
      <x:c r="H24" s="250"/>
      <x:c r="K24" s="238"/>
      <x:c r="L24" s="238"/>
      <x:c r="M24" s="238"/>
      <x:c r="N24" s="238"/>
      <x:c r="O24" s="238"/>
      <x:c r="P24" s="238"/>
      <x:c r="Q24" s="238"/>
      <x:c r="R24" s="175"/>
      <x:c r="S24" s="252" t="e">
        <x:f>_xlfn.XLOOKUP(S18,$K$3:$Q$3,$K11:$Q11,0,-1)*$H11*$G11</x:f>
        <x:v>#VALUE!</x:v>
      </x:c>
      <x:c r="T24" s="252" t="e">
        <x:f t="shared" ref="T24:BB24" si="29">_xlfn.XLOOKUP(T18,$K$3:$Q$3,$K11:$Q11,0,-1)*$H11*$G11</x:f>
        <x:v>#VALUE!</x:v>
      </x:c>
      <x:c r="U24" s="252">
        <x:f t="shared" si="29"/>
        <x:v>0</x:v>
      </x:c>
      <x:c r="V24" s="252">
        <x:f t="shared" si="29"/>
        <x:v>47.199999999999996</x:v>
      </x:c>
      <x:c r="W24" s="252">
        <x:f t="shared" si="29"/>
        <x:v>47.199999999999996</x:v>
      </x:c>
      <x:c r="X24" s="252">
        <x:f t="shared" si="29"/>
        <x:v>47.199999999999996</x:v>
      </x:c>
      <x:c r="Y24" s="252">
        <x:f t="shared" si="29"/>
        <x:v>47.199999999999996</x:v>
      </x:c>
      <x:c r="Z24" s="252">
        <x:f t="shared" si="29"/>
        <x:v>47.199999999999996</x:v>
      </x:c>
      <x:c r="AA24" s="252">
        <x:f t="shared" si="29"/>
        <x:v>47.199999999999996</x:v>
      </x:c>
      <x:c r="AB24" s="252">
        <x:f t="shared" si="29"/>
        <x:v>47.199999999999996</x:v>
      </x:c>
      <x:c r="AC24" s="252">
        <x:f t="shared" si="29"/>
        <x:v>47.199999999999996</x:v>
      </x:c>
      <x:c r="AD24" s="252">
        <x:f t="shared" si="29"/>
        <x:v>47.199999999999996</x:v>
      </x:c>
      <x:c r="AE24" s="252">
        <x:f t="shared" si="29"/>
        <x:v>47.199999999999996</x:v>
      </x:c>
      <x:c r="AF24" s="252">
        <x:f t="shared" si="29"/>
        <x:v>47.199999999999996</x:v>
      </x:c>
      <x:c r="AG24" s="252">
        <x:f t="shared" si="29"/>
        <x:v>47.199999999999996</x:v>
      </x:c>
      <x:c r="AH24" s="252">
        <x:f t="shared" si="29"/>
        <x:v>47.199999999999996</x:v>
      </x:c>
      <x:c r="AI24" s="252">
        <x:f t="shared" si="29"/>
        <x:v>47.199999999999996</x:v>
      </x:c>
      <x:c r="AJ24" s="252">
        <x:f t="shared" si="29"/>
        <x:v>47.199999999999996</x:v>
      </x:c>
      <x:c r="AK24" s="252">
        <x:f t="shared" si="29"/>
        <x:v>47.199999999999996</x:v>
      </x:c>
      <x:c r="AL24" s="252">
        <x:f t="shared" si="29"/>
        <x:v>47.199999999999996</x:v>
      </x:c>
      <x:c r="AM24" s="252">
        <x:f t="shared" si="29"/>
        <x:v>47.199999999999996</x:v>
      </x:c>
      <x:c r="AN24" s="252">
        <x:f t="shared" si="29"/>
        <x:v>41.3</x:v>
      </x:c>
      <x:c r="AO24" s="252">
        <x:f t="shared" si="29"/>
        <x:v>41.3</x:v>
      </x:c>
      <x:c r="AP24" s="252">
        <x:f t="shared" si="29"/>
        <x:v>41.3</x:v>
      </x:c>
      <x:c r="AQ24" s="252">
        <x:f t="shared" si="29"/>
        <x:v>41.3</x:v>
      </x:c>
      <x:c r="AR24" s="252">
        <x:f t="shared" si="29"/>
        <x:v>41.3</x:v>
      </x:c>
      <x:c r="AS24" s="252">
        <x:f t="shared" si="29"/>
        <x:v>41.3</x:v>
      </x:c>
      <x:c r="AT24" s="252">
        <x:f t="shared" si="29"/>
        <x:v>41.3</x:v>
      </x:c>
      <x:c r="AU24" s="252">
        <x:f t="shared" si="29"/>
        <x:v>41.3</x:v>
      </x:c>
      <x:c r="AV24" s="252">
        <x:f t="shared" si="29"/>
        <x:v>41.3</x:v>
      </x:c>
      <x:c r="AW24" s="252">
        <x:f t="shared" si="29"/>
        <x:v>41.3</x:v>
      </x:c>
      <x:c r="AX24" s="252">
        <x:f t="shared" si="29"/>
        <x:v>41.3</x:v>
      </x:c>
      <x:c r="AY24" s="252">
        <x:f t="shared" si="29"/>
        <x:v>41.3</x:v>
      </x:c>
      <x:c r="AZ24" s="252">
        <x:f t="shared" si="29"/>
        <x:v>41.3</x:v>
      </x:c>
      <x:c r="BA24" s="252">
        <x:f t="shared" si="29"/>
        <x:v>41.3</x:v>
      </x:c>
      <x:c r="BB24" s="252">
        <x:f t="shared" si="29"/>
        <x:v>41.3</x:v>
      </x:c>
    </x:row>
    <x:row r="25" ht="10.5" customHeight="1">
      <x:c r="A25" t="str">
        <x:f t="shared" si="25"/>
        <x:v>Ing. y Analista</x:v>
      </x:c>
      <x:c r="B25" t="str">
        <x:f t="shared" si="25"/>
        <x:v>Team Member</x:v>
      </x:c>
      <x:c r="C25" t="str">
        <x:f t="shared" ref="C25:D25" si="30">C19</x:f>
        <x:v>Equipo de trabajo</x:v>
      </x:c>
      <x:c r="D25" t="str">
        <x:f t="shared" si="30"/>
        <x:v>PP1</x:v>
      </x:c>
      <x:c r="E25" s="201"/>
      <x:c r="F25" s="201"/>
      <x:c r="H25" s="250"/>
      <x:c r="K25" s="238"/>
      <x:c r="L25" s="238"/>
      <x:c r="M25" s="238"/>
      <x:c r="N25" s="238"/>
      <x:c r="O25" s="238"/>
      <x:c r="P25" s="238"/>
      <x:c r="Q25" s="238"/>
      <x:c r="R25" s="175"/>
      <x:c r="S25" s="252" t="e">
        <x:f>_xlfn.XLOOKUP(S19,$K$3:$Q$3,$K12:$Q12,0,-1)*$H12*$G12</x:f>
        <x:v>#VALUE!</x:v>
      </x:c>
      <x:c r="T25" s="252" t="e">
        <x:f t="shared" ref="T25:BB25" si="31">_xlfn.XLOOKUP(T19,$K$3:$Q$3,$K12:$Q12,0,-1)*$H12*$G12</x:f>
        <x:v>#VALUE!</x:v>
      </x:c>
      <x:c r="U25" s="252">
        <x:f t="shared" si="31"/>
        <x:v>0</x:v>
      </x:c>
      <x:c r="V25" s="252">
        <x:f t="shared" si="31"/>
        <x:v>0</x:v>
      </x:c>
      <x:c r="W25" s="252">
        <x:f t="shared" si="31"/>
        <x:v>0</x:v>
      </x:c>
      <x:c r="X25" s="252">
        <x:f t="shared" si="31"/>
        <x:v>35.4</x:v>
      </x:c>
      <x:c r="Y25" s="252">
        <x:f t="shared" si="31"/>
        <x:v>35.4</x:v>
      </x:c>
      <x:c r="Z25" s="252">
        <x:f t="shared" si="31"/>
        <x:v>35.4</x:v>
      </x:c>
      <x:c r="AA25" s="252">
        <x:f t="shared" si="31"/>
        <x:v>35.4</x:v>
      </x:c>
      <x:c r="AB25" s="252">
        <x:f t="shared" si="31"/>
        <x:v>35.4</x:v>
      </x:c>
      <x:c r="AC25" s="252">
        <x:f t="shared" si="31"/>
        <x:v>35.4</x:v>
      </x:c>
      <x:c r="AD25" s="252">
        <x:f t="shared" si="31"/>
        <x:v>30.68</x:v>
      </x:c>
      <x:c r="AE25" s="252">
        <x:f t="shared" si="31"/>
        <x:v>30.68</x:v>
      </x:c>
      <x:c r="AF25" s="252">
        <x:f t="shared" si="31"/>
        <x:v>30.68</x:v>
      </x:c>
      <x:c r="AG25" s="252">
        <x:f t="shared" si="31"/>
        <x:v>30.68</x:v>
      </x:c>
      <x:c r="AH25" s="252">
        <x:f t="shared" si="31"/>
        <x:v>30.68</x:v>
      </x:c>
      <x:c r="AI25" s="252">
        <x:f t="shared" si="31"/>
        <x:v>30.68</x:v>
      </x:c>
      <x:c r="AJ25" s="252">
        <x:f t="shared" si="31"/>
        <x:v>30.68</x:v>
      </x:c>
      <x:c r="AK25" s="252">
        <x:f t="shared" si="31"/>
        <x:v>30.68</x:v>
      </x:c>
      <x:c r="AL25" s="252">
        <x:f t="shared" si="31"/>
        <x:v>30.68</x:v>
      </x:c>
      <x:c r="AM25" s="252">
        <x:f t="shared" si="31"/>
        <x:v>30.68</x:v>
      </x:c>
      <x:c r="AN25" s="252">
        <x:f t="shared" si="31"/>
        <x:v>30.68</x:v>
      </x:c>
      <x:c r="AO25" s="252">
        <x:f t="shared" si="31"/>
        <x:v>30.68</x:v>
      </x:c>
      <x:c r="AP25" s="252">
        <x:f t="shared" si="31"/>
        <x:v>25.959999999999997</x:v>
      </x:c>
      <x:c r="AQ25" s="252">
        <x:f t="shared" si="31"/>
        <x:v>25.959999999999997</x:v>
      </x:c>
      <x:c r="AR25" s="252">
        <x:f t="shared" si="31"/>
        <x:v>25.959999999999997</x:v>
      </x:c>
      <x:c r="AS25" s="252">
        <x:f t="shared" si="31"/>
        <x:v>25.959999999999997</x:v>
      </x:c>
      <x:c r="AT25" s="252">
        <x:f t="shared" si="31"/>
        <x:v>25.959999999999997</x:v>
      </x:c>
      <x:c r="AU25" s="252">
        <x:f t="shared" si="31"/>
        <x:v>25.959999999999997</x:v>
      </x:c>
      <x:c r="AV25" s="252">
        <x:f t="shared" si="31"/>
        <x:v>25.959999999999997</x:v>
      </x:c>
      <x:c r="AW25" s="252">
        <x:f t="shared" si="31"/>
        <x:v>25.959999999999997</x:v>
      </x:c>
      <x:c r="AX25" s="252">
        <x:f t="shared" si="31"/>
        <x:v>25.959999999999997</x:v>
      </x:c>
      <x:c r="AY25" s="252">
        <x:f t="shared" si="31"/>
        <x:v>25.959999999999997</x:v>
      </x:c>
      <x:c r="AZ25" s="252">
        <x:f t="shared" si="31"/>
        <x:v>25.959999999999997</x:v>
      </x:c>
      <x:c r="BA25" s="252">
        <x:f t="shared" si="31"/>
        <x:v>25.959999999999997</x:v>
      </x:c>
      <x:c r="BB25" s="252">
        <x:f t="shared" si="31"/>
        <x:v>21.24</x:v>
      </x:c>
    </x:row>
    <x:row r="26" ht="10.5" customHeight="1">
      <x:c r="A26" t="str">
        <x:f t="shared" si="25"/>
        <x:v>Interesado</x:v>
      </x:c>
      <x:c r="B26" t="str">
        <x:f t="shared" si="25"/>
        <x:v>Viewer / Stakeholder</x:v>
      </x:c>
      <x:c r="C26" t="str">
        <x:f t="shared" ref="C26:D26" si="32">C20</x:f>
        <x:v>Visualizador</x:v>
      </x:c>
      <x:c r="D26" t="str">
        <x:f t="shared" si="32"/>
        <x:v>PP0</x:v>
      </x:c>
      <x:c r="E26" s="201"/>
      <x:c r="F26" s="201"/>
      <x:c r="H26" s="250"/>
      <x:c r="K26" s="238"/>
      <x:c r="L26" s="238"/>
      <x:c r="M26" s="238"/>
      <x:c r="N26" s="238"/>
      <x:c r="O26" s="238"/>
      <x:c r="P26" s="238"/>
      <x:c r="Q26" s="238"/>
      <x:c r="R26" s="175"/>
      <x:c r="S26" s="252" t="e">
        <x:f>_xlfn.XLOOKUP(S20,$K$3:$Q$3,$K13:$Q13,0,-1)*$H13*$G13</x:f>
        <x:v>#VALUE!</x:v>
      </x:c>
      <x:c r="T26" s="252" t="e">
        <x:f t="shared" ref="T26:BB26" si="33">_xlfn.XLOOKUP(T20,$K$3:$Q$3,$K13:$Q13,0,-1)*$H13*$G13</x:f>
        <x:v>#VALUE!</x:v>
      </x:c>
      <x:c r="U26" s="252">
        <x:f t="shared" si="33"/>
        <x:v>0</x:v>
      </x:c>
      <x:c r="V26" s="252">
        <x:f t="shared" si="33"/>
        <x:v>0</x:v>
      </x:c>
      <x:c r="W26" s="252">
        <x:f t="shared" si="33"/>
        <x:v>0</x:v>
      </x:c>
      <x:c r="X26" s="252">
        <x:f t="shared" si="33"/>
        <x:v>0</x:v>
      </x:c>
      <x:c r="Y26" s="252">
        <x:f t="shared" si="33"/>
        <x:v>0</x:v>
      </x:c>
      <x:c r="Z26" s="252">
        <x:f t="shared" si="33"/>
        <x:v>0</x:v>
      </x:c>
      <x:c r="AA26" s="252">
        <x:f t="shared" si="33"/>
        <x:v>0</x:v>
      </x:c>
      <x:c r="AB26" s="252">
        <x:f t="shared" si="33"/>
        <x:v>0</x:v>
      </x:c>
      <x:c r="AC26" s="252">
        <x:f t="shared" si="33"/>
        <x:v>0</x:v>
      </x:c>
      <x:c r="AD26" s="252">
        <x:f t="shared" si="33"/>
        <x:v>0</x:v>
      </x:c>
      <x:c r="AE26" s="252">
        <x:f t="shared" si="33"/>
        <x:v>0</x:v>
      </x:c>
      <x:c r="AF26" s="252">
        <x:f t="shared" si="33"/>
        <x:v>0</x:v>
      </x:c>
      <x:c r="AG26" s="252">
        <x:f t="shared" si="33"/>
        <x:v>0</x:v>
      </x:c>
      <x:c r="AH26" s="252">
        <x:f t="shared" si="33"/>
        <x:v>0</x:v>
      </x:c>
      <x:c r="AI26" s="252">
        <x:f t="shared" si="33"/>
        <x:v>0</x:v>
      </x:c>
      <x:c r="AJ26" s="252">
        <x:f t="shared" si="33"/>
        <x:v>0</x:v>
      </x:c>
      <x:c r="AK26" s="252">
        <x:f t="shared" si="33"/>
        <x:v>0</x:v>
      </x:c>
      <x:c r="AL26" s="252">
        <x:f t="shared" si="33"/>
        <x:v>0</x:v>
      </x:c>
      <x:c r="AM26" s="252">
        <x:f t="shared" si="33"/>
        <x:v>0</x:v>
      </x:c>
      <x:c r="AN26" s="252">
        <x:f t="shared" si="33"/>
        <x:v>0</x:v>
      </x:c>
      <x:c r="AO26" s="252">
        <x:f t="shared" si="33"/>
        <x:v>0</x:v>
      </x:c>
      <x:c r="AP26" s="252">
        <x:f t="shared" si="33"/>
        <x:v>0</x:v>
      </x:c>
      <x:c r="AQ26" s="252">
        <x:f t="shared" si="33"/>
        <x:v>0</x:v>
      </x:c>
      <x:c r="AR26" s="252">
        <x:f t="shared" si="33"/>
        <x:v>0</x:v>
      </x:c>
      <x:c r="AS26" s="252">
        <x:f t="shared" si="33"/>
        <x:v>0</x:v>
      </x:c>
      <x:c r="AT26" s="252">
        <x:f t="shared" si="33"/>
        <x:v>0</x:v>
      </x:c>
      <x:c r="AU26" s="252">
        <x:f t="shared" si="33"/>
        <x:v>0</x:v>
      </x:c>
      <x:c r="AV26" s="252">
        <x:f t="shared" si="33"/>
        <x:v>0</x:v>
      </x:c>
      <x:c r="AW26" s="252">
        <x:f t="shared" si="33"/>
        <x:v>0</x:v>
      </x:c>
      <x:c r="AX26" s="252">
        <x:f t="shared" si="33"/>
        <x:v>0</x:v>
      </x:c>
      <x:c r="AY26" s="252">
        <x:f t="shared" si="33"/>
        <x:v>0</x:v>
      </x:c>
      <x:c r="AZ26" s="252">
        <x:f t="shared" si="33"/>
        <x:v>0</x:v>
      </x:c>
      <x:c r="BA26" s="252">
        <x:f t="shared" si="33"/>
        <x:v>0</x:v>
      </x:c>
      <x:c r="BB26" s="252">
        <x:f t="shared" si="33"/>
        <x:v>0</x:v>
      </x:c>
    </x:row>
    <x:row r="27" ht="10.5" customHeight="1">
      <x:c r="E27" s="201"/>
      <x:c r="F27" s="201"/>
      <x:c r="H27" s="250"/>
      <x:c r="K27" s="238"/>
      <x:c r="L27" s="238"/>
      <x:c r="M27" s="238"/>
      <x:c r="N27" s="238"/>
      <x:c r="O27" s="238"/>
      <x:c r="P27" s="238"/>
      <x:c r="Q27" s="238"/>
      <x:c r="R27" s="175"/>
      <x:c r="S27" s="25"/>
      <x:c r="T27" s="25"/>
      <x:c r="U27" s="25"/>
      <x:c r="V27" s="25"/>
      <x:c r="W27" s="25"/>
      <x:c r="X27" s="25"/>
      <x:c r="Y27" s="25"/>
      <x:c r="Z27" s="25"/>
      <x:c r="AA27" s="25"/>
      <x:c r="AB27" s="25"/>
      <x:c r="AC27" s="25"/>
      <x:c r="AD27" s="25"/>
      <x:c r="AE27" s="25"/>
      <x:c r="AF27" s="25"/>
      <x:c r="AG27" s="25"/>
      <x:c r="AH27" s="25"/>
      <x:c r="AI27" s="25"/>
      <x:c r="AJ27" s="25"/>
      <x:c r="AK27" s="25"/>
      <x:c r="AL27" s="25"/>
      <x:c r="AM27" s="25"/>
      <x:c r="AN27" s="25"/>
      <x:c r="AO27" s="25"/>
      <x:c r="AP27" s="25"/>
      <x:c r="AQ27" s="25"/>
      <x:c r="AR27" s="25"/>
      <x:c r="AS27" s="25"/>
      <x:c r="AT27" s="25"/>
      <x:c r="AU27" s="25"/>
      <x:c r="AV27" s="25"/>
      <x:c r="AW27" s="25"/>
      <x:c r="AX27" s="25"/>
      <x:c r="AY27" s="25"/>
      <x:c r="AZ27" s="25"/>
      <x:c r="BA27" s="25"/>
      <x:c r="BB27" s="25"/>
    </x:row>
    <x:row r="28" ht="10.5" customHeight="1">
      <x:c r="E28" s="201"/>
      <x:c r="F28" s="201"/>
      <x:c r="H28" s="250"/>
      <x:c r="K28" s="238"/>
      <x:c r="L28" s="238"/>
      <x:c r="M28" s="238"/>
      <x:c r="N28" s="238"/>
      <x:c r="O28" s="238"/>
      <x:c r="P28" s="238"/>
      <x:c r="Q28" s="238"/>
      <x:c r="R28" s="175"/>
      <x:c r="S28" s="25"/>
      <x:c r="T28" s="25"/>
      <x:c r="U28" s="25"/>
      <x:c r="V28" s="25"/>
      <x:c r="W28" s="25"/>
      <x:c r="X28" s="25"/>
      <x:c r="Y28" s="25"/>
      <x:c r="Z28" s="25"/>
      <x:c r="AA28" s="25"/>
      <x:c r="AB28" s="25"/>
      <x:c r="AC28" s="25"/>
      <x:c r="AD28" s="25"/>
      <x:c r="AE28" s="25"/>
      <x:c r="AF28" s="25"/>
      <x:c r="AG28" s="25"/>
      <x:c r="AH28" s="25"/>
      <x:c r="AI28" s="25"/>
      <x:c r="AJ28" s="25"/>
      <x:c r="AK28" s="25"/>
      <x:c r="AL28" s="25"/>
      <x:c r="AM28" s="25"/>
      <x:c r="AN28" s="25"/>
      <x:c r="AO28" s="25"/>
      <x:c r="AP28" s="25"/>
      <x:c r="AQ28" s="25"/>
      <x:c r="AR28" s="25"/>
      <x:c r="AS28" s="25"/>
      <x:c r="AT28" s="25"/>
      <x:c r="AU28" s="25"/>
      <x:c r="AV28" s="25"/>
      <x:c r="AW28" s="25"/>
      <x:c r="AX28" s="25"/>
      <x:c r="AY28" s="25"/>
      <x:c r="AZ28" s="25"/>
      <x:c r="BA28" s="25"/>
      <x:c r="BB28" s="25"/>
    </x:row>
    <x:row r="29" ht="10.5" customHeight="1">
      <x:c r="C29" s="242"/>
      <x:c r="F29" s="201"/>
      <x:c r="K29" s="175"/>
      <x:c r="L29" s="175"/>
      <x:c r="M29" s="175"/>
      <x:c r="N29" s="175"/>
      <x:c r="O29" s="175"/>
      <x:c r="P29" s="175"/>
      <x:c r="Q29" s="175"/>
      <x:c r="R29" s="175"/>
    </x:row>
    <x:row r="30">
      <x:c r="A30" s="13" t="s">
        <x:v>584</x:v>
      </x:c>
      <x:c r="C30" s="231"/>
      <x:c r="E30" s="201" t="s">
        <x:v>585</x:v>
      </x:c>
      <x:c r="K30" s="175"/>
      <x:c r="L30" s="175"/>
      <x:c r="M30" s="175"/>
      <x:c r="N30" s="175"/>
      <x:c r="O30" s="175"/>
      <x:c r="P30" s="175"/>
      <x:c r="Q30" s="175"/>
      <x:c r="R30" s="235" t="s">
        <x:v>585</x:v>
      </x:c>
      <x:c r="S30" s="259" t="e">
        <x:f>SUMPRODUCT(S17:S20,S23:S26)</x:f>
        <x:v>#VALUE!</x:v>
      </x:c>
      <x:c r="T30" s="259" t="e">
        <x:f t="shared" ref="T30:BB30" si="34">SUMPRODUCT(T17:T20,T23:T26)</x:f>
        <x:v>#VALUE!</x:v>
      </x:c>
      <x:c r="U30" s="259">
        <x:f t="shared" si="34"/>
        <x:v>354</x:v>
      </x:c>
      <x:c r="V30" s="259">
        <x:f t="shared" si="34"/>
        <x:v>401.2</x:v>
      </x:c>
      <x:c r="W30" s="259">
        <x:f t="shared" si="34"/>
        <x:v>448.4</x:v>
      </x:c>
      <x:c r="X30" s="259">
        <x:f t="shared" si="34"/>
        <x:v>554.59999999999991</x:v>
      </x:c>
      <x:c r="Y30" s="259">
        <x:f t="shared" si="34"/>
        <x:v>601.79999999999995</x:v>
      </x:c>
      <x:c r="Z30" s="259">
        <x:f t="shared" si="34"/>
        <x:v>649</x:v>
      </x:c>
      <x:c r="AA30" s="259">
        <x:f t="shared" si="34"/>
        <x:v>861.39999999999986</x:v>
      </x:c>
      <x:c r="AB30" s="259">
        <x:f t="shared" si="34"/>
        <x:v>908.59999999999991</x:v>
      </x:c>
      <x:c r="AC30" s="259">
        <x:f t="shared" si="34"/>
        <x:v>955.8</x:v>
      </x:c>
      <x:c r="AD30" s="259">
        <x:f t="shared" si="34"/>
        <x:v>1189.44</x:v>
      </x:c>
      <x:c r="AE30" s="259">
        <x:f t="shared" si="34"/>
        <x:v>1401.84</x:v>
      </x:c>
      <x:c r="AF30" s="259">
        <x:f t="shared" si="34"/>
        <x:v>1472.6399999999999</x:v>
      </x:c>
      <x:c r="AG30" s="259">
        <x:f t="shared" si="34"/>
        <x:v>1543.44</x:v>
      </x:c>
      <x:c r="AH30" s="259">
        <x:f t="shared" si="34"/>
        <x:v>1590.64</x:v>
      </x:c>
      <x:c r="AI30" s="259">
        <x:f t="shared" si="34"/>
        <x:v>1637.84</x:v>
      </x:c>
      <x:c r="AJ30" s="259">
        <x:f t="shared" si="34"/>
        <x:v>1729.8799999999999</x:v>
      </x:c>
      <x:c r="AK30" s="259">
        <x:f t="shared" si="34"/>
        <x:v>1777.08</x:v>
      </x:c>
      <x:c r="AL30" s="259">
        <x:f t="shared" si="34"/>
        <x:v>1824.28</x:v>
      </x:c>
      <x:c r="AM30" s="259">
        <x:f t="shared" si="34"/>
        <x:v>2008.3600000000001</x:v>
      </x:c>
      <x:c r="AN30" s="259">
        <x:f t="shared" si="34"/>
        <x:v>1990.6599999999999</x:v>
      </x:c>
      <x:c r="AO30" s="259">
        <x:f t="shared" si="34"/>
        <x:v>2031.96</x:v>
      </x:c>
      <x:c r="AP30" s="259">
        <x:f t="shared" si="34"/>
        <x:v>2138.16</x:v>
      </x:c>
      <x:c r="AQ30" s="259">
        <x:f t="shared" si="34"/>
        <x:v>2258.52</x:v>
      </x:c>
      <x:c r="AR30" s="259">
        <x:f t="shared" si="34"/>
        <x:v>2322.2399999999998</x:v>
      </x:c>
      <x:c r="AS30" s="259">
        <x:f t="shared" si="34"/>
        <x:v>2385.96</x:v>
      </x:c>
      <x:c r="AT30" s="259">
        <x:f t="shared" si="34"/>
        <x:v>2427.2599999999998</x:v>
      </x:c>
      <x:c r="AU30" s="259">
        <x:f t="shared" si="34"/>
        <x:v>2468.56</x:v>
      </x:c>
      <x:c r="AV30" s="259">
        <x:f t="shared" si="34"/>
        <x:v>2546.44</x:v>
      </x:c>
      <x:c r="AW30" s="259">
        <x:f t="shared" si="34"/>
        <x:v>2587.7399999999998</x:v>
      </x:c>
      <x:c r="AX30" s="259">
        <x:f t="shared" si="34"/>
        <x:v>2629.04</x:v>
      </x:c>
      <x:c r="AY30" s="259">
        <x:f t="shared" si="34"/>
        <x:v>2784.7999999999997</x:v>
      </x:c>
      <x:c r="AZ30" s="259">
        <x:f t="shared" si="34"/>
        <x:v>2826.0999999999995</x:v>
      </x:c>
      <x:c r="BA30" s="259">
        <x:f t="shared" si="34"/>
        <x:v>2867.3999999999996</x:v>
      </x:c>
      <x:c r="BB30" s="259">
        <x:f t="shared" si="34"/>
        <x:v>2846.16</x:v>
      </x:c>
      <x:c r="BC30" s="259" t="e">
        <x:f>SUM(R30:BB30)</x:f>
        <x:v>#VALUE!</x:v>
      </x:c>
    </x:row>
    <x:row r="31">
      <x:c r="K31" s="175"/>
      <x:c r="L31" s="175"/>
      <x:c r="M31" s="175"/>
      <x:c r="N31" s="175"/>
      <x:c r="O31" s="175"/>
      <x:c r="P31" s="175"/>
      <x:c r="Q31" s="175"/>
    </x:row>
    <x:row r="32" ht="24">
      <x:c r="E32" s="202" t="s">
        <x:v>530</x:v>
      </x:c>
      <x:c r="F32" s="202" t="s">
        <x:v>531</x:v>
      </x:c>
      <x:c r="I32" s="202" t="s">
        <x:v>586</x:v>
      </x:c>
      <x:c r="J32" s="202" t="s">
        <x:v>535</x:v>
      </x:c>
      <x:c r="K32" s="175"/>
      <x:c r="L32" s="175"/>
      <x:c r="M32" s="175"/>
      <x:c r="N32" s="175"/>
      <x:c r="O32" s="175"/>
      <x:c r="P32" s="175"/>
      <x:c r="Q32" s="175"/>
      <x:c r="S32" s="230" t="s">
        <x:v>587</x:v>
      </x:c>
      <x:c r="T32" s="206"/>
      <x:c r="U32" s="206"/>
      <x:c r="V32" s="206"/>
      <x:c r="W32" s="206"/>
      <x:c r="X32" s="206"/>
      <x:c r="Y32" s="206"/>
      <x:c r="Z32" s="206"/>
      <x:c r="AA32" s="206"/>
      <x:c r="AB32" s="206"/>
      <x:c r="AC32" s="206"/>
      <x:c r="AD32" s="206"/>
      <x:c r="AE32" s="206"/>
      <x:c r="AF32" s="206"/>
      <x:c r="AG32" s="206"/>
      <x:c r="AH32" s="206"/>
      <x:c r="AI32" s="206"/>
      <x:c r="AJ32" s="206"/>
      <x:c r="AK32" s="206"/>
      <x:c r="AL32" s="206"/>
      <x:c r="AM32" s="206"/>
      <x:c r="AN32" s="206"/>
      <x:c r="AO32" s="206"/>
      <x:c r="AP32" s="206"/>
      <x:c r="AQ32" s="206"/>
      <x:c r="AR32" s="206"/>
      <x:c r="AS32" s="206"/>
      <x:c r="AT32" s="206"/>
      <x:c r="AU32" s="206"/>
      <x:c r="AV32" s="206"/>
      <x:c r="AW32" s="206"/>
      <x:c r="AX32" s="206"/>
      <x:c r="AY32" s="206"/>
      <x:c r="AZ32" s="206"/>
      <x:c r="BA32" s="206"/>
      <x:c r="BB32" s="206"/>
      <x:c r="BC32" s="259" t="n">
        <x:f>SUM(BC33:BC41)</x:f>
        <x:v>72030.14208333334</x:v>
      </x:c>
    </x:row>
    <x:row r="33">
      <x:c r="K33" s="175"/>
      <x:c r="L33" s="175"/>
      <x:c r="M33" s="175"/>
      <x:c r="N33" s="175"/>
      <x:c r="O33" s="175"/>
      <x:c r="P33" s="175"/>
      <x:c r="Q33" s="175"/>
      <x:c r="S33" s="177"/>
      <x:c r="T33" s="177"/>
      <x:c r="U33" s="177"/>
      <x:c r="V33" s="177"/>
    </x:row>
    <x:row r="34" s="66" customFormat="1">
      <x:c r="S34" s="66">
        <x:v>0.25</x:v>
      </x:c>
      <x:c r="T34" s="66">
        <x:v>0.25</x:v>
      </x:c>
      <x:c r="U34" s="66">
        <x:v>0.25</x:v>
      </x:c>
      <x:c r="V34" s="66">
        <x:v>0.25</x:v>
      </x:c>
    </x:row>
    <x:row r="35">
      <x:c r="A35" t="s">
        <x:v>588</x:v>
      </x:c>
      <x:c r="C35" s="198" t="s">
        <x:v>589</x:v>
      </x:c>
      <x:c r="E35" s="226" t="s">
        <x:v>590</x:v>
      </x:c>
      <x:c r="F35" s="236" t="s">
        <x:v>591</x:v>
      </x:c>
      <x:c r="G35" s="25" t="n">
        <x:f>_xlfn.XLOOKUP($F35,MonScale[Escala],MonScale[Valor],"NA",0)</x:f>
        <x:v>1000000</x:v>
      </x:c>
      <x:c r="H35" s="250" t="n">
        <x:f>_xlfn.XLOOKUP($E35,TRM[MON],TRM[TRM],"NA",0)</x:f>
        <x:v>0.00025</x:v>
      </x:c>
      <x:c r="I35" s="227" t="s">
        <x:v>592</x:v>
      </x:c>
      <x:c r="J35" s="227">
        <x:v>60</x:v>
      </x:c>
      <x:c r="K35" s="307" t="n">
        <x:f>80405740/1000000</x:f>
        <x:v>80.40574</x:v>
      </x:c>
      <x:c r="L35" s="308"/>
      <x:c r="M35" s="175"/>
      <x:c r="N35" s="175"/>
      <x:c r="O35" s="175"/>
      <x:c r="P35" s="175"/>
      <x:c r="Q35" s="175"/>
      <x:c r="R35" s="235" t="s">
        <x:v>585</x:v>
      </x:c>
      <x:c r="S35" s="259" t="n">
        <x:f>$K35*S34*$G35*$H35</x:f>
        <x:v>5025.35875</x:v>
      </x:c>
      <x:c r="T35" s="259" t="n">
        <x:f t="shared" ref="T35:V35" si="35">$K35*T34*$G35*$H35</x:f>
        <x:v>5025.35875</x:v>
      </x:c>
      <x:c r="U35" s="259">
        <x:f t="shared" si="35"/>
        <x:v>5025.3587500000003</x:v>
      </x:c>
      <x:c r="V35" s="259">
        <x:f t="shared" si="35"/>
        <x:v>5025.3587500000003</x:v>
      </x:c>
      <x:c r="W35" s="232"/>
      <x:c r="X35" s="232"/>
      <x:c r="Y35" s="232"/>
      <x:c r="Z35" s="232"/>
      <x:c r="AA35" s="232"/>
      <x:c r="AB35" s="232"/>
      <x:c r="AC35" s="232"/>
      <x:c r="AD35" s="232"/>
      <x:c r="AE35" s="232"/>
      <x:c r="AF35" s="232"/>
      <x:c r="AG35" s="232"/>
      <x:c r="AH35" s="232"/>
      <x:c r="AI35" s="232"/>
      <x:c r="AJ35" s="232"/>
      <x:c r="AK35" s="232"/>
      <x:c r="AL35" s="232"/>
      <x:c r="AM35" s="232"/>
      <x:c r="AN35" s="232"/>
      <x:c r="AO35" s="232"/>
      <x:c r="AP35" s="232"/>
      <x:c r="AQ35" s="232"/>
      <x:c r="AR35" s="232"/>
      <x:c r="AS35" s="232"/>
      <x:c r="AT35" s="232"/>
      <x:c r="AU35" s="232"/>
      <x:c r="AV35" s="232"/>
      <x:c r="AW35" s="232"/>
      <x:c r="AX35" s="232"/>
      <x:c r="AY35" s="232"/>
      <x:c r="AZ35" s="232"/>
      <x:c r="BA35" s="232"/>
      <x:c r="BB35" s="232"/>
      <x:c r="BC35" s="259" t="n">
        <x:f>SUM(R35:BB35)</x:f>
        <x:v>20101.435</x:v>
      </x:c>
    </x:row>
    <x:row r="36">
      <x:c r="K36" s="175"/>
      <x:c r="L36" s="175"/>
      <x:c r="M36" s="175"/>
      <x:c r="N36" s="175"/>
      <x:c r="O36" s="175"/>
      <x:c r="P36" s="175"/>
      <x:c r="Q36" s="175"/>
    </x:row>
    <x:row r="37" s="66" customFormat="1">
      <x:c r="W37" s="66" t="n">
        <x:f>1/6</x:f>
        <x:v>0.16666666666666666</x:v>
      </x:c>
      <x:c r="X37" s="66" t="n">
        <x:f t="shared" ref="X37:AB37" si="36">1/6</x:f>
        <x:v>0.16666666666666666</x:v>
      </x:c>
      <x:c r="Y37" s="66">
        <x:f t="shared" si="36"/>
        <x:v>0.16666666666666666</x:v>
      </x:c>
      <x:c r="Z37" s="66">
        <x:f t="shared" si="36"/>
        <x:v>0.16666666666666666</x:v>
      </x:c>
      <x:c r="AA37" s="66">
        <x:f t="shared" si="36"/>
        <x:v>0.16666666666666666</x:v>
      </x:c>
      <x:c r="AB37" s="66">
        <x:f t="shared" si="36"/>
        <x:v>0.16666666666666666</x:v>
      </x:c>
    </x:row>
    <x:row r="38">
      <x:c r="A38" t="s">
        <x:v>593</x:v>
      </x:c>
      <x:c r="C38" s="198" t="s">
        <x:v>589</x:v>
      </x:c>
      <x:c r="E38" s="226" t="s">
        <x:v>590</x:v>
      </x:c>
      <x:c r="F38" s="236" t="s">
        <x:v>591</x:v>
      </x:c>
      <x:c r="G38" s="25" t="n">
        <x:f>_xlfn.XLOOKUP($F38,MonScale[Escala],MonScale[Valor],"NA",0)</x:f>
        <x:v>1000000</x:v>
      </x:c>
      <x:c r="H38" s="250" t="n">
        <x:f>_xlfn.XLOOKUP($E38,TRM[MON],TRM[TRM],"NA",0)</x:f>
        <x:v>0.00025</x:v>
      </x:c>
      <x:c r="I38" s="227" t="s">
        <x:v>592</x:v>
      </x:c>
      <x:c r="J38" s="227">
        <x:v>60</x:v>
      </x:c>
      <x:c r="K38" s="307" t="n">
        <x:f>K35*6/4</x:f>
        <x:v>120.60861</x:v>
      </x:c>
      <x:c r="L38" s="308"/>
      <x:c r="M38" s="175"/>
      <x:c r="N38" s="175"/>
      <x:c r="O38" s="175"/>
      <x:c r="P38" s="175"/>
      <x:c r="Q38" s="175"/>
      <x:c r="R38" s="235" t="s">
        <x:v>585</x:v>
      </x:c>
      <x:c r="S38" s="259" t="n">
        <x:f>$K38*S37*$G38*$H38</x:f>
        <x:v>0</x:v>
      </x:c>
      <x:c r="T38" s="259" t="n">
        <x:f t="shared" ref="T38" si="37">$K38*T37*$G38*$H38</x:f>
        <x:v>0</x:v>
      </x:c>
      <x:c r="U38" s="259" t="n">
        <x:f t="shared" ref="U38" si="38">$K38*U37*$G38*$H38</x:f>
        <x:v>0</x:v>
      </x:c>
      <x:c r="V38" s="259" t="n">
        <x:f t="shared" ref="V38" si="39">$K38*V37*$G38*$H38</x:f>
        <x:v>0</x:v>
      </x:c>
      <x:c r="W38" s="259" t="n">
        <x:f t="shared" ref="W38" si="40">$K38*W37*$G38*$H38</x:f>
        <x:v>5025.35875</x:v>
      </x:c>
      <x:c r="X38" s="259" t="n">
        <x:f t="shared" ref="X38" si="41">$K38*X37*$G38*$H38</x:f>
        <x:v>5025.35875</x:v>
      </x:c>
      <x:c r="Y38" s="259" t="n">
        <x:f t="shared" ref="Y38" si="42">$K38*Y37*$G38*$H38</x:f>
        <x:v>5025.35875</x:v>
      </x:c>
      <x:c r="Z38" s="259" t="n">
        <x:f t="shared" ref="Z38" si="43">$K38*Z37*$G38*$H38</x:f>
        <x:v>5025.35875</x:v>
      </x:c>
      <x:c r="AA38" s="259" t="n">
        <x:f t="shared" ref="AA38" si="44">$K38*AA37*$G38*$H38</x:f>
        <x:v>5025.35875</x:v>
      </x:c>
      <x:c r="AB38" s="259" t="n">
        <x:f t="shared" ref="AB38" si="45">$K38*AB37*$G38*$H38</x:f>
        <x:v>5025.35875</x:v>
      </x:c>
      <x:c r="AC38" s="259" t="n">
        <x:f t="shared" ref="AC38" si="46">$K38*AC37*$G38*$H38</x:f>
        <x:v>0</x:v>
      </x:c>
      <x:c r="AD38" s="259" t="n">
        <x:f t="shared" ref="AD38" si="47">$K38*AD37*$G38*$H38</x:f>
        <x:v>0</x:v>
      </x:c>
      <x:c r="AE38" s="259" t="n">
        <x:f t="shared" ref="AE38" si="48">$K38*AE37*$G38*$H38</x:f>
        <x:v>0</x:v>
      </x:c>
      <x:c r="AF38" s="259" t="n">
        <x:f t="shared" ref="AF38" si="49">$K38*AF37*$G38*$H38</x:f>
        <x:v>0</x:v>
      </x:c>
      <x:c r="AG38" s="259" t="n">
        <x:f t="shared" ref="AG38" si="50">$K38*AG37*$G38*$H38</x:f>
        <x:v>0</x:v>
      </x:c>
      <x:c r="AH38" s="259" t="n">
        <x:f t="shared" ref="AH38" si="51">$K38*AH37*$G38*$H38</x:f>
        <x:v>0</x:v>
      </x:c>
      <x:c r="AI38" s="259" t="n">
        <x:f t="shared" ref="AI38" si="52">$K38*AI37*$G38*$H38</x:f>
        <x:v>0</x:v>
      </x:c>
      <x:c r="AJ38" s="259" t="n">
        <x:f t="shared" ref="AJ38" si="53">$K38*AJ37*$G38*$H38</x:f>
        <x:v>0</x:v>
      </x:c>
      <x:c r="AK38" s="259" t="n">
        <x:f t="shared" ref="AK38" si="54">$K38*AK37*$G38*$H38</x:f>
        <x:v>0</x:v>
      </x:c>
      <x:c r="AL38" s="259" t="n">
        <x:f t="shared" ref="AL38" si="55">$K38*AL37*$G38*$H38</x:f>
        <x:v>0</x:v>
      </x:c>
      <x:c r="AM38" s="259" t="n">
        <x:f t="shared" ref="AM38" si="56">$K38*AM37*$G38*$H38</x:f>
        <x:v>0</x:v>
      </x:c>
      <x:c r="AN38" s="259" t="n">
        <x:f t="shared" ref="AN38" si="57">$K38*AN37*$G38*$H38</x:f>
        <x:v>0</x:v>
      </x:c>
      <x:c r="AO38" s="259" t="n">
        <x:f t="shared" ref="AO38" si="58">$K38*AO37*$G38*$H38</x:f>
        <x:v>0</x:v>
      </x:c>
      <x:c r="AP38" s="259" t="n">
        <x:f t="shared" ref="AP38" si="59">$K38*AP37*$G38*$H38</x:f>
        <x:v>0</x:v>
      </x:c>
      <x:c r="AQ38" s="259" t="n">
        <x:f t="shared" ref="AQ38" si="60">$K38*AQ37*$G38*$H38</x:f>
        <x:v>0</x:v>
      </x:c>
      <x:c r="AR38" s="259" t="n">
        <x:f t="shared" ref="AR38" si="61">$K38*AR37*$G38*$H38</x:f>
        <x:v>0</x:v>
      </x:c>
      <x:c r="AS38" s="259" t="n">
        <x:f t="shared" ref="AS38" si="62">$K38*AS37*$G38*$H38</x:f>
        <x:v>0</x:v>
      </x:c>
      <x:c r="AT38" s="259" t="n">
        <x:f t="shared" ref="AT38" si="63">$K38*AT37*$G38*$H38</x:f>
        <x:v>0</x:v>
      </x:c>
      <x:c r="AU38" s="259" t="n">
        <x:f t="shared" ref="AU38" si="64">$K38*AU37*$G38*$H38</x:f>
        <x:v>0</x:v>
      </x:c>
      <x:c r="AV38" s="259" t="n">
        <x:f t="shared" ref="AV38" si="65">$K38*AV37*$G38*$H38</x:f>
        <x:v>0</x:v>
      </x:c>
      <x:c r="AW38" s="259" t="n">
        <x:f t="shared" ref="AW38" si="66">$K38*AW37*$G38*$H38</x:f>
        <x:v>0</x:v>
      </x:c>
      <x:c r="AX38" s="259" t="n">
        <x:f t="shared" ref="AX38" si="67">$K38*AX37*$G38*$H38</x:f>
        <x:v>0</x:v>
      </x:c>
      <x:c r="AY38" s="259" t="n">
        <x:f t="shared" ref="AY38" si="68">$K38*AY37*$G38*$H38</x:f>
        <x:v>0</x:v>
      </x:c>
      <x:c r="AZ38" s="259" t="n">
        <x:f t="shared" ref="AZ38" si="69">$K38*AZ37*$G38*$H38</x:f>
        <x:v>0</x:v>
      </x:c>
      <x:c r="BA38" s="259" t="n">
        <x:f t="shared" ref="BA38" si="70">$K38*BA37*$G38*$H38</x:f>
        <x:v>0</x:v>
      </x:c>
      <x:c r="BB38" s="259" t="n">
        <x:f t="shared" ref="BB38" si="71">$K38*BB37*$G38*$H38</x:f>
        <x:v>0</x:v>
      </x:c>
      <x:c r="BC38" s="259" t="n">
        <x:f>SUM(R38:BB38)</x:f>
        <x:v>30152.1525</x:v>
      </x:c>
    </x:row>
    <x:row r="39">
      <x:c r="K39" s="175"/>
      <x:c r="L39" s="175"/>
      <x:c r="M39" s="175"/>
      <x:c r="N39" s="175"/>
      <x:c r="O39" s="175"/>
      <x:c r="P39" s="175"/>
      <x:c r="Q39" s="175"/>
    </x:row>
    <x:row r="40" s="66" customFormat="1">
      <x:c r="AC40" s="66" t="n">
        <x:f>1/12</x:f>
        <x:v>0.08333333333333333</x:v>
      </x:c>
      <x:c r="AD40" s="66" t="n">
        <x:f t="shared" ref="AD40:BB40" si="72">1/12</x:f>
        <x:v>0.08333333333333333</x:v>
      </x:c>
      <x:c r="AE40" s="66">
        <x:f t="shared" si="72"/>
        <x:v>8.3333333333333329E-2</x:v>
      </x:c>
      <x:c r="AF40" s="66">
        <x:f t="shared" si="72"/>
        <x:v>8.3333333333333329E-2</x:v>
      </x:c>
      <x:c r="AG40" s="66">
        <x:f t="shared" si="72"/>
        <x:v>8.3333333333333329E-2</x:v>
      </x:c>
      <x:c r="AH40" s="66">
        <x:f t="shared" si="72"/>
        <x:v>8.3333333333333329E-2</x:v>
      </x:c>
      <x:c r="AI40" s="66">
        <x:f t="shared" si="72"/>
        <x:v>8.3333333333333329E-2</x:v>
      </x:c>
      <x:c r="AJ40" s="66">
        <x:f t="shared" si="72"/>
        <x:v>8.3333333333333329E-2</x:v>
      </x:c>
      <x:c r="AK40" s="66">
        <x:f t="shared" si="72"/>
        <x:v>8.3333333333333329E-2</x:v>
      </x:c>
      <x:c r="AL40" s="66">
        <x:f t="shared" si="72"/>
        <x:v>8.3333333333333329E-2</x:v>
      </x:c>
      <x:c r="AM40" s="66">
        <x:f t="shared" si="72"/>
        <x:v>8.3333333333333329E-2</x:v>
      </x:c>
      <x:c r="AN40" s="66">
        <x:f t="shared" si="72"/>
        <x:v>8.3333333333333329E-2</x:v>
      </x:c>
      <x:c r="AO40" s="66">
        <x:f t="shared" si="72"/>
        <x:v>8.3333333333333329E-2</x:v>
      </x:c>
      <x:c r="AP40" s="66">
        <x:f t="shared" si="72"/>
        <x:v>8.3333333333333329E-2</x:v>
      </x:c>
      <x:c r="AQ40" s="66">
        <x:f t="shared" si="72"/>
        <x:v>8.3333333333333329E-2</x:v>
      </x:c>
      <x:c r="AR40" s="66">
        <x:f t="shared" si="72"/>
        <x:v>8.3333333333333329E-2</x:v>
      </x:c>
      <x:c r="AS40" s="66">
        <x:f t="shared" si="72"/>
        <x:v>8.3333333333333329E-2</x:v>
      </x:c>
      <x:c r="AT40" s="66">
        <x:f t="shared" si="72"/>
        <x:v>8.3333333333333329E-2</x:v>
      </x:c>
      <x:c r="AU40" s="66">
        <x:f t="shared" si="72"/>
        <x:v>8.3333333333333329E-2</x:v>
      </x:c>
      <x:c r="AV40" s="66">
        <x:f t="shared" si="72"/>
        <x:v>8.3333333333333329E-2</x:v>
      </x:c>
      <x:c r="AW40" s="66">
        <x:f t="shared" si="72"/>
        <x:v>8.3333333333333329E-2</x:v>
      </x:c>
      <x:c r="AX40" s="66">
        <x:f t="shared" si="72"/>
        <x:v>8.3333333333333329E-2</x:v>
      </x:c>
      <x:c r="AY40" s="66">
        <x:f t="shared" si="72"/>
        <x:v>8.3333333333333329E-2</x:v>
      </x:c>
      <x:c r="AZ40" s="66">
        <x:f t="shared" si="72"/>
        <x:v>8.3333333333333329E-2</x:v>
      </x:c>
      <x:c r="BA40" s="66">
        <x:f t="shared" si="72"/>
        <x:v>8.3333333333333329E-2</x:v>
      </x:c>
      <x:c r="BB40" s="66">
        <x:f t="shared" si="72"/>
        <x:v>8.3333333333333329E-2</x:v>
      </x:c>
    </x:row>
    <x:row r="41">
      <x:c r="A41" t="s">
        <x:v>594</x:v>
      </x:c>
      <x:c r="C41" s="198" t="s">
        <x:v>589</x:v>
      </x:c>
      <x:c r="E41" s="226" t="s">
        <x:v>590</x:v>
      </x:c>
      <x:c r="F41" s="236" t="s">
        <x:v>591</x:v>
      </x:c>
      <x:c r="G41" s="25" t="n">
        <x:f>_xlfn.XLOOKUP($F41,MonScale[Escala],MonScale[Valor],"NA",0)</x:f>
        <x:v>1000000</x:v>
      </x:c>
      <x:c r="H41" s="250" t="n">
        <x:f>_xlfn.XLOOKUP($E41,TRM[MON],TRM[TRM],"NA",0)</x:f>
        <x:v>0.00025</x:v>
      </x:c>
      <x:c r="I41" s="227" t="s">
        <x:v>595</x:v>
      </x:c>
      <x:c r="J41" s="227">
        <x:v>60</x:v>
      </x:c>
      <x:c r="K41" s="307" t="n">
        <x:f>K35*50%</x:f>
        <x:v>40.20287</x:v>
      </x:c>
      <x:c r="L41" s="308"/>
      <x:c r="M41" s="175"/>
      <x:c r="N41" s="175"/>
      <x:c r="O41" s="175"/>
      <x:c r="P41" s="175"/>
      <x:c r="Q41" s="175"/>
      <x:c r="R41" s="235" t="s">
        <x:v>585</x:v>
      </x:c>
      <x:c r="S41" s="232"/>
      <x:c r="T41" s="232"/>
      <x:c r="U41" s="232"/>
      <x:c r="V41" s="232"/>
      <x:c r="W41" s="232"/>
      <x:c r="X41" s="232"/>
      <x:c r="Y41" s="232"/>
      <x:c r="Z41" s="232"/>
      <x:c r="AA41" s="232"/>
      <x:c r="AB41" s="232"/>
      <x:c r="AC41" s="259" t="n">
        <x:f t="shared" ref="AC41" si="73">$K41*AC40*$G41*$H41</x:f>
        <x:v>837.5597916666667</x:v>
      </x:c>
      <x:c r="AD41" s="259" t="n">
        <x:f t="shared" ref="AD41" si="74">$K41*AD40*$G41*$H41</x:f>
        <x:v>837.5597916666667</x:v>
      </x:c>
      <x:c r="AE41" s="259" t="n">
        <x:f t="shared" ref="AE41" si="75">$K41*AE40*$G41*$H41</x:f>
        <x:v>837.5597916666667</x:v>
      </x:c>
      <x:c r="AF41" s="259" t="n">
        <x:f t="shared" ref="AF41" si="76">$K41*AF40*$G41*$H41</x:f>
        <x:v>837.5597916666667</x:v>
      </x:c>
      <x:c r="AG41" s="259" t="n">
        <x:f t="shared" ref="AG41" si="77">$K41*AG40*$G41*$H41</x:f>
        <x:v>837.5597916666667</x:v>
      </x:c>
      <x:c r="AH41" s="259" t="n">
        <x:f t="shared" ref="AH41" si="78">$K41*AH40*$G41*$H41</x:f>
        <x:v>837.5597916666667</x:v>
      </x:c>
      <x:c r="AI41" s="259" t="n">
        <x:f t="shared" ref="AI41" si="79">$K41*AI40*$G41*$H41</x:f>
        <x:v>837.5597916666667</x:v>
      </x:c>
      <x:c r="AJ41" s="259" t="n">
        <x:f t="shared" ref="AJ41" si="80">$K41*AJ40*$G41*$H41</x:f>
        <x:v>837.5597916666667</x:v>
      </x:c>
      <x:c r="AK41" s="259" t="n">
        <x:f t="shared" ref="AK41" si="81">$K41*AK40*$G41*$H41</x:f>
        <x:v>837.5597916666667</x:v>
      </x:c>
      <x:c r="AL41" s="259" t="n">
        <x:f t="shared" ref="AL41" si="82">$K41*AL40*$G41*$H41</x:f>
        <x:v>837.5597916666667</x:v>
      </x:c>
      <x:c r="AM41" s="259" t="n">
        <x:f t="shared" ref="AM41" si="83">$K41*AM40*$G41*$H41</x:f>
        <x:v>837.5597916666667</x:v>
      </x:c>
      <x:c r="AN41" s="259" t="n">
        <x:f t="shared" ref="AN41" si="84">$K41*AN40*$G41*$H41</x:f>
        <x:v>837.5597916666667</x:v>
      </x:c>
      <x:c r="AO41" s="259" t="n">
        <x:f t="shared" ref="AO41" si="85">$K41*AO40*$G41*$H41</x:f>
        <x:v>837.5597916666667</x:v>
      </x:c>
      <x:c r="AP41" s="259" t="n">
        <x:f t="shared" ref="AP41" si="86">$K41*AP40*$G41*$H41</x:f>
        <x:v>837.5597916666667</x:v>
      </x:c>
      <x:c r="AQ41" s="259" t="n">
        <x:f t="shared" ref="AQ41" si="87">$K41*AQ40*$G41*$H41</x:f>
        <x:v>837.5597916666667</x:v>
      </x:c>
      <x:c r="AR41" s="259" t="n">
        <x:f t="shared" ref="AR41" si="88">$K41*AR40*$G41*$H41</x:f>
        <x:v>837.5597916666667</x:v>
      </x:c>
      <x:c r="AS41" s="259" t="n">
        <x:f t="shared" ref="AS41" si="89">$K41*AS40*$G41*$H41</x:f>
        <x:v>837.5597916666667</x:v>
      </x:c>
      <x:c r="AT41" s="259" t="n">
        <x:f t="shared" ref="AT41" si="90">$K41*AT40*$G41*$H41</x:f>
        <x:v>837.5597916666667</x:v>
      </x:c>
      <x:c r="AU41" s="259" t="n">
        <x:f t="shared" ref="AU41" si="91">$K41*AU40*$G41*$H41</x:f>
        <x:v>837.5597916666667</x:v>
      </x:c>
      <x:c r="AV41" s="259" t="n">
        <x:f t="shared" ref="AV41" si="92">$K41*AV40*$G41*$H41</x:f>
        <x:v>837.5597916666667</x:v>
      </x:c>
      <x:c r="AW41" s="259" t="n">
        <x:f t="shared" ref="AW41" si="93">$K41*AW40*$G41*$H41</x:f>
        <x:v>837.5597916666667</x:v>
      </x:c>
      <x:c r="AX41" s="259" t="n">
        <x:f t="shared" ref="AX41" si="94">$K41*AX40*$G41*$H41</x:f>
        <x:v>837.5597916666667</x:v>
      </x:c>
      <x:c r="AY41" s="259" t="n">
        <x:f t="shared" ref="AY41" si="95">$K41*AY40*$G41*$H41</x:f>
        <x:v>837.5597916666667</x:v>
      </x:c>
      <x:c r="AZ41" s="259" t="n">
        <x:f t="shared" ref="AZ41" si="96">$K41*AZ40*$G41*$H41</x:f>
        <x:v>837.5597916666667</x:v>
      </x:c>
      <x:c r="BA41" s="259" t="n">
        <x:f t="shared" ref="BA41" si="97">$K41*BA40*$G41*$H41</x:f>
        <x:v>837.5597916666667</x:v>
      </x:c>
      <x:c r="BB41" s="259" t="n">
        <x:f t="shared" ref="BB41" si="98">$K41*BB40*$G41*$H41</x:f>
        <x:v>837.5597916666667</x:v>
      </x:c>
      <x:c r="BC41" s="259" t="n">
        <x:f>SUM(R41:BB41)</x:f>
        <x:v>21776.554583333334</x:v>
      </x:c>
    </x:row>
    <x:row r="42">
      <x:c r="A42" t="s">
        <x:v>459</x:v>
      </x:c>
      <x:c r="E42" s="226" t="s">
        <x:v>590</x:v>
      </x:c>
      <x:c r="F42" s="236" t="s">
        <x:v>596</x:v>
      </x:c>
      <x:c r="G42" s="25" t="n">
        <x:f>_xlfn.XLOOKUP($F42,MonScale[Escala],MonScale[Valor],"NA",0)</x:f>
        <x:v>1000</x:v>
      </x:c>
      <x:c r="H42" s="250" t="n">
        <x:f>_xlfn.XLOOKUP($E42,TRM[MON],TRM[TRM],"NA",0)</x:f>
        <x:v>0.00025</x:v>
      </x:c>
      <x:c r="I42" s="227"/>
      <x:c r="J42" s="227">
        <x:v>60</x:v>
      </x:c>
      <x:c r="K42" s="259">
        <x:v>100</x:v>
      </x:c>
      <x:c r="L42" s="175"/>
      <x:c r="M42" s="175"/>
      <x:c r="N42" s="175"/>
      <x:c r="O42" s="175"/>
      <x:c r="P42" s="175"/>
      <x:c r="Q42" s="175"/>
    </x:row>
    <x:row r="43">
      <x:c r="K43" s="175"/>
      <x:c r="L43" s="175"/>
      <x:c r="M43" s="175"/>
      <x:c r="N43" s="175"/>
      <x:c r="O43" s="175"/>
      <x:c r="P43" s="175"/>
      <x:c r="Q43" s="175"/>
    </x:row>
    <x:row r="44" ht="13.5">
      <x:c r="A44" s="24" t="s">
        <x:v>597</x:v>
      </x:c>
      <x:c r="I44" s="175" t="s">
        <x:v>598</x:v>
      </x:c>
      <x:c r="K44" s="310" t="e">
        <x:f>BC44</x:f>
        <x:v>#VALUE!</x:v>
      </x:c>
      <x:c r="L44" s="311"/>
      <x:c r="M44" s="175"/>
      <x:c r="N44" s="175"/>
      <x:c r="O44" s="175"/>
      <x:c r="P44" s="175"/>
      <x:c r="Q44" s="175"/>
      <x:c r="R44" s="235" t="s">
        <x:v>585</x:v>
      </x:c>
      <x:c r="S44" s="259" t="e">
        <x:f>SUM(S45:S46)</x:f>
        <x:v>#VALUE!</x:v>
      </x:c>
      <x:c r="T44" s="259" t="e">
        <x:f t="shared" ref="T44:BB44" si="99">SUM(T45:T46)</x:f>
        <x:v>#VALUE!</x:v>
      </x:c>
      <x:c r="U44" s="259">
        <x:f t="shared" si="99"/>
        <x:v>5379.3587500000003</x:v>
      </x:c>
      <x:c r="V44" s="259">
        <x:f t="shared" si="99"/>
        <x:v>5426.5587500000001</x:v>
      </x:c>
      <x:c r="W44" s="259">
        <x:f t="shared" si="99"/>
        <x:v>5473.75875</x:v>
      </x:c>
      <x:c r="X44" s="259">
        <x:f t="shared" si="99"/>
        <x:v>5579.9587499999998</x:v>
      </x:c>
      <x:c r="Y44" s="259">
        <x:f t="shared" si="99"/>
        <x:v>5627.1587500000005</x:v>
      </x:c>
      <x:c r="Z44" s="259">
        <x:f t="shared" si="99"/>
        <x:v>5674.3587500000003</x:v>
      </x:c>
      <x:c r="AA44" s="259">
        <x:f t="shared" si="99"/>
        <x:v>5886.75875</x:v>
      </x:c>
      <x:c r="AB44" s="259">
        <x:f t="shared" si="99"/>
        <x:v>5933.9587499999998</x:v>
      </x:c>
      <x:c r="AC44" s="259">
        <x:f t="shared" si="99"/>
        <x:v>1793.3597916666668</x:v>
      </x:c>
      <x:c r="AD44" s="259">
        <x:f t="shared" si="99"/>
        <x:v>2026.9997916666666</x:v>
      </x:c>
      <x:c r="AE44" s="259">
        <x:f t="shared" si="99"/>
        <x:v>2239.3997916666667</x:v>
      </x:c>
      <x:c r="AF44" s="259">
        <x:f t="shared" si="99"/>
        <x:v>2310.1997916666664</x:v>
      </x:c>
      <x:c r="AG44" s="259">
        <x:f t="shared" si="99"/>
        <x:v>2380.9997916666666</x:v>
      </x:c>
      <x:c r="AH44" s="259">
        <x:f t="shared" si="99"/>
        <x:v>2428.1997916666669</x:v>
      </x:c>
      <x:c r="AI44" s="259">
        <x:f t="shared" si="99"/>
        <x:v>2475.3997916666667</x:v>
      </x:c>
      <x:c r="AJ44" s="259">
        <x:f t="shared" si="99"/>
        <x:v>2567.4397916666667</x:v>
      </x:c>
      <x:c r="AK44" s="259">
        <x:f t="shared" si="99"/>
        <x:v>2614.6397916666665</x:v>
      </x:c>
      <x:c r="AL44" s="259">
        <x:f t="shared" si="99"/>
        <x:v>2661.8397916666668</x:v>
      </x:c>
      <x:c r="AM44" s="259">
        <x:f t="shared" si="99"/>
        <x:v>2845.9197916666667</x:v>
      </x:c>
      <x:c r="AN44" s="259">
        <x:f t="shared" si="99"/>
        <x:v>2828.2197916666664</x:v>
      </x:c>
      <x:c r="AO44" s="259">
        <x:f t="shared" si="99"/>
        <x:v>2869.5197916666666</x:v>
      </x:c>
      <x:c r="AP44" s="259">
        <x:f t="shared" si="99"/>
        <x:v>2975.7197916666664</x:v>
      </x:c>
      <x:c r="AQ44" s="259">
        <x:f t="shared" si="99"/>
        <x:v>3096.0797916666666</x:v>
      </x:c>
      <x:c r="AR44" s="259">
        <x:f t="shared" si="99"/>
        <x:v>3159.7997916666664</x:v>
      </x:c>
      <x:c r="AS44" s="259">
        <x:f t="shared" si="99"/>
        <x:v>3223.5197916666666</x:v>
      </x:c>
      <x:c r="AT44" s="259">
        <x:f t="shared" si="99"/>
        <x:v>3264.8197916666663</x:v>
      </x:c>
      <x:c r="AU44" s="259">
        <x:f t="shared" si="99"/>
        <x:v>3306.1197916666665</x:v>
      </x:c>
      <x:c r="AV44" s="259">
        <x:f t="shared" si="99"/>
        <x:v>3383.9997916666666</x:v>
      </x:c>
      <x:c r="AW44" s="259">
        <x:f t="shared" si="99"/>
        <x:v>3425.2997916666664</x:v>
      </x:c>
      <x:c r="AX44" s="259">
        <x:f t="shared" si="99"/>
        <x:v>3466.5997916666665</x:v>
      </x:c>
      <x:c r="AY44" s="259">
        <x:f t="shared" si="99"/>
        <x:v>3622.3597916666663</x:v>
      </x:c>
      <x:c r="AZ44" s="259">
        <x:f t="shared" si="99"/>
        <x:v>3663.659791666666</x:v>
      </x:c>
      <x:c r="BA44" s="259">
        <x:f t="shared" si="99"/>
        <x:v>3704.9597916666662</x:v>
      </x:c>
      <x:c r="BB44" s="259">
        <x:f t="shared" si="99"/>
        <x:v>3683.7197916666664</x:v>
      </x:c>
      <x:c r="BC44" s="269" t="e">
        <x:f t="shared" ref="BC44:BC46" si="100">SUM(R44:BB44)</x:f>
        <x:v>#VALUE!</x:v>
      </x:c>
    </x:row>
    <x:row r="45">
      <x:c r="A45" s="1" t="s">
        <x:v>599</x:v>
      </x:c>
      <x:c r="K45" s="175"/>
      <x:c r="L45" s="175"/>
      <x:c r="M45" s="175"/>
      <x:c r="N45" s="175"/>
      <x:c r="O45" s="175"/>
      <x:c r="P45" s="175"/>
      <x:c r="Q45" s="175"/>
      <x:c r="R45" s="235" t="s">
        <x:v>585</x:v>
      </x:c>
      <x:c r="S45" s="259" t="e">
        <x:f>S30</x:f>
        <x:v>#VALUE!</x:v>
      </x:c>
      <x:c r="T45" s="259" t="e">
        <x:f t="shared" ref="T45:BB45" si="101">T30</x:f>
        <x:v>#VALUE!</x:v>
      </x:c>
      <x:c r="U45" s="259">
        <x:f t="shared" si="101"/>
        <x:v>354</x:v>
      </x:c>
      <x:c r="V45" s="259">
        <x:f t="shared" si="101"/>
        <x:v>401.2</x:v>
      </x:c>
      <x:c r="W45" s="259">
        <x:f t="shared" si="101"/>
        <x:v>448.4</x:v>
      </x:c>
      <x:c r="X45" s="259">
        <x:f t="shared" si="101"/>
        <x:v>554.59999999999991</x:v>
      </x:c>
      <x:c r="Y45" s="259">
        <x:f t="shared" si="101"/>
        <x:v>601.79999999999995</x:v>
      </x:c>
      <x:c r="Z45" s="259">
        <x:f t="shared" si="101"/>
        <x:v>649</x:v>
      </x:c>
      <x:c r="AA45" s="259">
        <x:f t="shared" si="101"/>
        <x:v>861.39999999999986</x:v>
      </x:c>
      <x:c r="AB45" s="259">
        <x:f t="shared" si="101"/>
        <x:v>908.59999999999991</x:v>
      </x:c>
      <x:c r="AC45" s="259">
        <x:f t="shared" si="101"/>
        <x:v>955.8</x:v>
      </x:c>
      <x:c r="AD45" s="259">
        <x:f t="shared" si="101"/>
        <x:v>1189.44</x:v>
      </x:c>
      <x:c r="AE45" s="259">
        <x:f t="shared" si="101"/>
        <x:v>1401.84</x:v>
      </x:c>
      <x:c r="AF45" s="259">
        <x:f t="shared" si="101"/>
        <x:v>1472.6399999999999</x:v>
      </x:c>
      <x:c r="AG45" s="259">
        <x:f t="shared" si="101"/>
        <x:v>1543.44</x:v>
      </x:c>
      <x:c r="AH45" s="259">
        <x:f t="shared" si="101"/>
        <x:v>1590.64</x:v>
      </x:c>
      <x:c r="AI45" s="259">
        <x:f t="shared" si="101"/>
        <x:v>1637.84</x:v>
      </x:c>
      <x:c r="AJ45" s="259">
        <x:f t="shared" si="101"/>
        <x:v>1729.8799999999999</x:v>
      </x:c>
      <x:c r="AK45" s="259">
        <x:f t="shared" si="101"/>
        <x:v>1777.08</x:v>
      </x:c>
      <x:c r="AL45" s="259">
        <x:f t="shared" si="101"/>
        <x:v>1824.28</x:v>
      </x:c>
      <x:c r="AM45" s="259">
        <x:f t="shared" si="101"/>
        <x:v>2008.3600000000001</x:v>
      </x:c>
      <x:c r="AN45" s="259">
        <x:f t="shared" si="101"/>
        <x:v>1990.6599999999999</x:v>
      </x:c>
      <x:c r="AO45" s="259">
        <x:f t="shared" si="101"/>
        <x:v>2031.96</x:v>
      </x:c>
      <x:c r="AP45" s="259">
        <x:f t="shared" si="101"/>
        <x:v>2138.16</x:v>
      </x:c>
      <x:c r="AQ45" s="259">
        <x:f t="shared" si="101"/>
        <x:v>2258.52</x:v>
      </x:c>
      <x:c r="AR45" s="259">
        <x:f t="shared" si="101"/>
        <x:v>2322.2399999999998</x:v>
      </x:c>
      <x:c r="AS45" s="259">
        <x:f t="shared" si="101"/>
        <x:v>2385.96</x:v>
      </x:c>
      <x:c r="AT45" s="259">
        <x:f t="shared" si="101"/>
        <x:v>2427.2599999999998</x:v>
      </x:c>
      <x:c r="AU45" s="259">
        <x:f t="shared" si="101"/>
        <x:v>2468.56</x:v>
      </x:c>
      <x:c r="AV45" s="259">
        <x:f t="shared" si="101"/>
        <x:v>2546.44</x:v>
      </x:c>
      <x:c r="AW45" s="259">
        <x:f t="shared" si="101"/>
        <x:v>2587.7399999999998</x:v>
      </x:c>
      <x:c r="AX45" s="259">
        <x:f t="shared" si="101"/>
        <x:v>2629.04</x:v>
      </x:c>
      <x:c r="AY45" s="259">
        <x:f t="shared" si="101"/>
        <x:v>2784.7999999999997</x:v>
      </x:c>
      <x:c r="AZ45" s="259">
        <x:f t="shared" si="101"/>
        <x:v>2826.0999999999995</x:v>
      </x:c>
      <x:c r="BA45" s="259">
        <x:f t="shared" si="101"/>
        <x:v>2867.3999999999996</x:v>
      </x:c>
      <x:c r="BB45" s="259">
        <x:f t="shared" si="101"/>
        <x:v>2846.16</x:v>
      </x:c>
      <x:c r="BC45" s="259">
        <x:f t="shared" si="100"/>
        <x:v>59516.84</x:v>
      </x:c>
    </x:row>
    <x:row r="46">
      <x:c r="A46" s="1" t="s">
        <x:v>600</x:v>
      </x:c>
      <x:c r="R46" s="235" t="s">
        <x:v>585</x:v>
      </x:c>
      <x:c r="S46" s="259" t="n">
        <x:f>SUM(S35,S38,S41)</x:f>
        <x:v>5025.35875</x:v>
      </x:c>
      <x:c r="T46" s="259" t="n">
        <x:f t="shared" ref="T46:BB46" si="102">SUM(T35,T38,T41)</x:f>
        <x:v>5025.35875</x:v>
      </x:c>
      <x:c r="U46" s="259">
        <x:f t="shared" si="102"/>
        <x:v>5025.3587500000003</x:v>
      </x:c>
      <x:c r="V46" s="259">
        <x:f t="shared" si="102"/>
        <x:v>5025.3587500000003</x:v>
      </x:c>
      <x:c r="W46" s="259">
        <x:f t="shared" si="102"/>
        <x:v>5025.3587500000003</x:v>
      </x:c>
      <x:c r="X46" s="259">
        <x:f t="shared" si="102"/>
        <x:v>5025.3587500000003</x:v>
      </x:c>
      <x:c r="Y46" s="259">
        <x:f t="shared" si="102"/>
        <x:v>5025.3587500000003</x:v>
      </x:c>
      <x:c r="Z46" s="259">
        <x:f t="shared" si="102"/>
        <x:v>5025.3587500000003</x:v>
      </x:c>
      <x:c r="AA46" s="259">
        <x:f t="shared" si="102"/>
        <x:v>5025.3587500000003</x:v>
      </x:c>
      <x:c r="AB46" s="259">
        <x:f t="shared" si="102"/>
        <x:v>5025.3587500000003</x:v>
      </x:c>
      <x:c r="AC46" s="259">
        <x:f t="shared" si="102"/>
        <x:v>837.55979166666668</x:v>
      </x:c>
      <x:c r="AD46" s="259">
        <x:f t="shared" si="102"/>
        <x:v>837.55979166666668</x:v>
      </x:c>
      <x:c r="AE46" s="259">
        <x:f t="shared" si="102"/>
        <x:v>837.55979166666668</x:v>
      </x:c>
      <x:c r="AF46" s="259">
        <x:f t="shared" si="102"/>
        <x:v>837.55979166666668</x:v>
      </x:c>
      <x:c r="AG46" s="259">
        <x:f t="shared" si="102"/>
        <x:v>837.55979166666668</x:v>
      </x:c>
      <x:c r="AH46" s="259">
        <x:f t="shared" si="102"/>
        <x:v>837.55979166666668</x:v>
      </x:c>
      <x:c r="AI46" s="259">
        <x:f t="shared" si="102"/>
        <x:v>837.55979166666668</x:v>
      </x:c>
      <x:c r="AJ46" s="259">
        <x:f t="shared" si="102"/>
        <x:v>837.55979166666668</x:v>
      </x:c>
      <x:c r="AK46" s="259">
        <x:f t="shared" si="102"/>
        <x:v>837.55979166666668</x:v>
      </x:c>
      <x:c r="AL46" s="259">
        <x:f t="shared" si="102"/>
        <x:v>837.55979166666668</x:v>
      </x:c>
      <x:c r="AM46" s="259">
        <x:f t="shared" si="102"/>
        <x:v>837.55979166666668</x:v>
      </x:c>
      <x:c r="AN46" s="259">
        <x:f t="shared" si="102"/>
        <x:v>837.55979166666668</x:v>
      </x:c>
      <x:c r="AO46" s="259">
        <x:f t="shared" si="102"/>
        <x:v>837.55979166666668</x:v>
      </x:c>
      <x:c r="AP46" s="259">
        <x:f t="shared" si="102"/>
        <x:v>837.55979166666668</x:v>
      </x:c>
      <x:c r="AQ46" s="259">
        <x:f t="shared" si="102"/>
        <x:v>837.55979166666668</x:v>
      </x:c>
      <x:c r="AR46" s="259">
        <x:f t="shared" si="102"/>
        <x:v>837.55979166666668</x:v>
      </x:c>
      <x:c r="AS46" s="259">
        <x:f t="shared" si="102"/>
        <x:v>837.55979166666668</x:v>
      </x:c>
      <x:c r="AT46" s="259">
        <x:f t="shared" si="102"/>
        <x:v>837.55979166666668</x:v>
      </x:c>
      <x:c r="AU46" s="259">
        <x:f t="shared" si="102"/>
        <x:v>837.55979166666668</x:v>
      </x:c>
      <x:c r="AV46" s="259">
        <x:f t="shared" si="102"/>
        <x:v>837.55979166666668</x:v>
      </x:c>
      <x:c r="AW46" s="259">
        <x:f t="shared" si="102"/>
        <x:v>837.55979166666668</x:v>
      </x:c>
      <x:c r="AX46" s="259">
        <x:f t="shared" si="102"/>
        <x:v>837.55979166666668</x:v>
      </x:c>
      <x:c r="AY46" s="259">
        <x:f t="shared" si="102"/>
        <x:v>837.55979166666668</x:v>
      </x:c>
      <x:c r="AZ46" s="259">
        <x:f t="shared" si="102"/>
        <x:v>837.55979166666668</x:v>
      </x:c>
      <x:c r="BA46" s="259">
        <x:f t="shared" si="102"/>
        <x:v>837.55979166666668</x:v>
      </x:c>
      <x:c r="BB46" s="259">
        <x:f t="shared" si="102"/>
        <x:v>837.55979166666668</x:v>
      </x:c>
      <x:c r="BC46" s="259">
        <x:f t="shared" si="100"/>
        <x:v>72030.142083333383</x:v>
      </x:c>
    </x:row>
    <x:row r="47">
      <x:c r="I47" s="273"/>
    </x:row>
  </x:sheetData>
  <x:mergeCells>
    <x:mergeCell ref="K35:L35"/>
    <x:mergeCell ref="K41:L41"/>
    <x:mergeCell ref="K38:L38"/>
    <x:mergeCell ref="BC1:BC3"/>
    <x:mergeCell ref="K44:L44"/>
  </x:mergeCells>
  <x:dataValidations count="6">
    <x:dataValidation type="list" allowBlank="1" showInputMessage="1" showErrorMessage="1" sqref="J7:J13 J17:J20">
      <x:formula1>"30,45,60,90"</x:formula1>
    </x:dataValidation>
    <x:dataValidation type="list" allowBlank="1" showInputMessage="1" showErrorMessage="1" sqref="E41:E42 E35 E7:E28 E38">
      <x:formula1>MONLIST</x:formula1>
    </x:dataValidation>
    <x:dataValidation type="list" allowBlank="1" showInputMessage="1" showErrorMessage="1" sqref="I35 I38">
      <x:formula1>FormPayConsult</x:formula1>
    </x:dataValidation>
    <x:dataValidation type="list" allowBlank="1" showInputMessage="1" showErrorMessage="1" sqref="I41">
      <x:formula1>FormPayBolsa</x:formula1>
    </x:dataValidation>
    <x:dataValidation type="list" allowBlank="1" showInputMessage="1" showErrorMessage="1" sqref="F35 F41:F42 F7:F28 F38">
      <x:formula1>MonScale_</x:formula1>
    </x:dataValidation>
    <x:dataValidation type="list" allowBlank="1" showInputMessage="1" showErrorMessage="1" sqref="I7:I28">
      <x:formula1>PAYMETH</x:formula1>
    </x:dataValidation>
  </x:dataValidations>
  <x:pageMargins left="0.7" right="0.7" top="0.75" bottom="0.75" header="0.3" footer="0.3"/>
  <x:legacyDrawing xmlns:r="http://schemas.openxmlformats.org/officeDocument/2006/relationships" r:id="R4a3808ca0c5c4e66"/>
</x:worksheet>
</file>

<file path=xl/worksheets/sheet4.xml><?xml version="1.0" encoding="utf-8"?>
<x:worksheet xmlns:x="http://schemas.openxmlformats.org/spreadsheetml/2006/main">
  <x:sheetPr>
    <x:tabColor rgb="FF0070D4"/>
  </x:sheetPr>
  <x:sheetFormatPr defaultColWidth="12" defaultRowHeight="11.25"/>
  <x:cols>
    <x:col min="1" max="1" width="15.33203125" customWidth="1"/>
    <x:col min="2" max="2" width="20.1640625" customWidth="1"/>
    <x:col min="3" max="4" width="20.1640625" customWidth="1"/>
    <x:col min="5" max="5" width="15.6640625" customWidth="1"/>
    <x:col min="6" max="6" width="13.6640625" customWidth="1"/>
    <x:col min="7" max="8" width="16.33203125" customWidth="1"/>
    <x:col min="9" max="9" width="22.6640625" customWidth="1"/>
    <x:col min="10" max="10" width="8.6640625" customWidth="1"/>
    <x:col min="11" max="13" width="22.6640625" customWidth="1"/>
  </x:cols>
  <x:sheetData>
    <x:row r="1" s="18" customFormat="1" ht="45">
      <x:c r="A1" s="18" t="s">
        <x:v>601</x:v>
      </x:c>
      <x:c r="B1" s="18" t="s">
        <x:v>602</x:v>
      </x:c>
      <x:c r="C1" s="18" t="s">
        <x:v>603</x:v>
      </x:c>
      <x:c r="D1" s="18" t="s">
        <x:v>604</x:v>
      </x:c>
      <x:c r="E1" s="18" t="s">
        <x:v>605</x:v>
      </x:c>
      <x:c r="F1" s="18" t="s">
        <x:v>606</x:v>
      </x:c>
      <x:c r="G1" s="18" t="s">
        <x:v>607</x:v>
      </x:c>
      <x:c r="H1" s="18" t="s">
        <x:v>608</x:v>
      </x:c>
      <x:c r="I1" s="18" t="s">
        <x:v>609</x:v>
      </x:c>
      <x:c r="J1" s="18" t="s">
        <x:v>610</x:v>
      </x:c>
      <x:c r="K1" s="18" t="s">
        <x:v>611</x:v>
      </x:c>
      <x:c r="L1" s="18" t="s">
        <x:v>612</x:v>
      </x:c>
      <x:c r="M1" s="18" t="s">
        <x:v>613</x:v>
      </x:c>
      <x:c r="N1" s="18" t="s">
        <x:v>614</x:v>
      </x:c>
    </x:row>
    <x:row r="2">
      <x:c r="N2" s="203"/>
    </x:row>
  </x:sheetData>
  <x:pageMargins left="0.7" right="0.7" top="0.75" bottom="0.75" header="0.3" footer="0.3"/>
  <x:legacyDrawing xmlns:r="http://schemas.openxmlformats.org/officeDocument/2006/relationships" r:id="R6338bbd6088948fa"/>
  <x:tableParts count="1">
    <x:tablePart xmlns:r="http://schemas.openxmlformats.org/officeDocument/2006/relationships" r:id="R48529ab1152b4f8a"/>
  </x:tableParts>
</x:worksheet>
</file>

<file path=xl/worksheets/sheet5.xml><?xml version="1.0" encoding="utf-8"?>
<x:worksheet xmlns:x="http://schemas.openxmlformats.org/spreadsheetml/2006/main">
  <x:sheetPr>
    <x:tabColor theme="4" tint="0.79998"/>
  </x:sheetPr>
  <x:sheetFormatPr defaultColWidth="12" defaultRowHeight="11.25"/>
  <x:cols>
    <x:col min="1" max="1" width="9.83203125" customWidth="1"/>
    <x:col min="2" max="2" width="22.33203125" customWidth="1"/>
    <x:col min="3" max="3" width="36.6640625" customWidth="1"/>
    <x:col min="4" max="4" width="11" hidden="1" customWidth="1"/>
    <x:col min="5" max="5" width="11.6640625" customWidth="1"/>
    <x:col min="6" max="6" width="100.6640625" customWidth="1"/>
    <x:col min="7" max="7" width="40.6640625" customWidth="1"/>
  </x:cols>
  <x:sheetData>
    <x:row r="1" ht="15.75">
      <x:c r="A1" s="19" t="s">
        <x:v>615</x:v>
      </x:c>
      <x:c r="B1" s="19" t="s">
        <x:v>4</x:v>
      </x:c>
      <x:c r="C1" s="193" t="s">
        <x:v>616</x:v>
      </x:c>
      <x:c r="D1" s="196" t="s">
        <x:v>617</x:v>
      </x:c>
      <x:c r="E1" s="19" t="s">
        <x:v>618</x:v>
      </x:c>
      <x:c r="F1" s="19" t="s">
        <x:v>619</x:v>
      </x:c>
      <x:c r="G1" s="178" t="s">
        <x:v>620</x:v>
      </x:c>
    </x:row>
    <x:row r="2">
      <x:c r="A2" s="181" t="e">
        <x:f>_xlfn.XLOOKUP(Glosario[[#This Row],[Parámetro]],Parámetro[Parámetro],Parámetro[Par],"NA",0)</x:f>
        <x:v>#NAME?</x:v>
      </x:c>
      <x:c r="B2" s="181" t="s">
        <x:v>621</x:v>
      </x:c>
      <x:c r="C2" s="194" t="s">
        <x:v>66</x:v>
      </x:c>
      <x:c r="D2" s="181">
        <x:v>39</x:v>
      </x:c>
      <x:c r="E2" s="181" t="n">
        <x:f>COUNTIF(Glosario[Glosario ⬇️],Glosario[[#This Row],[Glosario ⬇️]])</x:f>
        <x:v>1</x:v>
      </x:c>
      <x:c r="F2" s="182" t="s">
        <x:v>622</x:v>
      </x:c>
      <x:c r="G2" s="183"/>
      <x:c r="N2" s="203"/>
    </x:row>
    <x:row r="3" ht="15">
      <x:c r="A3" s="181" t="e">
        <x:f>_xlfn.XLOOKUP(Glosario[[#This Row],[Parámetro]],Parámetro[Parámetro],Parámetro[Par],"NA",0)</x:f>
        <x:v>#NAME?</x:v>
      </x:c>
      <x:c r="B3" s="181" t="s">
        <x:v>218</x:v>
      </x:c>
      <x:c r="C3" s="187" t="s">
        <x:v>623</x:v>
      </x:c>
      <x:c r="D3" s="181">
        <x:v>45</x:v>
      </x:c>
      <x:c r="E3" s="188" t="n">
        <x:f>COUNTIF(Glosario[Glosario ⬇️],Glosario[[#This Row],[Glosario ⬇️]])</x:f>
        <x:v>1</x:v>
      </x:c>
      <x:c r="F3" s="187" t="s">
        <x:v>624</x:v>
      </x:c>
      <x:c r="G3" s="183"/>
    </x:row>
    <x:row r="4">
      <x:c r="A4" s="186" t="e">
        <x:f>_xlfn.XLOOKUP(Glosario[[#This Row],[Parámetro]],Parámetro[Parámetro],Parámetro[Par],"NA",0)</x:f>
        <x:v>#NAME?</x:v>
      </x:c>
      <x:c r="B4" t="s">
        <x:v>430</x:v>
      </x:c>
      <x:c r="C4" t="s">
        <x:v>625</x:v>
      </x:c>
      <x:c r="D4" s="181">
        <x:v>42</x:v>
      </x:c>
      <x:c r="E4" t="n">
        <x:f>COUNTIF(Glosario[Glosario ⬇️],Glosario[[#This Row],[Glosario ⬇️]])</x:f>
        <x:v>1</x:v>
      </x:c>
      <x:c r="F4" s="13" t="s">
        <x:v>626</x:v>
      </x:c>
      <x:c r="G4" s="183"/>
    </x:row>
    <x:row r="5" ht="22.5">
      <x:c r="A5" s="186" t="e">
        <x:f>_xlfn.XLOOKUP(Glosario[[#This Row],[Parámetro]],Parámetro[Parámetro],Parámetro[Par],"NA",0)</x:f>
        <x:v>#NAME?</x:v>
      </x:c>
      <x:c r="B5" t="s">
        <x:v>627</x:v>
      </x:c>
      <x:c r="C5" s="24" t="s">
        <x:v>628</x:v>
      </x:c>
      <x:c r="D5" s="181">
        <x:v>65</x:v>
      </x:c>
      <x:c r="E5" s="165" t="n">
        <x:f>COUNTIF(Glosario[Glosario ⬇️],Glosario[[#This Row],[Glosario ⬇️]])</x:f>
        <x:v>1</x:v>
      </x:c>
      <x:c r="F5" s="180" t="s">
        <x:v>629</x:v>
      </x:c>
      <x:c r="G5" s="183"/>
    </x:row>
    <x:row r="6" ht="45">
      <x:c r="A6" s="181" t="e">
        <x:f>_xlfn.XLOOKUP(Glosario[[#This Row],[Parámetro]],Parámetro[Parámetro],Parámetro[Par],"NA",0)</x:f>
        <x:v>#NAME?</x:v>
      </x:c>
      <x:c r="B6" s="181" t="s">
        <x:v>627</x:v>
      </x:c>
      <x:c r="C6" s="194" t="s">
        <x:v>630</x:v>
      </x:c>
      <x:c r="D6" s="181">
        <x:v>13</x:v>
      </x:c>
      <x:c r="E6" s="181" t="n">
        <x:f>COUNTIF(Glosario[Glosario ⬇️],Glosario[[#This Row],[Glosario ⬇️]])</x:f>
        <x:v>1</x:v>
      </x:c>
      <x:c r="F6" s="182" t="s">
        <x:v>631</x:v>
      </x:c>
      <x:c r="G6" s="183"/>
    </x:row>
    <x:row r="7" ht="33.75">
      <x:c r="A7" s="181" t="e">
        <x:f>_xlfn.XLOOKUP(Glosario[[#This Row],[Parámetro]],Parámetro[Parámetro],Parámetro[Par],"NA",0)</x:f>
        <x:v>#NAME?</x:v>
      </x:c>
      <x:c r="B7" s="181" t="s">
        <x:v>627</x:v>
      </x:c>
      <x:c r="C7" s="194" t="s">
        <x:v>632</x:v>
      </x:c>
      <x:c r="D7" s="181">
        <x:v>64</x:v>
      </x:c>
      <x:c r="E7" s="189" t="n">
        <x:f>COUNTIF(Glosario[Glosario ⬇️],Glosario[[#This Row],[Glosario ⬇️]])</x:f>
        <x:v>1</x:v>
      </x:c>
      <x:c r="F7" s="187" t="s">
        <x:v>633</x:v>
      </x:c>
      <x:c r="G7" s="183"/>
    </x:row>
    <x:row r="8">
      <x:c r="A8" s="181" t="e">
        <x:f>_xlfn.XLOOKUP(Glosario[[#This Row],[Parámetro]],Parámetro[Parámetro],Parámetro[Par],"NA",0)</x:f>
        <x:v>#NAME?</x:v>
      </x:c>
      <x:c r="B8" s="181" t="s">
        <x:v>380</x:v>
      </x:c>
      <x:c r="C8" s="194" t="s">
        <x:v>634</x:v>
      </x:c>
      <x:c r="D8" s="181">
        <x:v>66</x:v>
      </x:c>
      <x:c r="E8" s="189" t="n">
        <x:f>COUNTIF(Glosario[Glosario ⬇️],Glosario[[#This Row],[Glosario ⬇️]])</x:f>
        <x:v>1</x:v>
      </x:c>
      <x:c r="F8" s="187" t="s">
        <x:v>635</x:v>
      </x:c>
      <x:c r="G8" s="183"/>
    </x:row>
    <x:row r="9">
      <x:c r="A9" s="181" t="e">
        <x:f>_xlfn.XLOOKUP(Glosario[[#This Row],[Parámetro]],Parámetro[Parámetro],Parámetro[Par],"NA",0)</x:f>
        <x:v>#NAME?</x:v>
      </x:c>
      <x:c r="B9" s="181" t="s">
        <x:v>627</x:v>
      </x:c>
      <x:c r="C9" s="194" t="s">
        <x:v>636</x:v>
      </x:c>
      <x:c r="D9" s="181">
        <x:v>67</x:v>
      </x:c>
      <x:c r="E9" s="189" t="n">
        <x:f>COUNTIF(Glosario[Glosario ⬇️],Glosario[[#This Row],[Glosario ⬇️]])</x:f>
        <x:v>1</x:v>
      </x:c>
      <x:c r="F9" s="187" t="s">
        <x:v>637</x:v>
      </x:c>
      <x:c r="G9" s="183"/>
    </x:row>
    <x:row r="10" ht="22.5">
      <x:c r="A10" s="181" t="e">
        <x:f>_xlfn.XLOOKUP(Glosario[[#This Row],[Parámetro]],Parámetro[Parámetro],Parámetro[Par],"NA",0)</x:f>
        <x:v>#NAME?</x:v>
      </x:c>
      <x:c r="B10" t="s">
        <x:v>316</x:v>
      </x:c>
      <x:c r="C10" s="24" t="s">
        <x:v>638</x:v>
      </x:c>
      <x:c r="D10" s="181">
        <x:v>68</x:v>
      </x:c>
      <x:c r="E10" s="165" t="n">
        <x:f>COUNTIF(Glosario[Glosario ⬇️],Glosario[[#This Row],[Glosario ⬇️]])</x:f>
        <x:v>1</x:v>
      </x:c>
      <x:c r="F10" s="190" t="s">
        <x:v>639</x:v>
      </x:c>
      <x:c r="G10" s="183"/>
    </x:row>
    <x:row r="11" ht="45">
      <x:c r="A11" s="181" t="e">
        <x:f>_xlfn.XLOOKUP(Glosario[[#This Row],[Parámetro]],Parámetro[Parámetro],Parámetro[Par],"NA",0)</x:f>
        <x:v>#NAME?</x:v>
      </x:c>
      <x:c r="B11" t="s">
        <x:v>218</x:v>
      </x:c>
      <x:c r="C11" s="24" t="s">
        <x:v>640</x:v>
      </x:c>
      <x:c r="D11" s="181">
        <x:v>69</x:v>
      </x:c>
      <x:c r="E11" s="165" t="n">
        <x:f>COUNTIF(Glosario[Glosario ⬇️],Glosario[[#This Row],[Glosario ⬇️]])</x:f>
        <x:v>1</x:v>
      </x:c>
      <x:c r="F11" s="190" t="s">
        <x:v>641</x:v>
      </x:c>
      <x:c r="G11" s="183"/>
    </x:row>
    <x:row r="12">
      <x:c r="A12" s="181" t="e">
        <x:f>_xlfn.XLOOKUP(Glosario[[#This Row],[Parámetro]],Parámetro[Parámetro],Parámetro[Par],"NA",0)</x:f>
        <x:v>#NAME?</x:v>
      </x:c>
      <x:c r="B12" t="s">
        <x:v>430</x:v>
      </x:c>
      <x:c r="C12" s="24" t="s">
        <x:v>32</x:v>
      </x:c>
      <x:c r="D12" s="181">
        <x:v>8</x:v>
      </x:c>
      <x:c r="E12" t="n">
        <x:f>COUNTIF(Glosario[Glosario ⬇️],Glosario[[#This Row],[Glosario ⬇️]])</x:f>
        <x:v>1</x:v>
      </x:c>
      <x:c r="F12" s="184" t="s">
        <x:v>642</x:v>
      </x:c>
      <x:c r="G12" s="183"/>
    </x:row>
    <x:row r="13">
      <x:c r="A13" s="181" t="e">
        <x:f>_xlfn.XLOOKUP(Glosario[[#This Row],[Parámetro]],Parámetro[Parámetro],Parámetro[Par],"NA",0)</x:f>
        <x:v>#NAME?</x:v>
      </x:c>
      <x:c r="B13" t="s">
        <x:v>316</x:v>
      </x:c>
      <x:c r="C13" s="24" t="s">
        <x:v>643</x:v>
      </x:c>
      <x:c r="D13" s="181">
        <x:v>71</x:v>
      </x:c>
      <x:c r="E13" s="165" t="n">
        <x:f>COUNTIF(Glosario[Glosario ⬇️],Glosario[[#This Row],[Glosario ⬇️]])</x:f>
        <x:v>1</x:v>
      </x:c>
      <x:c r="F13" s="190" t="s">
        <x:v>644</x:v>
      </x:c>
      <x:c r="G13" s="183"/>
    </x:row>
    <x:row r="14" ht="67.5">
      <x:c r="A14" s="181" t="e">
        <x:f>_xlfn.XLOOKUP(Glosario[[#This Row],[Parámetro]],Parámetro[Parámetro],Parámetro[Par],"NA",0)</x:f>
        <x:v>#NAME?</x:v>
      </x:c>
      <x:c r="B14" t="s">
        <x:v>218</x:v>
      </x:c>
      <x:c r="C14" s="24" t="s">
        <x:v>645</x:v>
      </x:c>
      <x:c r="D14" s="181">
        <x:v>70</x:v>
      </x:c>
      <x:c r="E14" s="165" t="n">
        <x:f>COUNTIF(Glosario[Glosario ⬇️],Glosario[[#This Row],[Glosario ⬇️]])</x:f>
        <x:v>1</x:v>
      </x:c>
      <x:c r="F14" s="190" t="s">
        <x:v>646</x:v>
      </x:c>
      <x:c r="G14" s="183"/>
    </x:row>
    <x:row r="15" ht="67.5">
      <x:c r="A15" s="181" t="e">
        <x:f>_xlfn.XLOOKUP(Glosario[[#This Row],[Parámetro]],Parámetro[Parámetro],Parámetro[Par],"NA",0)</x:f>
        <x:v>#NAME?</x:v>
      </x:c>
      <x:c r="B15" t="s">
        <x:v>627</x:v>
      </x:c>
      <x:c r="C15" s="24" t="s">
        <x:v>647</x:v>
      </x:c>
      <x:c r="D15" s="181">
        <x:v>18</x:v>
      </x:c>
      <x:c r="E15" t="n">
        <x:f>COUNTIF(Glosario[Glosario ⬇️],Glosario[[#This Row],[Glosario ⬇️]])</x:f>
        <x:v>1</x:v>
      </x:c>
      <x:c r="F15" s="184" t="s">
        <x:v>648</x:v>
      </x:c>
      <x:c r="G15" s="183"/>
    </x:row>
    <x:row r="16">
      <x:c r="A16" s="181" t="e">
        <x:f>_xlfn.XLOOKUP(Glosario[[#This Row],[Parámetro]],Parámetro[Parámetro],Parámetro[Par],"NA",0)</x:f>
        <x:v>#NAME?</x:v>
      </x:c>
      <x:c r="B16" t="s">
        <x:v>316</x:v>
      </x:c>
      <x:c r="C16" s="24" t="s">
        <x:v>649</x:v>
      </x:c>
      <x:c r="D16" s="181">
        <x:v>72</x:v>
      </x:c>
      <x:c r="E16" s="165" t="n">
        <x:f>COUNTIF(Glosario[Glosario ⬇️],Glosario[[#This Row],[Glosario ⬇️]])</x:f>
        <x:v>1</x:v>
      </x:c>
      <x:c r="F16" s="190" t="s">
        <x:v>650</x:v>
      </x:c>
      <x:c r="G16" s="183"/>
    </x:row>
    <x:row r="17">
      <x:c r="A17" s="181" t="e">
        <x:f>_xlfn.XLOOKUP(Glosario[[#This Row],[Parámetro]],Parámetro[Parámetro],Parámetro[Par],"NA",0)</x:f>
        <x:v>#NAME?</x:v>
      </x:c>
      <x:c r="B17" t="s">
        <x:v>316</x:v>
      </x:c>
      <x:c r="C17" s="195" t="s">
        <x:v>651</x:v>
      </x:c>
      <x:c r="D17" s="181">
        <x:v>48</x:v>
      </x:c>
      <x:c r="E17" s="165" t="n">
        <x:f>COUNTIF(Glosario[Glosario ⬇️],Glosario[[#This Row],[Glosario ⬇️]])</x:f>
        <x:v>1</x:v>
      </x:c>
      <x:c r="F17" s="190" t="s">
        <x:v>652</x:v>
      </x:c>
      <x:c r="G17" s="183"/>
    </x:row>
    <x:row r="18" ht="22.5">
      <x:c r="A18" s="181" t="e">
        <x:f>_xlfn.XLOOKUP(Glosario[[#This Row],[Parámetro]],Parámetro[Parámetro],Parámetro[Par],"NA",0)</x:f>
        <x:v>#NAME?</x:v>
      </x:c>
      <x:c r="B18" t="s">
        <x:v>283</x:v>
      </x:c>
      <x:c r="C18" s="24" t="s">
        <x:v>653</x:v>
      </x:c>
      <x:c r="D18" s="181">
        <x:v>5</x:v>
      </x:c>
      <x:c r="E18" t="n">
        <x:f>COUNTIF(Glosario[Glosario ⬇️],Glosario[[#This Row],[Glosario ⬇️]])</x:f>
        <x:v>1</x:v>
      </x:c>
      <x:c r="F18" s="184" t="s">
        <x:v>654</x:v>
      </x:c>
      <x:c r="G18" s="183"/>
    </x:row>
    <x:row r="19">
      <x:c r="A19" s="181" t="e">
        <x:f>_xlfn.XLOOKUP(Glosario[[#This Row],[Parámetro]],Parámetro[Parámetro],Parámetro[Par],"NA",0)</x:f>
        <x:v>#NAME?</x:v>
      </x:c>
      <x:c r="B19" t="s">
        <x:v>283</x:v>
      </x:c>
      <x:c r="C19" s="24" t="s">
        <x:v>655</x:v>
      </x:c>
      <x:c r="D19" s="181">
        <x:v>6</x:v>
      </x:c>
      <x:c r="E19" t="n">
        <x:f>COUNTIF(Glosario[Glosario ⬇️],Glosario[[#This Row],[Glosario ⬇️]])</x:f>
        <x:v>1</x:v>
      </x:c>
      <x:c r="F19" s="184" t="s">
        <x:v>656</x:v>
      </x:c>
      <x:c r="G19" s="183"/>
    </x:row>
    <x:row r="20">
      <x:c r="A20" s="181" t="e">
        <x:f>_xlfn.XLOOKUP(Glosario[[#This Row],[Parámetro]],Parámetro[Parámetro],Parámetro[Par],"NA",0)</x:f>
        <x:v>#NAME?</x:v>
      </x:c>
      <x:c r="B20" t="s">
        <x:v>430</x:v>
      </x:c>
      <x:c r="C20" s="24" t="s">
        <x:v>657</x:v>
      </x:c>
      <x:c r="D20" s="181">
        <x:v>9</x:v>
      </x:c>
      <x:c r="E20" t="n">
        <x:f>COUNTIF(Glosario[Glosario ⬇️],Glosario[[#This Row],[Glosario ⬇️]])</x:f>
        <x:v>1</x:v>
      </x:c>
      <x:c r="F20" s="184" t="s">
        <x:v>658</x:v>
      </x:c>
      <x:c r="G20" s="183"/>
    </x:row>
    <x:row r="21">
      <x:c r="A21" s="181" t="e">
        <x:f>_xlfn.XLOOKUP(Glosario[[#This Row],[Parámetro]],Parámetro[Parámetro],Parámetro[Par],"NA",0)</x:f>
        <x:v>#NAME?</x:v>
      </x:c>
      <x:c r="B21" t="s">
        <x:v>659</x:v>
      </x:c>
      <x:c r="C21" s="195" t="s">
        <x:v>660</x:v>
      </x:c>
      <x:c r="D21" s="181">
        <x:v>47</x:v>
      </x:c>
      <x:c r="E21" s="165" t="n">
        <x:f>COUNTIF(Glosario[Glosario ⬇️],Glosario[[#This Row],[Glosario ⬇️]])</x:f>
        <x:v>1</x:v>
      </x:c>
      <x:c r="F21" s="190" t="s">
        <x:v>661</x:v>
      </x:c>
      <x:c r="G21" s="183"/>
    </x:row>
    <x:row r="22">
      <x:c r="A22" s="181" t="e">
        <x:f>_xlfn.XLOOKUP(Glosario[[#This Row],[Parámetro]],Parámetro[Parámetro],Parámetro[Par],"NA",0)</x:f>
        <x:v>#NAME?</x:v>
      </x:c>
      <x:c r="B22" t="s">
        <x:v>316</x:v>
      </x:c>
      <x:c r="C22" s="24" t="s">
        <x:v>662</x:v>
      </x:c>
      <x:c r="D22" s="181">
        <x:v>73</x:v>
      </x:c>
      <x:c r="E22" s="165" t="n">
        <x:f>COUNTIF(Glosario[Glosario ⬇️],Glosario[[#This Row],[Glosario ⬇️]])</x:f>
        <x:v>1</x:v>
      </x:c>
      <x:c r="F22" s="190" t="s">
        <x:v>663</x:v>
      </x:c>
      <x:c r="G22" s="183"/>
    </x:row>
    <x:row r="23" ht="123.75">
      <x:c r="A23" s="181" t="e">
        <x:f>_xlfn.XLOOKUP(Glosario[[#This Row],[Parámetro]],Parámetro[Parámetro],Parámetro[Par],"NA",0)</x:f>
        <x:v>#NAME?</x:v>
      </x:c>
      <x:c r="B23" t="s">
        <x:v>218</x:v>
      </x:c>
      <x:c r="C23" s="24" t="s">
        <x:v>664</x:v>
      </x:c>
      <x:c r="D23" s="189"/>
      <x:c r="E23" s="165" t="n">
        <x:f>COUNTIF(Glosario[Glosario ⬇️],Glosario[[#This Row],[Glosario ⬇️]])</x:f>
        <x:v>1</x:v>
      </x:c>
      <x:c r="F23" s="190" t="s">
        <x:v>665</x:v>
      </x:c>
      <x:c r="G23" s="183"/>
    </x:row>
    <x:row r="24">
      <x:c r="A24" s="181" t="e">
        <x:f>_xlfn.XLOOKUP(Glosario[[#This Row],[Parámetro]],Parámetro[Parámetro],Parámetro[Par],"NA",0)</x:f>
        <x:v>#NAME?</x:v>
      </x:c>
      <x:c r="B24" t="s">
        <x:v>430</x:v>
      </x:c>
      <x:c r="C24" s="24" t="s">
        <x:v>590</x:v>
      </x:c>
      <x:c r="D24" s="189"/>
      <x:c r="E24" s="165" t="n">
        <x:f>COUNTIF(Glosario[Glosario ⬇️],Glosario[[#This Row],[Glosario ⬇️]])</x:f>
        <x:v>1</x:v>
      </x:c>
      <x:c r="F24" s="190" t="s">
        <x:v>666</x:v>
      </x:c>
      <x:c r="G24" s="183"/>
    </x:row>
    <x:row r="25">
      <x:c r="A25" s="181" t="e">
        <x:f>_xlfn.XLOOKUP(Glosario[[#This Row],[Parámetro]],Parámetro[Parámetro],Parámetro[Par],"NA",0)</x:f>
        <x:v>#NAME?</x:v>
      </x:c>
      <x:c r="B25" t="s">
        <x:v>370</x:v>
      </x:c>
      <x:c r="C25" s="195" t="s">
        <x:v>667</x:v>
      </x:c>
      <x:c r="D25" s="181">
        <x:v>46</x:v>
      </x:c>
      <x:c r="E25" s="165" t="n">
        <x:f>COUNTIF(Glosario[Glosario ⬇️],Glosario[[#This Row],[Glosario ⬇️]])</x:f>
        <x:v>1</x:v>
      </x:c>
      <x:c r="F25" s="190" t="s">
        <x:v>668</x:v>
      </x:c>
      <x:c r="G25" s="183"/>
    </x:row>
    <x:row r="26" ht="33.75">
      <x:c r="A26" s="181" t="e">
        <x:f>_xlfn.XLOOKUP(Glosario[[#This Row],[Parámetro]],Parámetro[Parámetro],Parámetro[Par],"NA",0)</x:f>
        <x:v>#NAME?</x:v>
      </x:c>
      <x:c r="B26" t="s">
        <x:v>152</x:v>
      </x:c>
      <x:c r="C26" s="24" t="s">
        <x:v>148</x:v>
      </x:c>
      <x:c r="D26" s="181">
        <x:v>29</x:v>
      </x:c>
      <x:c r="E26" t="n">
        <x:f>COUNTIF(Glosario[Glosario ⬇️],Glosario[[#This Row],[Glosario ⬇️]])</x:f>
        <x:v>1</x:v>
      </x:c>
      <x:c r="F26" s="184" t="s">
        <x:v>669</x:v>
      </x:c>
      <x:c r="G26" s="185"/>
    </x:row>
    <x:row r="27" ht="22.5">
      <x:c r="A27" s="181" t="e">
        <x:f>_xlfn.XLOOKUP(Glosario[[#This Row],[Parámetro]],Parámetro[Parámetro],Parámetro[Par],"NA",0)</x:f>
        <x:v>#NAME?</x:v>
      </x:c>
      <x:c r="B27" t="s">
        <x:v>152</x:v>
      </x:c>
      <x:c r="C27" s="24" t="s">
        <x:v>150</x:v>
      </x:c>
      <x:c r="D27" s="181">
        <x:v>30</x:v>
      </x:c>
      <x:c r="E27" t="n">
        <x:f>COUNTIF(Glosario[Glosario ⬇️],Glosario[[#This Row],[Glosario ⬇️]])</x:f>
        <x:v>1</x:v>
      </x:c>
      <x:c r="F27" s="184" t="s">
        <x:v>670</x:v>
      </x:c>
      <x:c r="G27" s="185"/>
    </x:row>
    <x:row r="28" ht="101.25">
      <x:c r="A28" s="181" t="e">
        <x:f>_xlfn.XLOOKUP(Glosario[[#This Row],[Parámetro]],Parámetro[Parámetro],Parámetro[Par],"NA",0)</x:f>
        <x:v>#NAME?</x:v>
      </x:c>
      <x:c r="B28" t="s">
        <x:v>252</x:v>
      </x:c>
      <x:c r="C28" s="24" t="s">
        <x:v>671</x:v>
      </x:c>
      <x:c r="D28" s="189"/>
      <x:c r="E28" s="165" t="n">
        <x:f>COUNTIF(Glosario[Glosario ⬇️],Glosario[[#This Row],[Glosario ⬇️]])</x:f>
        <x:v>1</x:v>
      </x:c>
      <x:c r="F28" s="184" t="s">
        <x:v>672</x:v>
      </x:c>
      <x:c r="G28" s="185"/>
    </x:row>
    <x:row r="29">
      <x:c r="A29" s="181" t="e">
        <x:f>_xlfn.XLOOKUP(Glosario[[#This Row],[Parámetro]],Parámetro[Parámetro],Parámetro[Par],"NA",0)</x:f>
        <x:v>#NAME?</x:v>
      </x:c>
      <x:c r="B29" t="s">
        <x:v>316</x:v>
      </x:c>
      <x:c r="C29" s="24" t="s">
        <x:v>673</x:v>
      </x:c>
      <x:c r="D29" s="181">
        <x:v>74</x:v>
      </x:c>
      <x:c r="E29" s="165" t="n">
        <x:f>COUNTIF(Glosario[Glosario ⬇️],Glosario[[#This Row],[Glosario ⬇️]])</x:f>
        <x:v>1</x:v>
      </x:c>
      <x:c r="F29" s="190" t="s">
        <x:v>674</x:v>
      </x:c>
      <x:c r="G29" s="183"/>
    </x:row>
    <x:row r="30" ht="22.5">
      <x:c r="A30" s="181" t="e">
        <x:f>_xlfn.XLOOKUP(Glosario[[#This Row],[Parámetro]],Parámetro[Parámetro],Parámetro[Par],"NA",0)</x:f>
        <x:v>#NAME?</x:v>
      </x:c>
      <x:c r="B30" t="s">
        <x:v>316</x:v>
      </x:c>
      <x:c r="C30" s="24" t="s">
        <x:v>675</x:v>
      </x:c>
      <x:c r="D30" s="181">
        <x:v>75</x:v>
      </x:c>
      <x:c r="E30" s="165" t="n">
        <x:f>COUNTIF(Glosario[Glosario ⬇️],Glosario[[#This Row],[Glosario ⬇️]])</x:f>
        <x:v>1</x:v>
      </x:c>
      <x:c r="F30" s="190" t="s">
        <x:v>676</x:v>
      </x:c>
      <x:c r="G30" s="183"/>
    </x:row>
    <x:row r="31">
      <x:c r="A31" s="181" t="e">
        <x:f>_xlfn.XLOOKUP(Glosario[[#This Row],[Parámetro]],Parámetro[Parámetro],Parámetro[Par],"NA",0)</x:f>
        <x:v>#NAME?</x:v>
      </x:c>
      <x:c r="B31" t="s">
        <x:v>370</x:v>
      </x:c>
      <x:c r="C31" s="195" t="s">
        <x:v>677</x:v>
      </x:c>
      <x:c r="D31" s="181">
        <x:v>49</x:v>
      </x:c>
      <x:c r="E31" s="165" t="n">
        <x:f>COUNTIF(Glosario[Glosario ⬇️],Glosario[[#This Row],[Glosario ⬇️]])</x:f>
        <x:v>1</x:v>
      </x:c>
      <x:c r="F31" s="190" t="s">
        <x:v>678</x:v>
      </x:c>
      <x:c r="G31" s="183"/>
    </x:row>
    <x:row r="32" ht="157.5">
      <x:c r="A32" s="181" t="e">
        <x:f>_xlfn.XLOOKUP(Glosario[[#This Row],[Parámetro]],Parámetro[Parámetro],Parámetro[Par],"NA",0)</x:f>
        <x:v>#NAME?</x:v>
      </x:c>
      <x:c r="B32" t="s">
        <x:v>300</x:v>
      </x:c>
      <x:c r="C32" s="24" t="s">
        <x:v>679</x:v>
      </x:c>
      <x:c r="D32" s="181">
        <x:v>37</x:v>
      </x:c>
      <x:c r="E32" t="n">
        <x:f>COUNTIF(Glosario[Glosario ⬇️],Glosario[[#This Row],[Glosario ⬇️]])</x:f>
        <x:v>1</x:v>
      </x:c>
      <x:c r="F32" s="184" t="s">
        <x:v>680</x:v>
      </x:c>
      <x:c r="G32" s="185" t="e" vm="1">
        <x:v>#VALUE!</x:v>
      </x:c>
    </x:row>
    <x:row r="33" ht="22.5">
      <x:c r="A33" s="181" t="e">
        <x:f>_xlfn.XLOOKUP(Glosario[[#This Row],[Parámetro]],Parámetro[Parámetro],Parámetro[Par],"NA",0)</x:f>
        <x:v>#NAME?</x:v>
      </x:c>
      <x:c r="B33" t="s">
        <x:v>316</x:v>
      </x:c>
      <x:c r="C33" s="24" t="s">
        <x:v>681</x:v>
      </x:c>
      <x:c r="D33" s="181">
        <x:v>76</x:v>
      </x:c>
      <x:c r="E33" s="165" t="n">
        <x:f>COUNTIF(Glosario[Glosario ⬇️],Glosario[[#This Row],[Glosario ⬇️]])</x:f>
        <x:v>1</x:v>
      </x:c>
      <x:c r="F33" s="190" t="s">
        <x:v>682</x:v>
      </x:c>
      <x:c r="G33" s="183"/>
    </x:row>
    <x:row r="34" ht="22.5">
      <x:c r="A34" s="181" t="e">
        <x:f>_xlfn.XLOOKUP(Glosario[[#This Row],[Parámetro]],Parámetro[Parámetro],Parámetro[Par],"NA",0)</x:f>
        <x:v>#NAME?</x:v>
      </x:c>
      <x:c r="B34" t="s">
        <x:v>316</x:v>
      </x:c>
      <x:c r="C34" s="195" t="s">
        <x:v>683</x:v>
      </x:c>
      <x:c r="D34" s="181">
        <x:v>50</x:v>
      </x:c>
      <x:c r="E34" s="165" t="n">
        <x:f>COUNTIF(Glosario[Glosario ⬇️],Glosario[[#This Row],[Glosario ⬇️]])</x:f>
        <x:v>1</x:v>
      </x:c>
      <x:c r="F34" s="190" t="s">
        <x:v>684</x:v>
      </x:c>
      <x:c r="G34" s="183"/>
    </x:row>
    <x:row r="35">
      <x:c r="A35" s="181" t="e">
        <x:f>_xlfn.XLOOKUP(Glosario[[#This Row],[Parámetro]],Parámetro[Parámetro],Parámetro[Par],"NA",0)</x:f>
        <x:v>#NAME?</x:v>
      </x:c>
      <x:c r="B35" t="s">
        <x:v>316</x:v>
      </x:c>
      <x:c r="C35" s="195" t="s">
        <x:v>685</x:v>
      </x:c>
      <x:c r="D35" s="181">
        <x:v>51</x:v>
      </x:c>
      <x:c r="E35" s="165" t="n">
        <x:f>COUNTIF(Glosario[Glosario ⬇️],Glosario[[#This Row],[Glosario ⬇️]])</x:f>
        <x:v>1</x:v>
      </x:c>
      <x:c r="F35" s="190" t="s">
        <x:v>686</x:v>
      </x:c>
      <x:c r="G35" s="183"/>
    </x:row>
    <x:row r="36">
      <x:c r="A36" s="181" t="e">
        <x:f>_xlfn.XLOOKUP(Glosario[[#This Row],[Parámetro]],Parámetro[Parámetro],Parámetro[Par],"NA",0)</x:f>
        <x:v>#NAME?</x:v>
      </x:c>
      <x:c r="B36" t="s">
        <x:v>380</x:v>
      </x:c>
      <x:c r="C36" s="195" t="s">
        <x:v>687</x:v>
      </x:c>
      <x:c r="D36" s="181">
        <x:v>52</x:v>
      </x:c>
      <x:c r="E36" s="165" t="n">
        <x:f>COUNTIF(Glosario[Glosario ⬇️],Glosario[[#This Row],[Glosario ⬇️]])</x:f>
        <x:v>1</x:v>
      </x:c>
      <x:c r="F36" s="190" t="s">
        <x:v>688</x:v>
      </x:c>
      <x:c r="G36" s="183"/>
    </x:row>
    <x:row r="37">
      <x:c r="A37" s="181" t="e">
        <x:f>_xlfn.XLOOKUP(Glosario[[#This Row],[Parámetro]],Parámetro[Parámetro],Parámetro[Par],"NA",0)</x:f>
        <x:v>#NAME?</x:v>
      </x:c>
      <x:c r="B37" t="s">
        <x:v>248</x:v>
      </x:c>
      <x:c r="C37" s="195" t="s">
        <x:v>5</x:v>
      </x:c>
      <x:c r="D37" s="181">
        <x:v>53</x:v>
      </x:c>
      <x:c r="E37" s="165" t="n">
        <x:f>COUNTIF(Glosario[Glosario ⬇️],Glosario[[#This Row],[Glosario ⬇️]])</x:f>
        <x:v>1</x:v>
      </x:c>
      <x:c r="F37" s="190" t="s">
        <x:v>689</x:v>
      </x:c>
      <x:c r="G37" s="183"/>
    </x:row>
    <x:row r="38">
      <x:c r="A38" s="181" t="e">
        <x:f>_xlfn.XLOOKUP(Glosario[[#This Row],[Parámetro]],Parámetro[Parámetro],Parámetro[Par],"NA",0)</x:f>
        <x:v>#NAME?</x:v>
      </x:c>
      <x:c r="B38" t="s">
        <x:v>316</x:v>
      </x:c>
      <x:c r="C38" s="24" t="s">
        <x:v>690</x:v>
      </x:c>
      <x:c r="D38" s="181">
        <x:v>77</x:v>
      </x:c>
      <x:c r="E38" s="165" t="n">
        <x:f>COUNTIF(Glosario[Glosario ⬇️],Glosario[[#This Row],[Glosario ⬇️]])</x:f>
        <x:v>1</x:v>
      </x:c>
      <x:c r="F38" s="190" t="s">
        <x:v>691</x:v>
      </x:c>
      <x:c r="G38" s="183"/>
    </x:row>
    <x:row r="39">
      <x:c r="A39" s="181" t="e">
        <x:f>_xlfn.XLOOKUP(Glosario[[#This Row],[Parámetro]],Parámetro[Parámetro],Parámetro[Par],"NA",0)</x:f>
        <x:v>#NAME?</x:v>
      </x:c>
      <x:c r="B39" t="s">
        <x:v>380</x:v>
      </x:c>
      <x:c r="C39" s="24" t="s">
        <x:v>692</x:v>
      </x:c>
      <x:c r="D39" s="181">
        <x:v>80</x:v>
      </x:c>
      <x:c r="E39" s="165" t="n">
        <x:f>COUNTIF(Glosario[Glosario ⬇️],Glosario[[#This Row],[Glosario ⬇️]])</x:f>
        <x:v>1</x:v>
      </x:c>
      <x:c r="F39" s="190" t="s">
        <x:v>693</x:v>
      </x:c>
      <x:c r="G39" s="183"/>
    </x:row>
    <x:row r="40" ht="22.5">
      <x:c r="A40" s="181" t="e">
        <x:f>_xlfn.XLOOKUP(Glosario[[#This Row],[Parámetro]],Parámetro[Parámetro],Parámetro[Par],"NA",0)</x:f>
        <x:v>#NAME?</x:v>
      </x:c>
      <x:c r="B40" t="s">
        <x:v>694</x:v>
      </x:c>
      <x:c r="C40" s="24" t="s">
        <x:v>695</x:v>
      </x:c>
      <x:c r="D40" s="181">
        <x:v>79</x:v>
      </x:c>
      <x:c r="E40" s="165" t="n">
        <x:f>COUNTIF(Glosario[Glosario ⬇️],Glosario[[#This Row],[Glosario ⬇️]])</x:f>
        <x:v>1</x:v>
      </x:c>
      <x:c r="F40" s="190" t="s">
        <x:v>696</x:v>
      </x:c>
      <x:c r="G40" s="183"/>
    </x:row>
    <x:row r="41">
      <x:c r="A41" s="181" t="e">
        <x:f>_xlfn.XLOOKUP(Glosario[[#This Row],[Parámetro]],Parámetro[Parámetro],Parámetro[Par],"NA",0)</x:f>
        <x:v>#NAME?</x:v>
      </x:c>
      <x:c r="B41" t="s">
        <x:v>694</x:v>
      </x:c>
      <x:c r="C41" s="24" t="s">
        <x:v>697</x:v>
      </x:c>
      <x:c r="D41" s="181">
        <x:v>78</x:v>
      </x:c>
      <x:c r="E41" s="165" t="n">
        <x:f>COUNTIF(Glosario[Glosario ⬇️],Glosario[[#This Row],[Glosario ⬇️]])</x:f>
        <x:v>1</x:v>
      </x:c>
      <x:c r="F41" s="190" t="s">
        <x:v>698</x:v>
      </x:c>
      <x:c r="G41" s="183"/>
    </x:row>
    <x:row r="42">
      <x:c r="A42" s="181" t="e">
        <x:f>_xlfn.XLOOKUP(Glosario[[#This Row],[Parámetro]],Parámetro[Parámetro],Parámetro[Par],"NA",0)</x:f>
        <x:v>#NAME?</x:v>
      </x:c>
      <x:c r="B42" t="s">
        <x:v>430</x:v>
      </x:c>
      <x:c r="C42" s="24" t="s">
        <x:v>547</x:v>
      </x:c>
      <x:c r="D42" s="189"/>
      <x:c r="E42" s="165" t="n">
        <x:f>COUNTIF(Glosario[Glosario ⬇️],Glosario[[#This Row],[Glosario ⬇️]])</x:f>
        <x:v>1</x:v>
      </x:c>
      <x:c r="F42" s="190" t="s">
        <x:v>699</x:v>
      </x:c>
      <x:c r="G42" s="183"/>
    </x:row>
    <x:row r="43" ht="22.5">
      <x:c r="A43" s="181" t="e">
        <x:f>_xlfn.XLOOKUP(Glosario[[#This Row],[Parámetro]],Parámetro[Parámetro],Parámetro[Par],"NA",0)</x:f>
        <x:v>#NAME?</x:v>
      </x:c>
      <x:c r="B43" t="s">
        <x:v>627</x:v>
      </x:c>
      <x:c r="C43" s="24" t="s">
        <x:v>700</x:v>
      </x:c>
      <x:c r="D43" s="181">
        <x:v>81</x:v>
      </x:c>
      <x:c r="E43" s="165" t="n">
        <x:f>COUNTIF(Glosario[Glosario ⬇️],Glosario[[#This Row],[Glosario ⬇️]])</x:f>
        <x:v>1</x:v>
      </x:c>
      <x:c r="F43" s="190" t="s">
        <x:v>701</x:v>
      </x:c>
      <x:c r="G43" s="183"/>
    </x:row>
    <x:row r="44" ht="78.75">
      <x:c r="A44" s="181" t="e">
        <x:f>_xlfn.XLOOKUP(Glosario[[#This Row],[Parámetro]],Parámetro[Parámetro],Parámetro[Par],"NA",0)</x:f>
        <x:v>#NAME?</x:v>
      </x:c>
      <x:c r="B44" t="s">
        <x:v>152</x:v>
      </x:c>
      <x:c r="C44" s="24" t="s">
        <x:v>702</x:v>
      </x:c>
      <x:c r="D44" s="181">
        <x:v>27</x:v>
      </x:c>
      <x:c r="E44" t="n">
        <x:f>COUNTIF(Glosario[Glosario ⬇️],Glosario[[#This Row],[Glosario ⬇️]])</x:f>
        <x:v>1</x:v>
      </x:c>
      <x:c r="F44" s="184" t="s">
        <x:v>703</x:v>
      </x:c>
      <x:c r="G44" s="181"/>
    </x:row>
    <x:row r="45">
      <x:c r="A45" s="181" t="e">
        <x:f>_xlfn.XLOOKUP(Glosario[[#This Row],[Parámetro]],Parámetro[Parámetro],Parámetro[Par],"NA",0)</x:f>
        <x:v>#NAME?</x:v>
      </x:c>
      <x:c r="B45" t="s">
        <x:v>621</x:v>
      </x:c>
      <x:c r="C45" s="24" t="s">
        <x:v>704</x:v>
      </x:c>
      <x:c r="D45" s="181">
        <x:v>40</x:v>
      </x:c>
      <x:c r="E45" t="n">
        <x:f>COUNTIF(Glosario[Glosario ⬇️],Glosario[[#This Row],[Glosario ⬇️]])</x:f>
        <x:v>1</x:v>
      </x:c>
      <x:c r="F45" s="184" t="s">
        <x:v>705</x:v>
      </x:c>
      <x:c r="G45" s="183"/>
    </x:row>
    <x:row r="46" ht="22.5">
      <x:c r="A46" s="181" t="e">
        <x:f>_xlfn.XLOOKUP(Glosario[[#This Row],[Parámetro]],Parámetro[Parámetro],Parámetro[Par],"NA",0)</x:f>
        <x:v>#NAME?</x:v>
      </x:c>
      <x:c r="B46" t="s">
        <x:v>300</x:v>
      </x:c>
      <x:c r="C46" s="24" t="s">
        <x:v>706</x:v>
      </x:c>
      <x:c r="D46" s="181">
        <x:v>33</x:v>
      </x:c>
      <x:c r="E46" t="n">
        <x:f>COUNTIF(Glosario[Glosario ⬇️],Glosario[[#This Row],[Glosario ⬇️]])</x:f>
        <x:v>1</x:v>
      </x:c>
      <x:c r="F46" s="184" t="s">
        <x:v>707</x:v>
      </x:c>
      <x:c r="G46" s="183"/>
    </x:row>
    <x:row r="47" ht="157.5">
      <x:c r="A47" s="181" t="e">
        <x:f>_xlfn.XLOOKUP(Glosario[[#This Row],[Parámetro]],Parámetro[Parámetro],Parámetro[Par],"NA",0)</x:f>
        <x:v>#NAME?</x:v>
      </x:c>
      <x:c r="C47" s="24" t="s">
        <x:v>708</x:v>
      </x:c>
      <x:c r="D47" s="189"/>
      <x:c r="E47" s="165" t="n">
        <x:f>COUNTIF(Glosario[Glosario ⬇️],Glosario[[#This Row],[Glosario ⬇️]])</x:f>
        <x:v>1</x:v>
      </x:c>
      <x:c r="F47" s="184" t="s">
        <x:v>709</x:v>
      </x:c>
      <x:c r="G47" s="183"/>
    </x:row>
    <x:row r="48" ht="22.5">
      <x:c r="A48" s="181" t="e">
        <x:f>_xlfn.XLOOKUP(Glosario[[#This Row],[Parámetro]],Parámetro[Parámetro],Parámetro[Par],"NA",0)</x:f>
        <x:v>#NAME?</x:v>
      </x:c>
      <x:c r="B48" t="s">
        <x:v>694</x:v>
      </x:c>
      <x:c r="C48" s="24" t="s">
        <x:v>710</x:v>
      </x:c>
      <x:c r="D48" s="181">
        <x:v>82</x:v>
      </x:c>
      <x:c r="E48" s="165" t="n">
        <x:f>COUNTIF(Glosario[Glosario ⬇️],Glosario[[#This Row],[Glosario ⬇️]])</x:f>
        <x:v>1</x:v>
      </x:c>
      <x:c r="F48" s="190" t="s">
        <x:v>711</x:v>
      </x:c>
      <x:c r="G48" s="183"/>
    </x:row>
    <x:row r="49">
      <x:c r="A49" s="181" t="e">
        <x:f>_xlfn.XLOOKUP(Glosario[[#This Row],[Parámetro]],Parámetro[Parámetro],Parámetro[Par],"NA",0)</x:f>
        <x:v>#NAME?</x:v>
      </x:c>
      <x:c r="B49" t="s">
        <x:v>380</x:v>
      </x:c>
      <x:c r="C49" s="24" t="s">
        <x:v>712</x:v>
      </x:c>
      <x:c r="D49" s="181">
        <x:v>83</x:v>
      </x:c>
      <x:c r="E49" s="165" t="n">
        <x:f>COUNTIF(Glosario[Glosario ⬇️],Glosario[[#This Row],[Glosario ⬇️]])</x:f>
        <x:v>1</x:v>
      </x:c>
      <x:c r="F49" s="190" t="s">
        <x:v>713</x:v>
      </x:c>
      <x:c r="G49" s="183"/>
    </x:row>
    <x:row r="50">
      <x:c r="A50" s="181" t="e">
        <x:f>_xlfn.XLOOKUP(Glosario[[#This Row],[Parámetro]],Parámetro[Parámetro],Parámetro[Par],"NA",0)</x:f>
        <x:v>#NAME?</x:v>
      </x:c>
      <x:c r="B50" t="s">
        <x:v>627</x:v>
      </x:c>
      <x:c r="C50" s="24" t="s">
        <x:v>714</x:v>
      </x:c>
      <x:c r="D50" s="181">
        <x:v>84</x:v>
      </x:c>
      <x:c r="E50" s="165" t="n">
        <x:f>COUNTIF(Glosario[Glosario ⬇️],Glosario[[#This Row],[Glosario ⬇️]])</x:f>
        <x:v>1</x:v>
      </x:c>
      <x:c r="F50" s="190" t="s">
        <x:v>715</x:v>
      </x:c>
      <x:c r="G50" s="183"/>
    </x:row>
    <x:row r="51">
      <x:c r="A51" s="181" t="e">
        <x:f>_xlfn.XLOOKUP(Glosario[[#This Row],[Parámetro]],Parámetro[Parámetro],Parámetro[Par],"NA",0)</x:f>
        <x:v>#NAME?</x:v>
      </x:c>
      <x:c r="B51" t="s">
        <x:v>370</x:v>
      </x:c>
      <x:c r="C51" s="195" t="s">
        <x:v>716</x:v>
      </x:c>
      <x:c r="D51" s="181">
        <x:v>54</x:v>
      </x:c>
      <x:c r="E51" s="165" t="n">
        <x:f>COUNTIF(Glosario[Glosario ⬇️],Glosario[[#This Row],[Glosario ⬇️]])</x:f>
        <x:v>1</x:v>
      </x:c>
      <x:c r="F51" s="190" t="s">
        <x:v>717</x:v>
      </x:c>
      <x:c r="G51" s="183"/>
    </x:row>
    <x:row r="52">
      <x:c r="A52" s="181" t="e">
        <x:f>_xlfn.XLOOKUP(Glosario[[#This Row],[Parámetro]],Parámetro[Parámetro],Parámetro[Par],"NA",0)</x:f>
        <x:v>#NAME?</x:v>
      </x:c>
      <x:c r="B52" t="s">
        <x:v>316</x:v>
      </x:c>
      <x:c r="C52" s="195" t="s">
        <x:v>718</x:v>
      </x:c>
      <x:c r="D52" s="181">
        <x:v>55</x:v>
      </x:c>
      <x:c r="E52" s="165" t="n">
        <x:f>COUNTIF(Glosario[Glosario ⬇️],Glosario[[#This Row],[Glosario ⬇️]])</x:f>
        <x:v>1</x:v>
      </x:c>
      <x:c r="F52" s="190" t="s">
        <x:v>719</x:v>
      </x:c>
      <x:c r="G52" s="183"/>
    </x:row>
    <x:row r="53">
      <x:c r="A53" s="181" t="e">
        <x:f>_xlfn.XLOOKUP(Glosario[[#This Row],[Parámetro]],Parámetro[Parámetro],Parámetro[Par],"NA",0)</x:f>
        <x:v>#NAME?</x:v>
      </x:c>
      <x:c r="B53" t="s">
        <x:v>627</x:v>
      </x:c>
      <x:c r="C53" s="24" t="s">
        <x:v>720</x:v>
      </x:c>
      <x:c r="D53" s="181">
        <x:v>85</x:v>
      </x:c>
      <x:c r="E53" s="165" t="n">
        <x:f>COUNTIF(Glosario[Glosario ⬇️],Glosario[[#This Row],[Glosario ⬇️]])</x:f>
        <x:v>1</x:v>
      </x:c>
      <x:c r="F53" s="180" t="s">
        <x:v>721</x:v>
      </x:c>
      <x:c r="G53" s="183"/>
    </x:row>
    <x:row r="54" ht="22.5">
      <x:c r="A54" s="181" t="e">
        <x:f>_xlfn.XLOOKUP(Glosario[[#This Row],[Parámetro]],Parámetro[Parámetro],Parámetro[Par],"NA",0)</x:f>
        <x:v>#NAME?</x:v>
      </x:c>
      <x:c r="B54" t="s">
        <x:v>627</x:v>
      </x:c>
      <x:c r="C54" s="24" t="s">
        <x:v>722</x:v>
      </x:c>
      <x:c r="D54" s="181">
        <x:v>86</x:v>
      </x:c>
      <x:c r="E54" s="165" t="n">
        <x:f>COUNTIF(Glosario[Glosario ⬇️],Glosario[[#This Row],[Glosario ⬇️]])</x:f>
        <x:v>1</x:v>
      </x:c>
      <x:c r="F54" s="180" t="s">
        <x:v>723</x:v>
      </x:c>
      <x:c r="G54" s="183"/>
    </x:row>
    <x:row r="55" ht="22.5">
      <x:c r="A55" s="181" t="e">
        <x:f>_xlfn.XLOOKUP(Glosario[[#This Row],[Parámetro]],Parámetro[Parámetro],Parámetro[Par],"NA",0)</x:f>
        <x:v>#NAME?</x:v>
      </x:c>
      <x:c r="B55" t="s">
        <x:v>152</x:v>
      </x:c>
      <x:c r="C55" s="24" t="s">
        <x:v>152</x:v>
      </x:c>
      <x:c r="D55" s="181">
        <x:v>24</x:v>
      </x:c>
      <x:c r="E55" t="n">
        <x:f>COUNTIF(Glosario[Glosario ⬇️],Glosario[[#This Row],[Glosario ⬇️]])</x:f>
        <x:v>1</x:v>
      </x:c>
      <x:c r="F55" s="13" t="s">
        <x:v>724</x:v>
      </x:c>
      <x:c r="G55" s="185"/>
    </x:row>
    <x:row r="56">
      <x:c r="A56" s="181" t="e">
        <x:f>_xlfn.XLOOKUP(Glosario[[#This Row],[Parámetro]],Parámetro[Parámetro],Parámetro[Par],"NA",0)</x:f>
        <x:v>#NAME?</x:v>
      </x:c>
      <x:c r="B56" t="s">
        <x:v>152</x:v>
      </x:c>
      <x:c r="C56" s="24" t="s">
        <x:v>725</x:v>
      </x:c>
      <x:c r="D56" s="181">
        <x:v>26</x:v>
      </x:c>
      <x:c r="E56" t="n">
        <x:f>COUNTIF(Glosario[Glosario ⬇️],Glosario[[#This Row],[Glosario ⬇️]])</x:f>
        <x:v>1</x:v>
      </x:c>
      <x:c r="F56" s="13" t="s">
        <x:v>726</x:v>
      </x:c>
      <x:c r="G56" s="185"/>
    </x:row>
    <x:row r="57" ht="45">
      <x:c r="A57" s="181" t="e">
        <x:f>_xlfn.XLOOKUP(Glosario[[#This Row],[Parámetro]],Parámetro[Parámetro],Parámetro[Par],"NA",0)</x:f>
        <x:v>#NAME?</x:v>
      </x:c>
      <x:c r="B57" t="s">
        <x:v>380</x:v>
      </x:c>
      <x:c r="C57" s="24" t="s">
        <x:v>727</x:v>
      </x:c>
      <x:c r="D57" s="181">
        <x:v>87</x:v>
      </x:c>
      <x:c r="E57" s="165" t="n">
        <x:f>COUNTIF(Glosario[Glosario ⬇️],Glosario[[#This Row],[Glosario ⬇️]])</x:f>
        <x:v>1</x:v>
      </x:c>
      <x:c r="F57" s="180" t="s">
        <x:v>728</x:v>
      </x:c>
    </x:row>
    <x:row r="58">
      <x:c r="A58" s="186" t="e">
        <x:f>_xlfn.XLOOKUP(Glosario[[#This Row],[Parámetro]],Parámetro[Parámetro],Parámetro[Par],"NA",0)</x:f>
        <x:v>#NAME?</x:v>
      </x:c>
      <x:c r="B58" t="s">
        <x:v>316</x:v>
      </x:c>
      <x:c r="C58" s="24" t="s">
        <x:v>729</x:v>
      </x:c>
      <x:c r="D58" s="181">
        <x:v>88</x:v>
      </x:c>
      <x:c r="E58" s="165" t="n">
        <x:f>COUNTIF(Glosario[Glosario ⬇️],Glosario[[#This Row],[Glosario ⬇️]])</x:f>
        <x:v>1</x:v>
      </x:c>
      <x:c r="F58" s="180" t="s">
        <x:v>730</x:v>
      </x:c>
      <x:c r="G58" s="183"/>
    </x:row>
    <x:row r="59">
      <x:c r="A59" s="186" t="e">
        <x:f>_xlfn.XLOOKUP(Glosario[[#This Row],[Parámetro]],Parámetro[Parámetro],Parámetro[Par],"NA",0)</x:f>
        <x:v>#NAME?</x:v>
      </x:c>
      <x:c r="B59" t="s">
        <x:v>300</x:v>
      </x:c>
      <x:c r="C59" s="24" t="s">
        <x:v>731</x:v>
      </x:c>
      <x:c r="D59" s="181">
        <x:v>32</x:v>
      </x:c>
      <x:c r="E59" t="n">
        <x:f>COUNTIF(Glosario[Glosario ⬇️],Glosario[[#This Row],[Glosario ⬇️]])</x:f>
        <x:v>1</x:v>
      </x:c>
      <x:c r="F59" s="13" t="s">
        <x:v>732</x:v>
      </x:c>
      <x:c r="G59" s="183"/>
    </x:row>
    <x:row r="60" ht="33.75">
      <x:c r="A60" s="186" t="e">
        <x:f>_xlfn.XLOOKUP(Glosario[[#This Row],[Parámetro]],Parámetro[Parámetro],Parámetro[Par],"NA",0)</x:f>
        <x:v>#NAME?</x:v>
      </x:c>
      <x:c r="B60" t="s">
        <x:v>316</x:v>
      </x:c>
      <x:c r="C60" s="24" t="s">
        <x:v>733</x:v>
      </x:c>
      <x:c r="D60" s="181">
        <x:v>89</x:v>
      </x:c>
      <x:c r="E60" s="165" t="n">
        <x:f>COUNTIF(Glosario[Glosario ⬇️],Glosario[[#This Row],[Glosario ⬇️]])</x:f>
        <x:v>1</x:v>
      </x:c>
      <x:c r="F60" s="180" t="s">
        <x:v>734</x:v>
      </x:c>
      <x:c r="G60" s="183"/>
    </x:row>
    <x:row r="61">
      <x:c r="A61" s="186" t="e">
        <x:f>_xlfn.XLOOKUP(Glosario[[#This Row],[Parámetro]],Parámetro[Parámetro],Parámetro[Par],"NA",0)</x:f>
        <x:v>#NAME?</x:v>
      </x:c>
      <x:c r="B61" t="s">
        <x:v>316</x:v>
      </x:c>
      <x:c r="C61" s="24" t="s">
        <x:v>735</x:v>
      </x:c>
      <x:c r="D61" s="181">
        <x:v>90</x:v>
      </x:c>
      <x:c r="E61" s="165" t="n">
        <x:f>COUNTIF(Glosario[Glosario ⬇️],Glosario[[#This Row],[Glosario ⬇️]])</x:f>
        <x:v>1</x:v>
      </x:c>
      <x:c r="F61" s="180" t="s">
        <x:v>736</x:v>
      </x:c>
      <x:c r="G61" s="183"/>
    </x:row>
    <x:row r="62" ht="22.5">
      <x:c r="A62" s="186" t="e">
        <x:f>_xlfn.XLOOKUP(Glosario[[#This Row],[Parámetro]],Parámetro[Parámetro],Parámetro[Par],"NA",0)</x:f>
        <x:v>#NAME?</x:v>
      </x:c>
      <x:c r="B62" t="s">
        <x:v>316</x:v>
      </x:c>
      <x:c r="C62" s="24" t="s">
        <x:v>737</x:v>
      </x:c>
      <x:c r="D62" s="181">
        <x:v>93</x:v>
      </x:c>
      <x:c r="E62" s="165" t="n">
        <x:f>COUNTIF(Glosario[Glosario ⬇️],Glosario[[#This Row],[Glosario ⬇️]])</x:f>
        <x:v>1</x:v>
      </x:c>
      <x:c r="F62" s="180" t="s">
        <x:v>738</x:v>
      </x:c>
      <x:c r="G62" s="183"/>
    </x:row>
    <x:row r="63">
      <x:c r="A63" s="186" t="e">
        <x:f>_xlfn.XLOOKUP(Glosario[[#This Row],[Parámetro]],Parámetro[Parámetro],Parámetro[Par],"NA",0)</x:f>
        <x:v>#NAME?</x:v>
      </x:c>
      <x:c r="B63" t="s">
        <x:v>252</x:v>
      </x:c>
      <x:c r="C63" s="24" t="s">
        <x:v>739</x:v>
      </x:c>
      <x:c r="D63" s="181">
        <x:v>91</x:v>
      </x:c>
      <x:c r="E63" s="165" t="n">
        <x:f>COUNTIF(Glosario[Glosario ⬇️],Glosario[[#This Row],[Glosario ⬇️]])</x:f>
        <x:v>1</x:v>
      </x:c>
      <x:c r="F63" s="180" t="s">
        <x:v>740</x:v>
      </x:c>
      <x:c r="G63" s="183"/>
    </x:row>
    <x:row r="64" ht="33.75">
      <x:c r="A64" s="186" t="e">
        <x:f>_xlfn.XLOOKUP(Glosario[[#This Row],[Parámetro]],Parámetro[Parámetro],Parámetro[Par],"NA",0)</x:f>
        <x:v>#NAME?</x:v>
      </x:c>
      <x:c r="B64" t="s">
        <x:v>283</x:v>
      </x:c>
      <x:c r="C64" s="24" t="s">
        <x:v>741</x:v>
      </x:c>
      <x:c r="D64" s="181">
        <x:v>92</x:v>
      </x:c>
      <x:c r="E64" s="165" t="n">
        <x:f>COUNTIF(Glosario[Glosario ⬇️],Glosario[[#This Row],[Glosario ⬇️]])</x:f>
        <x:v>1</x:v>
      </x:c>
      <x:c r="F64" s="180" t="s">
        <x:v>742</x:v>
      </x:c>
      <x:c r="G64" s="183"/>
    </x:row>
    <x:row r="65" ht="157.5">
      <x:c r="A65" s="186" t="e">
        <x:f>_xlfn.XLOOKUP(Glosario[[#This Row],[Parámetro]],Parámetro[Parámetro],Parámetro[Par],"NA",0)</x:f>
        <x:v>#NAME?</x:v>
      </x:c>
      <x:c r="B65" t="s">
        <x:v>300</x:v>
      </x:c>
      <x:c r="C65" s="24" t="s">
        <x:v>743</x:v>
      </x:c>
      <x:c r="D65" s="189"/>
      <x:c r="E65" s="165" t="n">
        <x:f>COUNTIF(Glosario[Glosario ⬇️],Glosario[[#This Row],[Glosario ⬇️]])</x:f>
        <x:v>1</x:v>
      </x:c>
      <x:c r="F65" s="180" t="s">
        <x:v>744</x:v>
      </x:c>
      <x:c r="G65" s="183"/>
    </x:row>
    <x:row r="66" ht="22.5">
      <x:c r="A66" s="186" t="e">
        <x:f>_xlfn.XLOOKUP(Glosario[[#This Row],[Parámetro]],Parámetro[Parámetro],Parámetro[Par],"NA",0)</x:f>
        <x:v>#NAME?</x:v>
      </x:c>
      <x:c r="B66" t="s">
        <x:v>745</x:v>
      </x:c>
      <x:c r="C66" s="24" t="s">
        <x:v>746</x:v>
      </x:c>
      <x:c r="D66" s="189"/>
      <x:c r="E66" s="165" t="n">
        <x:f>COUNTIF(Glosario[Glosario ⬇️],Glosario[[#This Row],[Glosario ⬇️]])</x:f>
        <x:v>1</x:v>
      </x:c>
      <x:c r="F66" s="180" t="s">
        <x:v>747</x:v>
      </x:c>
      <x:c r="G66" s="183"/>
    </x:row>
    <x:row r="67">
      <x:c r="A67" s="186" t="e">
        <x:f>_xlfn.XLOOKUP(Glosario[[#This Row],[Parámetro]],Parámetro[Parámetro],Parámetro[Par],"NA",0)</x:f>
        <x:v>#NAME?</x:v>
      </x:c>
      <x:c r="B67" t="s">
        <x:v>300</x:v>
      </x:c>
      <x:c r="C67" s="24" t="s">
        <x:v>748</x:v>
      </x:c>
      <x:c r="D67" s="181">
        <x:v>35</x:v>
      </x:c>
      <x:c r="E67" t="n">
        <x:f>COUNTIF(Glosario[Glosario ⬇️],Glosario[[#This Row],[Glosario ⬇️]])</x:f>
        <x:v>1</x:v>
      </x:c>
      <x:c r="F67" s="13" t="s">
        <x:v>749</x:v>
      </x:c>
      <x:c r="G67" s="183"/>
    </x:row>
    <x:row r="68" ht="22.5">
      <x:c r="A68" s="186" t="e">
        <x:f>_xlfn.XLOOKUP(Glosario[[#This Row],[Parámetro]],Parámetro[Parámetro],Parámetro[Par],"NA",0)</x:f>
        <x:v>#NAME?</x:v>
      </x:c>
      <x:c r="B68" t="s">
        <x:v>300</x:v>
      </x:c>
      <x:c r="C68" s="24" t="s">
        <x:v>750</x:v>
      </x:c>
      <x:c r="D68" s="181">
        <x:v>34</x:v>
      </x:c>
      <x:c r="E68" t="n">
        <x:f>COUNTIF(Glosario[Glosario ⬇️],Glosario[[#This Row],[Glosario ⬇️]])</x:f>
        <x:v>1</x:v>
      </x:c>
      <x:c r="F68" s="13" t="s">
        <x:v>751</x:v>
      </x:c>
      <x:c r="G68" s="185"/>
    </x:row>
    <x:row r="69" ht="22.5">
      <x:c r="A69" s="186" t="e">
        <x:f>_xlfn.XLOOKUP(Glosario[[#This Row],[Parámetro]],Parámetro[Parámetro],Parámetro[Par],"NA",0)</x:f>
        <x:v>#NAME?</x:v>
      </x:c>
      <x:c r="B69" t="s">
        <x:v>659</x:v>
      </x:c>
      <x:c r="C69" s="24" t="s">
        <x:v>752</x:v>
      </x:c>
      <x:c r="D69" s="181">
        <x:v>10</x:v>
      </x:c>
      <x:c r="E69" t="n">
        <x:f>COUNTIF(Glosario[Glosario ⬇️],Glosario[[#This Row],[Glosario ⬇️]])</x:f>
        <x:v>1</x:v>
      </x:c>
      <x:c r="F69" s="13" t="s">
        <x:v>753</x:v>
      </x:c>
      <x:c r="G69" s="183"/>
    </x:row>
    <x:row r="70">
      <x:c r="A70" s="186" t="e">
        <x:f>_xlfn.XLOOKUP(Glosario[[#This Row],[Parámetro]],Parámetro[Parámetro],Parámetro[Par],"NA",0)</x:f>
        <x:v>#NAME?</x:v>
      </x:c>
      <x:c r="B70" t="s">
        <x:v>745</x:v>
      </x:c>
      <x:c r="C70" s="24" t="s">
        <x:v>754</x:v>
      </x:c>
      <x:c r="D70" s="181">
        <x:v>94</x:v>
      </x:c>
      <x:c r="E70" s="165" t="n">
        <x:f>COUNTIF(Glosario[Glosario ⬇️],Glosario[[#This Row],[Glosario ⬇️]])</x:f>
        <x:v>1</x:v>
      </x:c>
      <x:c r="F70" s="180" t="s">
        <x:v>755</x:v>
      </x:c>
      <x:c r="G70" s="183"/>
    </x:row>
    <x:row r="71">
      <x:c r="A71" s="186" t="e">
        <x:f>_xlfn.XLOOKUP(Glosario[[#This Row],[Parámetro]],Parámetro[Parámetro],Parámetro[Par],"NA",0)</x:f>
        <x:v>#NAME?</x:v>
      </x:c>
      <x:c r="B71" t="s">
        <x:v>659</x:v>
      </x:c>
      <x:c r="C71" s="195" t="s">
        <x:v>756</x:v>
      </x:c>
      <x:c r="D71" s="181">
        <x:v>56</x:v>
      </x:c>
      <x:c r="E71" s="165" t="n">
        <x:f>COUNTIF(Glosario[Glosario ⬇️],Glosario[[#This Row],[Glosario ⬇️]])</x:f>
        <x:v>1</x:v>
      </x:c>
      <x:c r="F71" s="180" t="s">
        <x:v>757</x:v>
      </x:c>
      <x:c r="G71" s="183"/>
    </x:row>
    <x:row r="72" ht="22.5">
      <x:c r="A72" s="186" t="e">
        <x:f>_xlfn.XLOOKUP(Glosario[[#This Row],[Parámetro]],Parámetro[Parámetro],Parámetro[Par],"NA",0)</x:f>
        <x:v>#NAME?</x:v>
      </x:c>
      <x:c r="B72" t="s">
        <x:v>694</x:v>
      </x:c>
      <x:c r="C72" s="24" t="s">
        <x:v>758</x:v>
      </x:c>
      <x:c r="D72" s="181">
        <x:v>95</x:v>
      </x:c>
      <x:c r="E72" s="165" t="n">
        <x:f>COUNTIF(Glosario[Glosario ⬇️],Glosario[[#This Row],[Glosario ⬇️]])</x:f>
        <x:v>1</x:v>
      </x:c>
      <x:c r="F72" s="180" t="s">
        <x:v>759</x:v>
      </x:c>
      <x:c r="G72" s="183"/>
    </x:row>
    <x:row r="73">
      <x:c r="A73" s="186" t="e">
        <x:f>_xlfn.XLOOKUP(Glosario[[#This Row],[Parámetro]],Parámetro[Parámetro],Parámetro[Par],"NA",0)</x:f>
        <x:v>#NAME?</x:v>
      </x:c>
      <x:c r="B73" t="s">
        <x:v>316</x:v>
      </x:c>
      <x:c r="C73" s="24" t="s">
        <x:v>760</x:v>
      </x:c>
      <x:c r="D73" s="181">
        <x:v>100</x:v>
      </x:c>
      <x:c r="E73" s="165" t="n">
        <x:f>COUNTIF(Glosario[Glosario ⬇️],Glosario[[#This Row],[Glosario ⬇️]])</x:f>
        <x:v>1</x:v>
      </x:c>
      <x:c r="F73" s="180" t="s">
        <x:v>761</x:v>
      </x:c>
      <x:c r="G73" s="183"/>
    </x:row>
    <x:row r="74" ht="22.5">
      <x:c r="A74" s="186" t="e">
        <x:f>_xlfn.XLOOKUP(Glosario[[#This Row],[Parámetro]],Parámetro[Parámetro],Parámetro[Par],"NA",0)</x:f>
        <x:v>#NAME?</x:v>
      </x:c>
      <x:c r="B74" t="s">
        <x:v>627</x:v>
      </x:c>
      <x:c r="C74" s="24" t="s">
        <x:v>762</x:v>
      </x:c>
      <x:c r="D74" s="181">
        <x:v>96</x:v>
      </x:c>
      <x:c r="E74" s="165" t="n">
        <x:f>COUNTIF(Glosario[Glosario ⬇️],Glosario[[#This Row],[Glosario ⬇️]])</x:f>
        <x:v>1</x:v>
      </x:c>
      <x:c r="F74" s="180" t="s">
        <x:v>763</x:v>
      </x:c>
      <x:c r="G74" s="183"/>
    </x:row>
    <x:row r="75">
      <x:c r="A75" s="186" t="e">
        <x:f>_xlfn.XLOOKUP(Glosario[[#This Row],[Parámetro]],Parámetro[Parámetro],Parámetro[Par],"NA",0)</x:f>
        <x:v>#NAME?</x:v>
      </x:c>
      <x:c r="B75" t="s">
        <x:v>283</x:v>
      </x:c>
      <x:c r="C75" s="195" t="s">
        <x:v>764</x:v>
      </x:c>
      <x:c r="D75" s="181">
        <x:v>57</x:v>
      </x:c>
      <x:c r="E75" s="165" t="n">
        <x:f>COUNTIF(Glosario[Glosario ⬇️],Glosario[[#This Row],[Glosario ⬇️]])</x:f>
        <x:v>1</x:v>
      </x:c>
      <x:c r="F75" s="180" t="s">
        <x:v>765</x:v>
      </x:c>
      <x:c r="G75" s="183"/>
    </x:row>
    <x:row r="76" ht="22.5">
      <x:c r="A76" s="186" t="e">
        <x:f>_xlfn.XLOOKUP(Glosario[[#This Row],[Parámetro]],Parámetro[Parámetro],Parámetro[Par],"NA",0)</x:f>
        <x:v>#NAME?</x:v>
      </x:c>
      <x:c r="B76" t="s">
        <x:v>380</x:v>
      </x:c>
      <x:c r="C76" s="24" t="s">
        <x:v>766</x:v>
      </x:c>
      <x:c r="D76" s="181">
        <x:v>97</x:v>
      </x:c>
      <x:c r="E76" s="165" t="n">
        <x:f>COUNTIF(Glosario[Glosario ⬇️],Glosario[[#This Row],[Glosario ⬇️]])</x:f>
        <x:v>1</x:v>
      </x:c>
      <x:c r="F76" s="180" t="s">
        <x:v>767</x:v>
      </x:c>
      <x:c r="G76" s="183"/>
    </x:row>
    <x:row r="77" ht="33.75">
      <x:c r="A77" s="186" t="e">
        <x:f>_xlfn.XLOOKUP(Glosario[[#This Row],[Parámetro]],Parámetro[Parámetro],Parámetro[Par],"NA",0)</x:f>
        <x:v>#NAME?</x:v>
      </x:c>
      <x:c r="B77" t="s">
        <x:v>218</x:v>
      </x:c>
      <x:c r="C77" s="24" t="s">
        <x:v>768</x:v>
      </x:c>
      <x:c r="D77" s="189"/>
      <x:c r="E77" s="165" t="n">
        <x:f>COUNTIF(Glosario[Glosario ⬇️],Glosario[[#This Row],[Glosario ⬇️]])</x:f>
        <x:v>1</x:v>
      </x:c>
      <x:c r="F77" s="180" t="s">
        <x:v>769</x:v>
      </x:c>
      <x:c r="G77" s="183"/>
    </x:row>
    <x:row r="78">
      <x:c r="A78" s="186" t="e">
        <x:f>_xlfn.XLOOKUP(Glosario[[#This Row],[Parámetro]],Parámetro[Parámetro],Parámetro[Par],"NA",0)</x:f>
        <x:v>#NAME?</x:v>
      </x:c>
      <x:c r="B78" t="s">
        <x:v>218</x:v>
      </x:c>
      <x:c r="C78" s="24" t="s">
        <x:v>770</x:v>
      </x:c>
      <x:c r="D78" s="181">
        <x:v>98</x:v>
      </x:c>
      <x:c r="E78" s="165" t="n">
        <x:f>COUNTIF(Glosario[Glosario ⬇️],Glosario[[#This Row],[Glosario ⬇️]])</x:f>
        <x:v>1</x:v>
      </x:c>
      <x:c r="F78" s="180" t="s">
        <x:v>771</x:v>
      </x:c>
      <x:c r="G78" s="183"/>
    </x:row>
    <x:row r="79">
      <x:c r="A79" s="186" t="e">
        <x:f>_xlfn.XLOOKUP(Glosario[[#This Row],[Parámetro]],Parámetro[Parámetro],Parámetro[Par],"NA",0)</x:f>
        <x:v>#NAME?</x:v>
      </x:c>
      <x:c r="B79" t="s">
        <x:v>380</x:v>
      </x:c>
      <x:c r="C79" s="24" t="s">
        <x:v>772</x:v>
      </x:c>
      <x:c r="D79" s="181">
        <x:v>99</x:v>
      </x:c>
      <x:c r="E79" s="165" t="n">
        <x:f>COUNTIF(Glosario[Glosario ⬇️],Glosario[[#This Row],[Glosario ⬇️]])</x:f>
        <x:v>1</x:v>
      </x:c>
      <x:c r="F79" s="180" t="s">
        <x:v>773</x:v>
      </x:c>
      <x:c r="G79" s="183"/>
    </x:row>
    <x:row r="80" ht="33.75">
      <x:c r="A80" s="186" t="e">
        <x:f>_xlfn.XLOOKUP(Glosario[[#This Row],[Parámetro]],Parámetro[Parámetro],Parámetro[Par],"NA",0)</x:f>
        <x:v>#NAME?</x:v>
      </x:c>
      <x:c r="B80" t="s">
        <x:v>152</x:v>
      </x:c>
      <x:c r="C80" s="24" t="s">
        <x:v>15</x:v>
      </x:c>
      <x:c r="D80" s="189"/>
      <x:c r="E80" s="165" t="n">
        <x:f>COUNTIF(Glosario[Glosario ⬇️],Glosario[[#This Row],[Glosario ⬇️]])</x:f>
        <x:v>1</x:v>
      </x:c>
      <x:c r="F80" s="180" t="s">
        <x:v>774</x:v>
      </x:c>
      <x:c r="G80" s="183"/>
    </x:row>
    <x:row r="81" ht="78.75">
      <x:c r="A81" s="186" t="e">
        <x:f>_xlfn.XLOOKUP(Glosario[[#This Row],[Parámetro]],Parámetro[Parámetro],Parámetro[Par],"NA",0)</x:f>
        <x:v>#NAME?</x:v>
      </x:c>
      <x:c r="B81" t="s">
        <x:v>370</x:v>
      </x:c>
      <x:c r="C81" s="24" t="s">
        <x:v>370</x:v>
      </x:c>
      <x:c r="D81" s="189"/>
      <x:c r="E81" s="165" t="n">
        <x:f>COUNTIF(Glosario[Glosario ⬇️],Glosario[[#This Row],[Glosario ⬇️]])</x:f>
        <x:v>1</x:v>
      </x:c>
      <x:c r="F81" s="180" t="s">
        <x:v>775</x:v>
      </x:c>
      <x:c r="G81" s="183"/>
    </x:row>
    <x:row r="82">
      <x:c r="A82" s="186" t="e">
        <x:f>_xlfn.XLOOKUP(Glosario[[#This Row],[Parámetro]],Parámetro[Parámetro],Parámetro[Par],"NA",0)</x:f>
        <x:v>#NAME?</x:v>
      </x:c>
      <x:c r="B82" t="s">
        <x:v>659</x:v>
      </x:c>
      <x:c r="C82" s="24" t="s">
        <x:v>776</x:v>
      </x:c>
      <x:c r="D82" s="181">
        <x:v>103</x:v>
      </x:c>
      <x:c r="E82" s="165" t="n">
        <x:f>COUNTIF(Glosario[Glosario ⬇️],Glosario[[#This Row],[Glosario ⬇️]])</x:f>
        <x:v>1</x:v>
      </x:c>
      <x:c r="F82" s="180" t="s">
        <x:v>777</x:v>
      </x:c>
      <x:c r="G82" s="183"/>
    </x:row>
    <x:row r="83">
      <x:c r="A83" s="186" t="e">
        <x:f>_xlfn.XLOOKUP(Glosario[[#This Row],[Parámetro]],Parámetro[Parámetro],Parámetro[Par],"NA",0)</x:f>
        <x:v>#NAME?</x:v>
      </x:c>
      <x:c r="B83" t="s">
        <x:v>316</x:v>
      </x:c>
      <x:c r="C83" s="24" t="s">
        <x:v>778</x:v>
      </x:c>
      <x:c r="D83" s="181">
        <x:v>101</x:v>
      </x:c>
      <x:c r="E83" s="165" t="n">
        <x:f>COUNTIF(Glosario[Glosario ⬇️],Glosario[[#This Row],[Glosario ⬇️]])</x:f>
        <x:v>1</x:v>
      </x:c>
      <x:c r="F83" s="180" t="s">
        <x:v>779</x:v>
      </x:c>
      <x:c r="G83" s="183"/>
    </x:row>
    <x:row r="84" ht="33.75">
      <x:c r="A84" s="186" t="e">
        <x:f>_xlfn.XLOOKUP(Glosario[[#This Row],[Parámetro]],Parámetro[Parámetro],Parámetro[Par],"NA",0)</x:f>
        <x:v>#NAME?</x:v>
      </x:c>
      <x:c r="B84" t="s">
        <x:v>218</x:v>
      </x:c>
      <x:c r="C84" s="24" t="s">
        <x:v>780</x:v>
      </x:c>
      <x:c r="D84" s="189"/>
      <x:c r="E84" s="165" t="n">
        <x:f>COUNTIF(Glosario[Glosario ⬇️],Glosario[[#This Row],[Glosario ⬇️]])</x:f>
        <x:v>1</x:v>
      </x:c>
      <x:c r="F84" s="180" t="s">
        <x:v>781</x:v>
      </x:c>
      <x:c r="G84" s="183"/>
    </x:row>
    <x:row r="85">
      <x:c r="A85" s="186" t="e">
        <x:f>_xlfn.XLOOKUP(Glosario[[#This Row],[Parámetro]],Parámetro[Parámetro],Parámetro[Par],"NA",0)</x:f>
        <x:v>#NAME?</x:v>
      </x:c>
      <x:c r="B85" t="s">
        <x:v>316</x:v>
      </x:c>
      <x:c r="C85" s="24" t="s">
        <x:v>782</x:v>
      </x:c>
      <x:c r="D85" s="181">
        <x:v>102</x:v>
      </x:c>
      <x:c r="E85" s="165" t="n">
        <x:f>COUNTIF(Glosario[Glosario ⬇️],Glosario[[#This Row],[Glosario ⬇️]])</x:f>
        <x:v>1</x:v>
      </x:c>
      <x:c r="F85" s="180" t="s">
        <x:v>783</x:v>
      </x:c>
      <x:c r="G85" s="183"/>
    </x:row>
    <x:row r="86" ht="22.5">
      <x:c r="A86" s="186" t="e">
        <x:f>_xlfn.XLOOKUP(Glosario[[#This Row],[Parámetro]],Parámetro[Parámetro],Parámetro[Par],"NA",0)</x:f>
        <x:v>#NAME?</x:v>
      </x:c>
      <x:c r="B86" t="s">
        <x:v>152</x:v>
      </x:c>
      <x:c r="C86" s="24" t="s">
        <x:v>784</x:v>
      </x:c>
      <x:c r="D86" s="181">
        <x:v>25</x:v>
      </x:c>
      <x:c r="E86" t="n">
        <x:f>COUNTIF(Glosario[Glosario ⬇️],Glosario[[#This Row],[Glosario ⬇️]])</x:f>
        <x:v>1</x:v>
      </x:c>
      <x:c r="F86" s="13" t="s">
        <x:v>785</x:v>
      </x:c>
      <x:c r="G86" s="185"/>
    </x:row>
    <x:row r="87" ht="22.5">
      <x:c r="A87" s="186" t="e">
        <x:f>_xlfn.XLOOKUP(Glosario[[#This Row],[Parámetro]],Parámetro[Parámetro],Parámetro[Par],"NA",0)</x:f>
        <x:v>#NAME?</x:v>
      </x:c>
      <x:c r="B87" t="s">
        <x:v>252</x:v>
      </x:c>
      <x:c r="C87" s="24" t="s">
        <x:v>786</x:v>
      </x:c>
      <x:c r="D87" s="181">
        <x:v>1</x:v>
      </x:c>
      <x:c r="E87" t="n">
        <x:f>COUNTIF(Glosario[Glosario ⬇️],Glosario[[#This Row],[Glosario ⬇️]])</x:f>
        <x:v>1</x:v>
      </x:c>
      <x:c r="F87" s="13" t="s">
        <x:v>787</x:v>
      </x:c>
      <x:c r="G87" s="183"/>
    </x:row>
    <x:row r="88">
      <x:c r="A88" s="186" t="e">
        <x:f>_xlfn.XLOOKUP(Glosario[[#This Row],[Parámetro]],Parámetro[Parámetro],Parámetro[Par],"NA",0)</x:f>
        <x:v>#NAME?</x:v>
      </x:c>
      <x:c r="B88" t="s">
        <x:v>370</x:v>
      </x:c>
      <x:c r="C88" s="24" t="s">
        <x:v>788</x:v>
      </x:c>
      <x:c r="D88" s="189"/>
      <x:c r="E88" s="165" t="n">
        <x:f>COUNTIF(Glosario[Glosario ⬇️],Glosario[[#This Row],[Glosario ⬇️]])</x:f>
        <x:v>1</x:v>
      </x:c>
      <x:c r="F88" s="13" t="s">
        <x:v>789</x:v>
      </x:c>
      <x:c r="G88" s="183"/>
    </x:row>
    <x:row r="89" ht="33.75">
      <x:c r="A89" s="186" t="e">
        <x:f>_xlfn.XLOOKUP(Glosario[[#This Row],[Parámetro]],Parámetro[Parámetro],Parámetro[Par],"NA",0)</x:f>
        <x:v>#NAME?</x:v>
      </x:c>
      <x:c r="B89" t="s">
        <x:v>252</x:v>
      </x:c>
      <x:c r="C89" s="24" t="s">
        <x:v>790</x:v>
      </x:c>
      <x:c r="D89" s="181">
        <x:v>3</x:v>
      </x:c>
      <x:c r="E89" t="n">
        <x:f>COUNTIF(Glosario[Glosario ⬇️],Glosario[[#This Row],[Glosario ⬇️]])</x:f>
        <x:v>1</x:v>
      </x:c>
      <x:c r="F89" s="13" t="s">
        <x:v>791</x:v>
      </x:c>
      <x:c r="G89" s="183"/>
    </x:row>
    <x:row r="90" ht="22.5">
      <x:c r="A90" s="186" t="e">
        <x:f>_xlfn.XLOOKUP(Glosario[[#This Row],[Parámetro]],Parámetro[Parámetro],Parámetro[Par],"NA",0)</x:f>
        <x:v>#NAME?</x:v>
      </x:c>
      <x:c r="B90" t="s">
        <x:v>659</x:v>
      </x:c>
      <x:c r="C90" s="24" t="s">
        <x:v>792</x:v>
      </x:c>
      <x:c r="D90" s="181">
        <x:v>11</x:v>
      </x:c>
      <x:c r="E90" t="n">
        <x:f>COUNTIF(Glosario[Glosario ⬇️],Glosario[[#This Row],[Glosario ⬇️]])</x:f>
        <x:v>1</x:v>
      </x:c>
      <x:c r="F90" s="13" t="s">
        <x:v>793</x:v>
      </x:c>
      <x:c r="G90" s="183"/>
    </x:row>
    <x:row r="91">
      <x:c r="A91" s="186" t="e">
        <x:f>_xlfn.XLOOKUP(Glosario[[#This Row],[Parámetro]],Parámetro[Parámetro],Parámetro[Par],"NA",0)</x:f>
        <x:v>#NAME?</x:v>
      </x:c>
      <x:c r="B91" t="s">
        <x:v>370</x:v>
      </x:c>
      <x:c r="C91" s="24" t="s">
        <x:v>794</x:v>
      </x:c>
      <x:c r="D91" s="189"/>
      <x:c r="E91" s="165" t="n">
        <x:f>COUNTIF(Glosario[Glosario ⬇️],Glosario[[#This Row],[Glosario ⬇️]])</x:f>
        <x:v>1</x:v>
      </x:c>
      <x:c r="F91" s="13" t="s">
        <x:v>795</x:v>
      </x:c>
      <x:c r="G91" s="183"/>
    </x:row>
    <x:row r="92">
      <x:c r="A92" s="186" t="e">
        <x:f>_xlfn.XLOOKUP(Glosario[[#This Row],[Parámetro]],Parámetro[Parámetro],Parámetro[Par],"NA",0)</x:f>
        <x:v>#NAME?</x:v>
      </x:c>
      <x:c r="B92" t="s">
        <x:v>283</x:v>
      </x:c>
      <x:c r="C92" s="195" t="s">
        <x:v>796</x:v>
      </x:c>
      <x:c r="D92" s="181">
        <x:v>58</x:v>
      </x:c>
      <x:c r="E92" s="165" t="n">
        <x:f>COUNTIF(Glosario[Glosario ⬇️],Glosario[[#This Row],[Glosario ⬇️]])</x:f>
        <x:v>1</x:v>
      </x:c>
      <x:c r="F92" s="180" t="s">
        <x:v>797</x:v>
      </x:c>
      <x:c r="G92" s="183"/>
    </x:row>
    <x:row r="93" ht="22.5">
      <x:c r="A93" s="186" t="e">
        <x:f>_xlfn.XLOOKUP(Glosario[[#This Row],[Parámetro]],Parámetro[Parámetro],Parámetro[Par],"NA",0)</x:f>
        <x:v>#NAME?</x:v>
      </x:c>
      <x:c r="B93" t="s">
        <x:v>300</x:v>
      </x:c>
      <x:c r="C93" s="24" t="s">
        <x:v>798</x:v>
      </x:c>
      <x:c r="D93" s="181">
        <x:v>36</x:v>
      </x:c>
      <x:c r="E93" t="n">
        <x:f>COUNTIF(Glosario[Glosario ⬇️],Glosario[[#This Row],[Glosario ⬇️]])</x:f>
        <x:v>1</x:v>
      </x:c>
      <x:c r="F93" s="13" t="s">
        <x:v>799</x:v>
      </x:c>
      <x:c r="G93" s="183"/>
    </x:row>
    <x:row r="94" ht="22.5">
      <x:c r="A94" s="186" t="e">
        <x:f>_xlfn.XLOOKUP(Glosario[[#This Row],[Parámetro]],Parámetro[Parámetro],Parámetro[Par],"NA",0)</x:f>
        <x:v>#NAME?</x:v>
      </x:c>
      <x:c r="B94" t="s">
        <x:v>316</x:v>
      </x:c>
      <x:c r="C94" s="195" t="s">
        <x:v>800</x:v>
      </x:c>
      <x:c r="D94" s="181">
        <x:v>59</x:v>
      </x:c>
      <x:c r="E94" s="165" t="n">
        <x:f>COUNTIF(Glosario[Glosario ⬇️],Glosario[[#This Row],[Glosario ⬇️]])</x:f>
        <x:v>1</x:v>
      </x:c>
      <x:c r="F94" s="180" t="s">
        <x:v>801</x:v>
      </x:c>
      <x:c r="G94" s="183"/>
    </x:row>
    <x:row r="95" ht="22.5">
      <x:c r="A95" s="186" t="e">
        <x:f>_xlfn.XLOOKUP(Glosario[[#This Row],[Parámetro]],Parámetro[Parámetro],Parámetro[Par],"NA",0)</x:f>
        <x:v>#NAME?</x:v>
      </x:c>
      <x:c r="B95" t="s">
        <x:v>252</x:v>
      </x:c>
      <x:c r="C95" s="24" t="s">
        <x:v>802</x:v>
      </x:c>
      <x:c r="D95" s="181">
        <x:v>2</x:v>
      </x:c>
      <x:c r="E95" t="n">
        <x:f>COUNTIF(Glosario[Glosario ⬇️],Glosario[[#This Row],[Glosario ⬇️]])</x:f>
        <x:v>1</x:v>
      </x:c>
      <x:c r="F95" s="13" t="s">
        <x:v>803</x:v>
      </x:c>
      <x:c r="G95" s="183"/>
    </x:row>
    <x:row r="96" ht="67.5">
      <x:c r="A96" s="186" t="e">
        <x:f>_xlfn.XLOOKUP(Glosario[[#This Row],[Parámetro]],Parámetro[Parámetro],Parámetro[Par],"NA",0)</x:f>
        <x:v>#NAME?</x:v>
      </x:c>
      <x:c r="B96" t="s">
        <x:v>627</x:v>
      </x:c>
      <x:c r="C96" s="24" t="s">
        <x:v>804</x:v>
      </x:c>
      <x:c r="D96" s="181">
        <x:v>19</x:v>
      </x:c>
      <x:c r="E96" t="n">
        <x:f>COUNTIF(Glosario[Glosario ⬇️],Glosario[[#This Row],[Glosario ⬇️]])</x:f>
        <x:v>1</x:v>
      </x:c>
      <x:c r="F96" s="13" t="s">
        <x:v>805</x:v>
      </x:c>
      <x:c r="G96" s="183"/>
    </x:row>
    <x:row r="97" ht="22.5">
      <x:c r="A97" s="186" t="e">
        <x:f>_xlfn.XLOOKUP(Glosario[[#This Row],[Parámetro]],Parámetro[Parámetro],Parámetro[Par],"NA",0)</x:f>
        <x:v>#NAME?</x:v>
      </x:c>
      <x:c r="B97" t="s">
        <x:v>659</x:v>
      </x:c>
      <x:c r="C97" s="24" t="s">
        <x:v>806</x:v>
      </x:c>
      <x:c r="D97" s="181">
        <x:v>104</x:v>
      </x:c>
      <x:c r="E97" s="165" t="n">
        <x:f>COUNTIF(Glosario[Glosario ⬇️],Glosario[[#This Row],[Glosario ⬇️]])</x:f>
        <x:v>1</x:v>
      </x:c>
      <x:c r="F97" s="180" t="s">
        <x:v>807</x:v>
      </x:c>
      <x:c r="G97" s="183"/>
    </x:row>
    <x:row r="98" ht="67.5">
      <x:c r="A98" s="186" t="e">
        <x:f>_xlfn.XLOOKUP(Glosario[[#This Row],[Parámetro]],Parámetro[Parámetro],Parámetro[Par],"NA",0)</x:f>
        <x:v>#NAME?</x:v>
      </x:c>
      <x:c r="B98" t="s">
        <x:v>627</x:v>
      </x:c>
      <x:c r="C98" s="24" t="s">
        <x:v>808</x:v>
      </x:c>
      <x:c r="D98" s="181">
        <x:v>14</x:v>
      </x:c>
      <x:c r="E98" t="n">
        <x:f>COUNTIF(Glosario[Glosario ⬇️],Glosario[[#This Row],[Glosario ⬇️]])</x:f>
        <x:v>1</x:v>
      </x:c>
      <x:c r="F98" s="13" t="s">
        <x:v>809</x:v>
      </x:c>
      <x:c r="G98" s="183"/>
    </x:row>
    <x:row r="99">
      <x:c r="A99" s="186" t="e">
        <x:f>_xlfn.XLOOKUP(Glosario[[#This Row],[Parámetro]],Parámetro[Parámetro],Parámetro[Par],"NA",0)</x:f>
        <x:v>#NAME?</x:v>
      </x:c>
      <x:c r="B99" t="s">
        <x:v>380</x:v>
      </x:c>
      <x:c r="C99" s="195" t="s">
        <x:v>810</x:v>
      </x:c>
      <x:c r="D99" s="181">
        <x:v>60</x:v>
      </x:c>
      <x:c r="E99" s="165" t="n">
        <x:f>COUNTIF(Glosario[Glosario ⬇️],Glosario[[#This Row],[Glosario ⬇️]])</x:f>
        <x:v>1</x:v>
      </x:c>
      <x:c r="F99" s="180" t="s">
        <x:v>811</x:v>
      </x:c>
      <x:c r="G99" s="183"/>
    </x:row>
    <x:row r="100" ht="33.75">
      <x:c r="A100" s="186" t="e">
        <x:f>_xlfn.XLOOKUP(Glosario[[#This Row],[Parámetro]],Parámetro[Parámetro],Parámetro[Par],"NA",0)</x:f>
        <x:v>#NAME?</x:v>
      </x:c>
      <x:c r="B100" t="s">
        <x:v>283</x:v>
      </x:c>
      <x:c r="C100" s="24" t="s">
        <x:v>812</x:v>
      </x:c>
      <x:c r="D100" s="181">
        <x:v>105</x:v>
      </x:c>
      <x:c r="E100" s="165" t="n">
        <x:f>COUNTIF(Glosario[Glosario ⬇️],Glosario[[#This Row],[Glosario ⬇️]])</x:f>
        <x:v>1</x:v>
      </x:c>
      <x:c r="F100" s="180" t="s">
        <x:v>813</x:v>
      </x:c>
      <x:c r="G100" s="183"/>
    </x:row>
    <x:row r="101">
      <x:c r="A101" s="186" t="e">
        <x:f>_xlfn.XLOOKUP(Glosario[[#This Row],[Parámetro]],Parámetro[Parámetro],Parámetro[Par],"NA",0)</x:f>
        <x:v>#NAME?</x:v>
      </x:c>
      <x:c r="B101" t="s">
        <x:v>621</x:v>
      </x:c>
      <x:c r="C101" s="24" t="s">
        <x:v>162</x:v>
      </x:c>
      <x:c r="D101" s="181">
        <x:v>41</x:v>
      </x:c>
      <x:c r="E101" t="n">
        <x:f>COUNTIF(Glosario[Glosario ⬇️],Glosario[[#This Row],[Glosario ⬇️]])</x:f>
        <x:v>1</x:v>
      </x:c>
      <x:c r="F101" s="13" t="s">
        <x:v>814</x:v>
      </x:c>
      <x:c r="G101" s="183"/>
    </x:row>
    <x:row r="102">
      <x:c r="A102" s="186" t="e">
        <x:f>_xlfn.XLOOKUP(Glosario[[#This Row],[Parámetro]],Parámetro[Parámetro],Parámetro[Par],"NA",0)</x:f>
        <x:v>#NAME?</x:v>
      </x:c>
      <x:c r="B102" t="s">
        <x:v>627</x:v>
      </x:c>
      <x:c r="C102" s="24" t="s">
        <x:v>815</x:v>
      </x:c>
      <x:c r="D102" s="181">
        <x:v>106</x:v>
      </x:c>
      <x:c r="E102" s="165" t="n">
        <x:f>COUNTIF(Glosario[Glosario ⬇️],Glosario[[#This Row],[Glosario ⬇️]])</x:f>
        <x:v>1</x:v>
      </x:c>
      <x:c r="F102" s="180" t="s">
        <x:v>816</x:v>
      </x:c>
      <x:c r="G102" s="183"/>
    </x:row>
    <x:row r="103">
      <x:c r="A103" s="186" t="e">
        <x:f>_xlfn.XLOOKUP(Glosario[[#This Row],[Parámetro]],Parámetro[Parámetro],Parámetro[Par],"NA",0)</x:f>
        <x:v>#NAME?</x:v>
      </x:c>
      <x:c r="B103" t="s">
        <x:v>316</x:v>
      </x:c>
      <x:c r="C103" s="24" t="s">
        <x:v>817</x:v>
      </x:c>
      <x:c r="D103" s="181">
        <x:v>107</x:v>
      </x:c>
      <x:c r="E103" s="165" t="n">
        <x:f>COUNTIF(Glosario[Glosario ⬇️],Glosario[[#This Row],[Glosario ⬇️]])</x:f>
        <x:v>1</x:v>
      </x:c>
      <x:c r="F103" s="180" t="s">
        <x:v>818</x:v>
      </x:c>
      <x:c r="G103" s="183"/>
    </x:row>
    <x:row r="104">
      <x:c r="A104" s="186" t="e">
        <x:f>_xlfn.XLOOKUP(Glosario[[#This Row],[Parámetro]],Parámetro[Parámetro],Parámetro[Par],"NA",0)</x:f>
        <x:v>#NAME?</x:v>
      </x:c>
      <x:c r="B104" t="s">
        <x:v>316</x:v>
      </x:c>
      <x:c r="C104" s="24" t="s">
        <x:v>819</x:v>
      </x:c>
      <x:c r="D104" s="181">
        <x:v>108</x:v>
      </x:c>
      <x:c r="E104" s="165" t="n">
        <x:f>COUNTIF(Glosario[Glosario ⬇️],Glosario[[#This Row],[Glosario ⬇️]])</x:f>
        <x:v>1</x:v>
      </x:c>
      <x:c r="F104" s="180" t="s">
        <x:v>820</x:v>
      </x:c>
      <x:c r="G104" s="183"/>
    </x:row>
    <x:row r="105" ht="22.5">
      <x:c r="A105" s="186" t="e">
        <x:f>_xlfn.XLOOKUP(Glosario[[#This Row],[Parámetro]],Parámetro[Parámetro],Parámetro[Par],"NA",0)</x:f>
        <x:v>#NAME?</x:v>
      </x:c>
      <x:c r="B105" t="s">
        <x:v>694</x:v>
      </x:c>
      <x:c r="C105" s="24" t="s">
        <x:v>821</x:v>
      </x:c>
      <x:c r="D105" s="181">
        <x:v>109</x:v>
      </x:c>
      <x:c r="E105" s="165" t="n">
        <x:f>COUNTIF(Glosario[Glosario ⬇️],Glosario[[#This Row],[Glosario ⬇️]])</x:f>
        <x:v>1</x:v>
      </x:c>
      <x:c r="F105" s="180" t="s">
        <x:v>822</x:v>
      </x:c>
      <x:c r="G105" s="183"/>
    </x:row>
    <x:row r="106">
      <x:c r="A106" s="186" t="e">
        <x:f>_xlfn.XLOOKUP(Glosario[[#This Row],[Parámetro]],Parámetro[Parámetro],Parámetro[Par],"NA",0)</x:f>
        <x:v>#NAME?</x:v>
      </x:c>
      <x:c r="B106" t="s">
        <x:v>380</x:v>
      </x:c>
      <x:c r="C106" s="24" t="s">
        <x:v>823</x:v>
      </x:c>
      <x:c r="D106" s="181">
        <x:v>110</x:v>
      </x:c>
      <x:c r="E106" s="165" t="n">
        <x:f>COUNTIF(Glosario[Glosario ⬇️],Glosario[[#This Row],[Glosario ⬇️]])</x:f>
        <x:v>1</x:v>
      </x:c>
      <x:c r="F106" s="180" t="s">
        <x:v>824</x:v>
      </x:c>
      <x:c r="G106" s="183"/>
    </x:row>
    <x:row r="107" ht="157.5">
      <x:c r="A107" s="186" t="e">
        <x:f>_xlfn.XLOOKUP(Glosario[[#This Row],[Parámetro]],Parámetro[Parámetro],Parámetro[Par],"NA",0)</x:f>
        <x:v>#NAME?</x:v>
      </x:c>
      <x:c r="B107" t="s">
        <x:v>627</x:v>
      </x:c>
      <x:c r="C107" s="24" t="s">
        <x:v>825</x:v>
      </x:c>
      <x:c r="D107" s="181">
        <x:v>15</x:v>
      </x:c>
      <x:c r="E107" t="n">
        <x:f>COUNTIF(Glosario[Glosario ⬇️],Glosario[[#This Row],[Glosario ⬇️]])</x:f>
        <x:v>1</x:v>
      </x:c>
      <x:c r="F107" s="13" t="s">
        <x:v>826</x:v>
      </x:c>
      <x:c r="G107" s="183"/>
    </x:row>
    <x:row r="108">
      <x:c r="A108" s="186" t="e">
        <x:f>_xlfn.XLOOKUP(Glosario[[#This Row],[Parámetro]],Parámetro[Parámetro],Parámetro[Par],"NA",0)</x:f>
        <x:v>#NAME?</x:v>
      </x:c>
      <x:c r="B108" t="s">
        <x:v>627</x:v>
      </x:c>
      <x:c r="C108" s="24" t="s">
        <x:v>827</x:v>
      </x:c>
      <x:c r="D108" s="181">
        <x:v>111</x:v>
      </x:c>
      <x:c r="E108" s="165" t="n">
        <x:f>COUNTIF(Glosario[Glosario ⬇️],Glosario[[#This Row],[Glosario ⬇️]])</x:f>
        <x:v>1</x:v>
      </x:c>
      <x:c r="F108" s="180" t="s">
        <x:v>828</x:v>
      </x:c>
      <x:c r="G108" s="183"/>
    </x:row>
    <x:row r="109">
      <x:c r="A109" s="186" t="e">
        <x:f>_xlfn.XLOOKUP(Glosario[[#This Row],[Parámetro]],Parámetro[Parámetro],Parámetro[Par],"NA",0)</x:f>
        <x:v>#NAME?</x:v>
      </x:c>
      <x:c r="B109" t="s">
        <x:v>659</x:v>
      </x:c>
      <x:c r="C109" s="24" t="s">
        <x:v>829</x:v>
      </x:c>
      <x:c r="D109" s="181">
        <x:v>112</x:v>
      </x:c>
      <x:c r="E109" s="165" t="n">
        <x:f>COUNTIF(Glosario[Glosario ⬇️],Glosario[[#This Row],[Glosario ⬇️]])</x:f>
        <x:v>1</x:v>
      </x:c>
      <x:c r="F109" s="180" t="s">
        <x:v>830</x:v>
      </x:c>
      <x:c r="G109" s="183"/>
    </x:row>
    <x:row r="110">
      <x:c r="A110" s="186" t="e">
        <x:f>_xlfn.XLOOKUP(Glosario[[#This Row],[Parámetro]],Parámetro[Parámetro],Parámetro[Par],"NA",0)</x:f>
        <x:v>#NAME?</x:v>
      </x:c>
      <x:c r="B110" t="s">
        <x:v>316</x:v>
      </x:c>
      <x:c r="C110" s="24" t="s">
        <x:v>831</x:v>
      </x:c>
      <x:c r="D110" s="181">
        <x:v>113</x:v>
      </x:c>
      <x:c r="E110" s="165" t="n">
        <x:f>COUNTIF(Glosario[Glosario ⬇️],Glosario[[#This Row],[Glosario ⬇️]])</x:f>
        <x:v>1</x:v>
      </x:c>
      <x:c r="F110" s="180" t="s">
        <x:v>832</x:v>
      </x:c>
      <x:c r="G110" s="183"/>
    </x:row>
    <x:row r="111">
      <x:c r="A111" s="186" t="e">
        <x:f>_xlfn.XLOOKUP(Glosario[[#This Row],[Parámetro]],Parámetro[Parámetro],Parámetro[Par],"NA",0)</x:f>
        <x:v>#NAME?</x:v>
      </x:c>
      <x:c r="B111" t="s">
        <x:v>380</x:v>
      </x:c>
      <x:c r="C111" s="24" t="s">
        <x:v>833</x:v>
      </x:c>
      <x:c r="D111" s="181">
        <x:v>114</x:v>
      </x:c>
      <x:c r="E111" s="165" t="n">
        <x:f>COUNTIF(Glosario[Glosario ⬇️],Glosario[[#This Row],[Glosario ⬇️]])</x:f>
        <x:v>1</x:v>
      </x:c>
      <x:c r="F111" s="180" t="s">
        <x:v>834</x:v>
      </x:c>
      <x:c r="G111" s="183"/>
    </x:row>
    <x:row r="112">
      <x:c r="A112" s="186" t="e">
        <x:f>_xlfn.XLOOKUP(Glosario[[#This Row],[Parámetro]],Parámetro[Parámetro],Parámetro[Par],"NA",0)</x:f>
        <x:v>#NAME?</x:v>
      </x:c>
      <x:c r="B112" t="s">
        <x:v>218</x:v>
      </x:c>
      <x:c r="C112" s="195" t="s">
        <x:v>835</x:v>
      </x:c>
      <x:c r="D112" s="181">
        <x:v>61</x:v>
      </x:c>
      <x:c r="E112" s="165" t="n">
        <x:f>COUNTIF(Glosario[Glosario ⬇️],Glosario[[#This Row],[Glosario ⬇️]])</x:f>
        <x:v>1</x:v>
      </x:c>
      <x:c r="F112" s="180" t="s">
        <x:v>836</x:v>
      </x:c>
      <x:c r="G112" s="183"/>
    </x:row>
    <x:row r="113">
      <x:c r="A113" s="186" t="e">
        <x:f>_xlfn.XLOOKUP(Glosario[[#This Row],[Parámetro]],Parámetro[Parámetro],Parámetro[Par],"NA",0)</x:f>
        <x:v>#NAME?</x:v>
      </x:c>
      <x:c r="B113" t="s">
        <x:v>218</x:v>
      </x:c>
      <x:c r="C113" s="195" t="s">
        <x:v>837</x:v>
      </x:c>
      <x:c r="D113" s="181">
        <x:v>62</x:v>
      </x:c>
      <x:c r="E113" s="165" t="n">
        <x:f>COUNTIF(Glosario[Glosario ⬇️],Glosario[[#This Row],[Glosario ⬇️]])</x:f>
        <x:v>1</x:v>
      </x:c>
      <x:c r="F113" s="180" t="s">
        <x:v>838</x:v>
      </x:c>
      <x:c r="G113" s="183"/>
    </x:row>
    <x:row r="114">
      <x:c r="A114" s="186" t="e">
        <x:f>_xlfn.XLOOKUP(Glosario[[#This Row],[Parámetro]],Parámetro[Parámetro],Parámetro[Par],"NA",0)</x:f>
        <x:v>#NAME?</x:v>
      </x:c>
      <x:c r="B114" t="s">
        <x:v>218</x:v>
      </x:c>
      <x:c r="C114" s="195" t="s">
        <x:v>839</x:v>
      </x:c>
      <x:c r="D114" s="181">
        <x:v>63</x:v>
      </x:c>
      <x:c r="E114" s="165" t="n">
        <x:f>COUNTIF(Glosario[Glosario ⬇️],Glosario[[#This Row],[Glosario ⬇️]])</x:f>
        <x:v>1</x:v>
      </x:c>
      <x:c r="F114" s="180" t="s">
        <x:v>840</x:v>
      </x:c>
      <x:c r="G114" s="183"/>
    </x:row>
    <x:row r="115" ht="123.75">
      <x:c r="A115" s="186" t="e">
        <x:f>_xlfn.XLOOKUP(Glosario[[#This Row],[Parámetro]],Parámetro[Parámetro],Parámetro[Par],"NA",0)</x:f>
        <x:v>#NAME?</x:v>
      </x:c>
      <x:c r="B115" t="s">
        <x:v>430</x:v>
      </x:c>
      <x:c r="C115" s="24" t="s">
        <x:v>841</x:v>
      </x:c>
      <x:c r="D115" s="181">
        <x:v>16</x:v>
      </x:c>
      <x:c r="E115" t="n">
        <x:f>COUNTIF(Glosario[Glosario ⬇️],Glosario[[#This Row],[Glosario ⬇️]])</x:f>
        <x:v>1</x:v>
      </x:c>
      <x:c r="F115" s="13" t="s">
        <x:v>842</x:v>
      </x:c>
      <x:c r="G115" s="183"/>
    </x:row>
    <x:row r="116">
      <x:c r="A116" s="186" t="e">
        <x:f>_xlfn.XLOOKUP(Glosario[[#This Row],[Parámetro]],Parámetro[Parámetro],Parámetro[Par],"NA",0)</x:f>
        <x:v>#NAME?</x:v>
      </x:c>
      <x:c r="B116" t="s">
        <x:v>380</x:v>
      </x:c>
      <x:c r="C116" s="24" t="s">
        <x:v>843</x:v>
      </x:c>
      <x:c r="D116" s="181">
        <x:v>115</x:v>
      </x:c>
      <x:c r="E116" s="165" t="n">
        <x:f>COUNTIF(Glosario[Glosario ⬇️],Glosario[[#This Row],[Glosario ⬇️]])</x:f>
        <x:v>1</x:v>
      </x:c>
      <x:c r="F116" s="180" t="s">
        <x:v>844</x:v>
      </x:c>
      <x:c r="G116" s="183"/>
    </x:row>
    <x:row r="117" ht="45">
      <x:c r="A117" s="186" t="e">
        <x:f>_xlfn.XLOOKUP(Glosario[[#This Row],[Parámetro]],Parámetro[Parámetro],Parámetro[Par],"NA",0)</x:f>
        <x:v>#NAME?</x:v>
      </x:c>
      <x:c r="B117" t="s">
        <x:v>152</x:v>
      </x:c>
      <x:c r="C117" s="24" t="s">
        <x:v>443</x:v>
      </x:c>
      <x:c r="D117" s="181">
        <x:v>28</x:v>
      </x:c>
      <x:c r="E117" t="n">
        <x:f>COUNTIF(Glosario[Glosario ⬇️],Glosario[[#This Row],[Glosario ⬇️]])</x:f>
        <x:v>1</x:v>
      </x:c>
      <x:c r="F117" s="13" t="s">
        <x:v>845</x:v>
      </x:c>
      <x:c r="G117" s="185"/>
    </x:row>
    <x:row r="118" ht="22.5">
      <x:c r="A118" s="186" t="e">
        <x:f>_xlfn.XLOOKUP(Glosario[[#This Row],[Parámetro]],Parámetro[Parámetro],Parámetro[Par],"NA",0)</x:f>
        <x:v>#NAME?</x:v>
      </x:c>
      <x:c r="B118" t="s">
        <x:v>627</x:v>
      </x:c>
      <x:c r="C118" s="24" t="s">
        <x:v>846</x:v>
      </x:c>
      <x:c r="D118" s="181">
        <x:v>116</x:v>
      </x:c>
      <x:c r="E118" s="165" t="n">
        <x:f>COUNTIF(Glosario[Glosario ⬇️],Glosario[[#This Row],[Glosario ⬇️]])</x:f>
        <x:v>1</x:v>
      </x:c>
      <x:c r="F118" s="180" t="s">
        <x:v>847</x:v>
      </x:c>
      <x:c r="G118" s="183"/>
    </x:row>
    <x:row r="119" ht="56.25">
      <x:c r="A119" s="186" t="e">
        <x:f>_xlfn.XLOOKUP(Glosario[[#This Row],[Parámetro]],Parámetro[Parámetro],Parámetro[Par],"NA",0)</x:f>
        <x:v>#NAME?</x:v>
      </x:c>
      <x:c r="B119" t="s">
        <x:v>218</x:v>
      </x:c>
      <x:c r="C119" s="24" t="s">
        <x:v>848</x:v>
      </x:c>
      <x:c r="D119" s="181">
        <x:v>21</x:v>
      </x:c>
      <x:c r="E119" t="n">
        <x:f>COUNTIF(Glosario[Glosario ⬇️],Glosario[[#This Row],[Glosario ⬇️]])</x:f>
        <x:v>1</x:v>
      </x:c>
      <x:c r="F119" s="13" t="s">
        <x:v>849</x:v>
      </x:c>
      <x:c r="G119" s="183"/>
    </x:row>
    <x:row r="120">
      <x:c r="A120" s="186" t="e">
        <x:f>_xlfn.XLOOKUP(Glosario[[#This Row],[Parámetro]],Parámetro[Parámetro],Parámetro[Par],"NA",0)</x:f>
        <x:v>#NAME?</x:v>
      </x:c>
      <x:c r="B120" t="s">
        <x:v>430</x:v>
      </x:c>
      <x:c r="C120" s="24" t="s">
        <x:v>585</x:v>
      </x:c>
      <x:c r="D120" s="189"/>
      <x:c r="E120" s="165" t="n">
        <x:f>COUNTIF(Glosario[Glosario ⬇️],Glosario[[#This Row],[Glosario ⬇️]])</x:f>
        <x:v>1</x:v>
      </x:c>
      <x:c r="F120" s="13" t="s">
        <x:v>850</x:v>
      </x:c>
      <x:c r="G120" s="183"/>
    </x:row>
    <x:row r="121" ht="22.5">
      <x:c r="A121" s="186" t="e">
        <x:f>_xlfn.XLOOKUP(Glosario[[#This Row],[Parámetro]],Parámetro[Parámetro],Parámetro[Par],"NA",0)</x:f>
        <x:v>#NAME?</x:v>
      </x:c>
      <x:c r="B121" t="s">
        <x:v>627</x:v>
      </x:c>
      <x:c r="C121" s="24" t="s">
        <x:v>851</x:v>
      </x:c>
      <x:c r="D121" s="181">
        <x:v>117</x:v>
      </x:c>
      <x:c r="E121" s="165" t="n">
        <x:f>COUNTIF(Glosario[Glosario ⬇️],Glosario[[#This Row],[Glosario ⬇️]])</x:f>
        <x:v>1</x:v>
      </x:c>
      <x:c r="F121" s="180" t="s">
        <x:v>852</x:v>
      </x:c>
      <x:c r="G121" s="183"/>
    </x:row>
    <x:row r="122" ht="22.5">
      <x:c r="A122" s="186" t="e">
        <x:f>_xlfn.XLOOKUP(Glosario[[#This Row],[Parámetro]],Parámetro[Parámetro],Parámetro[Par],"NA",0)</x:f>
        <x:v>#NAME?</x:v>
      </x:c>
      <x:c r="B122" t="s">
        <x:v>430</x:v>
      </x:c>
      <x:c r="C122" s="24" t="s">
        <x:v>853</x:v>
      </x:c>
      <x:c r="D122" s="189"/>
      <x:c r="E122" s="165" t="n">
        <x:f>COUNTIF(Glosario[Glosario ⬇️],Glosario[[#This Row],[Glosario ⬇️]])</x:f>
        <x:v>1</x:v>
      </x:c>
      <x:c r="F122" s="180" t="s">
        <x:v>854</x:v>
      </x:c>
      <x:c r="G122" s="183"/>
    </x:row>
    <x:row r="123" ht="112.5">
      <x:c r="A123" s="186" t="e">
        <x:f>_xlfn.XLOOKUP(Glosario[[#This Row],[Parámetro]],Parámetro[Parámetro],Parámetro[Par],"NA",0)</x:f>
        <x:v>#NAME?</x:v>
      </x:c>
      <x:c r="B123" t="s">
        <x:v>316</x:v>
      </x:c>
      <x:c r="C123" s="24" t="s">
        <x:v>855</x:v>
      </x:c>
      <x:c r="D123" s="189"/>
      <x:c r="E123" s="165" t="n">
        <x:f>COUNTIF(Glosario[Glosario ⬇️],Glosario[[#This Row],[Glosario ⬇️]])</x:f>
        <x:v>1</x:v>
      </x:c>
      <x:c r="F123" s="180" t="s">
        <x:v>856</x:v>
      </x:c>
      <x:c r="G123" s="183"/>
    </x:row>
    <x:row r="124">
      <x:c r="A124" s="186" t="e">
        <x:f>_xlfn.XLOOKUP(Glosario[[#This Row],[Parámetro]],Parámetro[Parámetro],Parámetro[Par],"NA",0)</x:f>
        <x:v>#NAME?</x:v>
      </x:c>
      <x:c r="B124" t="s">
        <x:v>430</x:v>
      </x:c>
      <x:c r="C124" s="24" t="s">
        <x:v>857</x:v>
      </x:c>
      <x:c r="D124" s="189"/>
      <x:c r="E124" s="165" t="n">
        <x:f>COUNTIF(Glosario[Glosario ⬇️],Glosario[[#This Row],[Glosario ⬇️]])</x:f>
        <x:v>1</x:v>
      </x:c>
      <x:c r="F124" s="180" t="s">
        <x:v>858</x:v>
      </x:c>
      <x:c r="G124" s="183"/>
    </x:row>
    <x:row r="125" ht="22.5">
      <x:c r="A125" s="186" t="e">
        <x:f>_xlfn.XLOOKUP(Glosario[[#This Row],[Parámetro]],Parámetro[Parámetro],Parámetro[Par],"NA",0)</x:f>
        <x:v>#NAME?</x:v>
      </x:c>
      <x:c r="B125" t="s">
        <x:v>248</x:v>
      </x:c>
      <x:c r="C125" s="24" t="s">
        <x:v>859</x:v>
      </x:c>
      <x:c r="D125" s="181">
        <x:v>118</x:v>
      </x:c>
      <x:c r="E125" s="165" t="n">
        <x:f>COUNTIF(Glosario[Glosario ⬇️],Glosario[[#This Row],[Glosario ⬇️]])</x:f>
        <x:v>1</x:v>
      </x:c>
      <x:c r="F125" s="180" t="s">
        <x:v>860</x:v>
      </x:c>
      <x:c r="G125" s="183"/>
    </x:row>
    <x:row r="126" ht="22.5">
      <x:c r="A126" s="186" t="e">
        <x:f>_xlfn.XLOOKUP(Glosario[[#This Row],[Parámetro]],Parámetro[Parámetro],Parámetro[Par],"NA",0)</x:f>
        <x:v>#NAME?</x:v>
      </x:c>
      <x:c r="B126" t="s">
        <x:v>283</x:v>
      </x:c>
      <x:c r="C126" s="24" t="s">
        <x:v>861</x:v>
      </x:c>
      <x:c r="D126" s="181">
        <x:v>119</x:v>
      </x:c>
      <x:c r="E126" s="165" t="n">
        <x:f>COUNTIF(Glosario[Glosario ⬇️],Glosario[[#This Row],[Glosario ⬇️]])</x:f>
        <x:v>1</x:v>
      </x:c>
      <x:c r="F126" s="180" t="s">
        <x:v>862</x:v>
      </x:c>
      <x:c r="G126" s="183"/>
    </x:row>
    <x:row r="127">
      <x:c r="A127" s="186" t="e">
        <x:f>_xlfn.XLOOKUP(Glosario[[#This Row],[Parámetro]],Parámetro[Parámetro],Parámetro[Par],"NA",0)</x:f>
        <x:v>#NAME?</x:v>
      </x:c>
      <x:c r="C127" s="24"/>
      <x:c r="D127" s="181">
        <x:v>4</x:v>
      </x:c>
      <x:c r="E127" t="n">
        <x:f>COUNTIF(Glosario[Glosario ⬇️],Glosario[[#This Row],[Glosario ⬇️]])</x:f>
        <x:v>0</x:v>
      </x:c>
      <x:c r="F127" s="13"/>
      <x:c r="G127" s="183"/>
    </x:row>
    <x:row r="128">
      <x:c r="A128" s="186" t="e">
        <x:f>_xlfn.XLOOKUP(Glosario[[#This Row],[Parámetro]],Parámetro[Parámetro],Parámetro[Par],"NA",0)</x:f>
        <x:v>#NAME?</x:v>
      </x:c>
      <x:c r="C128" s="24"/>
      <x:c r="D128" s="181">
        <x:v>7</x:v>
      </x:c>
      <x:c r="E128" t="n">
        <x:f>COUNTIF(Glosario[Glosario ⬇️],Glosario[[#This Row],[Glosario ⬇️]])</x:f>
        <x:v>0</x:v>
      </x:c>
      <x:c r="F128" s="13"/>
      <x:c r="G128" s="183"/>
    </x:row>
    <x:row r="129">
      <x:c r="A129" s="186" t="e">
        <x:f>_xlfn.XLOOKUP(Glosario[[#This Row],[Parámetro]],Parámetro[Parámetro],Parámetro[Par],"NA",0)</x:f>
        <x:v>#NAME?</x:v>
      </x:c>
      <x:c r="C129" s="24"/>
      <x:c r="D129" s="181">
        <x:v>12</x:v>
      </x:c>
      <x:c r="E129" t="n">
        <x:f>COUNTIF(Glosario[Glosario ⬇️],Glosario[[#This Row],[Glosario ⬇️]])</x:f>
        <x:v>0</x:v>
      </x:c>
      <x:c r="F129" s="13"/>
      <x:c r="G129" s="183"/>
    </x:row>
    <x:row r="130">
      <x:c r="A130" s="186" t="e">
        <x:f>_xlfn.XLOOKUP(Glosario[[#This Row],[Parámetro]],Parámetro[Parámetro],Parámetro[Par],"NA",0)</x:f>
        <x:v>#NAME?</x:v>
      </x:c>
      <x:c r="C130" s="24"/>
      <x:c r="D130" s="181">
        <x:v>17</x:v>
      </x:c>
      <x:c r="E130" t="n">
        <x:f>COUNTIF(Glosario[Glosario ⬇️],Glosario[[#This Row],[Glosario ⬇️]])</x:f>
        <x:v>0</x:v>
      </x:c>
      <x:c r="F130" s="13"/>
      <x:c r="G130" s="183"/>
    </x:row>
    <x:row r="131">
      <x:c r="A131" s="186" t="e">
        <x:f>_xlfn.XLOOKUP(Glosario[[#This Row],[Parámetro]],Parámetro[Parámetro],Parámetro[Par],"NA",0)</x:f>
        <x:v>#NAME?</x:v>
      </x:c>
      <x:c r="C131" s="24"/>
      <x:c r="D131" s="181">
        <x:v>20</x:v>
      </x:c>
      <x:c r="E131" t="n">
        <x:f>COUNTIF(Glosario[Glosario ⬇️],Glosario[[#This Row],[Glosario ⬇️]])</x:f>
        <x:v>0</x:v>
      </x:c>
      <x:c r="F131" s="13"/>
      <x:c r="G131" s="183"/>
    </x:row>
    <x:row r="132">
      <x:c r="A132" s="186" t="e">
        <x:f>_xlfn.XLOOKUP(Glosario[[#This Row],[Parámetro]],Parámetro[Parámetro],Parámetro[Par],"NA",0)</x:f>
        <x:v>#NAME?</x:v>
      </x:c>
      <x:c r="C132" s="24"/>
      <x:c r="D132" s="181">
        <x:v>22</x:v>
      </x:c>
      <x:c r="E132" t="n">
        <x:f>COUNTIF(Glosario[Glosario ⬇️],Glosario[[#This Row],[Glosario ⬇️]])</x:f>
        <x:v>0</x:v>
      </x:c>
      <x:c r="F132" s="13"/>
      <x:c r="G132" s="183"/>
    </x:row>
    <x:row r="133">
      <x:c r="A133" s="186" t="e">
        <x:f>_xlfn.XLOOKUP(Glosario[[#This Row],[Parámetro]],Parámetro[Parámetro],Parámetro[Par],"NA",0)</x:f>
        <x:v>#NAME?</x:v>
      </x:c>
      <x:c r="C133" s="24"/>
      <x:c r="D133" s="181">
        <x:v>23</x:v>
      </x:c>
      <x:c r="E133" t="n">
        <x:f>COUNTIF(Glosario[Glosario ⬇️],Glosario[[#This Row],[Glosario ⬇️]])</x:f>
        <x:v>0</x:v>
      </x:c>
      <x:c r="F133" s="13"/>
      <x:c r="G133" s="183"/>
    </x:row>
    <x:row r="134">
      <x:c r="A134" s="186" t="e">
        <x:f>_xlfn.XLOOKUP(Glosario[[#This Row],[Parámetro]],Parámetro[Parámetro],Parámetro[Par],"NA",0)</x:f>
        <x:v>#NAME?</x:v>
      </x:c>
      <x:c r="C134" s="24"/>
      <x:c r="D134" s="181">
        <x:v>31</x:v>
      </x:c>
      <x:c r="E134" t="n">
        <x:f>COUNTIF(Glosario[Glosario ⬇️],Glosario[[#This Row],[Glosario ⬇️]])</x:f>
        <x:v>0</x:v>
      </x:c>
      <x:c r="F134" s="13"/>
      <x:c r="G134" s="183"/>
    </x:row>
    <x:row r="135">
      <x:c r="A135" s="186" t="e">
        <x:f>_xlfn.XLOOKUP(Glosario[[#This Row],[Parámetro]],Parámetro[Parámetro],Parámetro[Par],"NA",0)</x:f>
        <x:v>#NAME?</x:v>
      </x:c>
      <x:c r="C135" s="24"/>
      <x:c r="D135" s="181">
        <x:v>38</x:v>
      </x:c>
      <x:c r="E135" t="n">
        <x:f>COUNTIF(Glosario[Glosario ⬇️],Glosario[[#This Row],[Glosario ⬇️]])</x:f>
        <x:v>0</x:v>
      </x:c>
      <x:c r="F135" s="13"/>
      <x:c r="G135" s="183"/>
    </x:row>
    <x:row r="136">
      <x:c r="A136" s="186" t="e">
        <x:f>_xlfn.XLOOKUP(Glosario[[#This Row],[Parámetro]],Parámetro[Parámetro],Parámetro[Par],"NA",0)</x:f>
        <x:v>#NAME?</x:v>
      </x:c>
      <x:c r="C136" s="24"/>
      <x:c r="D136" s="181">
        <x:v>43</x:v>
      </x:c>
      <x:c r="E136" t="n">
        <x:f>COUNTIF(Glosario[Glosario ⬇️],Glosario[[#This Row],[Glosario ⬇️]])</x:f>
        <x:v>0</x:v>
      </x:c>
      <x:c r="F136" s="13"/>
      <x:c r="G136" s="183"/>
    </x:row>
    <x:row r="137">
      <x:c r="A137" s="186" t="e">
        <x:f>_xlfn.XLOOKUP(Glosario[[#This Row],[Parámetro]],Parámetro[Parámetro],Parámetro[Par],"NA",0)</x:f>
        <x:v>#NAME?</x:v>
      </x:c>
      <x:c r="C137" s="24"/>
      <x:c r="D137" s="181">
        <x:v>44</x:v>
      </x:c>
      <x:c r="E137" t="n">
        <x:f>COUNTIF(Glosario[Glosario ⬇️],Glosario[[#This Row],[Glosario ⬇️]])</x:f>
        <x:v>0</x:v>
      </x:c>
      <x:c r="F137" s="13"/>
    </x:row>
    <x:row r="138">
      <x:c r="F138" s="13"/>
    </x:row>
  </x:sheetData>
  <x:dataValidations count="1">
    <x:dataValidation type="list" allowBlank="1" showInputMessage="1" showErrorMessage="1" sqref="B2:B137">
      <x:formula1>Parám</x:formula1>
    </x:dataValidation>
  </x:dataValidations>
  <x:pageMargins left="0.7" right="0.7" top="0.75" bottom="0.75" header="0.3" footer="0.3"/>
  <x:legacyDrawing xmlns:r="http://schemas.openxmlformats.org/officeDocument/2006/relationships" r:id="R2923750b22504cc6"/>
  <x:tableParts count="1">
    <x:tablePart xmlns:r="http://schemas.openxmlformats.org/officeDocument/2006/relationships" r:id="Rb12c8836850b459d"/>
  </x:tableParts>
</x:worksheet>
</file>

<file path=xl/worksheets/sheet6.xml><?xml version="1.0" encoding="utf-8"?>
<x:worksheet xmlns:x="http://schemas.openxmlformats.org/spreadsheetml/2006/main">
  <x:sheetFormatPr defaultColWidth="12" defaultRowHeight="11.25"/>
  <x:cols>
    <x:col min="1" max="1" width="13.6640625" customWidth="1"/>
    <x:col min="2" max="2" width="13.83203125" customWidth="1"/>
    <x:col min="3" max="3" width="12" customWidth="1"/>
    <x:col min="4" max="4" width="9.83203125" customWidth="1"/>
    <x:col min="5" max="5" width="12.83203125" customWidth="1"/>
    <x:col min="6" max="6" width="8.6640625" customWidth="1"/>
    <x:col min="7" max="7" width="23.33203125" customWidth="1"/>
    <x:col min="8" max="8" width="20.6640625" customWidth="1"/>
    <x:col min="9" max="9" width="10.83203125" customWidth="1"/>
    <x:col min="10" max="10" width="10.83203125" customWidth="1"/>
    <x:col min="11" max="11" width="18.5" customWidth="1"/>
    <x:col min="12" max="12" width="12" customWidth="1"/>
    <x:col min="13" max="13" width="8.6640625" customWidth="1"/>
    <x:col min="14" max="14" width="11.1640625" customWidth="1"/>
    <x:col min="15" max="15" width="22.5" customWidth="1"/>
    <x:col min="16" max="16" width="55.83203125" customWidth="1"/>
    <x:col min="17" max="17" width="46.1640625" hidden="1" customWidth="1"/>
    <x:col min="18" max="18" width="85.5" customWidth="1"/>
    <x:col min="19" max="19" width="6.83203125" customWidth="1"/>
    <x:col min="20" max="20" width="4.6640625" customWidth="1"/>
    <x:col min="21" max="21" width="6.1640625" customWidth="1"/>
    <x:col min="22" max="22" width="18.33203125" customWidth="1"/>
    <x:col min="23" max="23" width="17.1640625" customWidth="1"/>
    <x:col min="24" max="24" width="5.33203125" style="3" customWidth="1"/>
    <x:col min="25" max="25" width="37.33203125" customWidth="1"/>
    <x:col min="26" max="26" width="14.1640625" customWidth="1"/>
    <x:col min="27" max="27" width="14.6640625" hidden="1" customWidth="1"/>
    <x:col min="28" max="28" width="13.1640625" hidden="1" customWidth="1"/>
    <x:col min="29" max="29" width="10.6640625" hidden="1" customWidth="1"/>
    <x:col min="30" max="30" width="9.6640625" customWidth="1"/>
    <x:col min="31" max="36" width="10.6640625" customWidth="1"/>
    <x:col min="37" max="41" width="13.83203125" hidden="1" customWidth="1"/>
    <x:col min="42" max="42" width="13.83203125" customWidth="1"/>
    <x:col min="43" max="43" width="5.33203125" style="22" customWidth="1"/>
    <x:col min="44" max="44" width="23.6640625" customWidth="1"/>
    <x:col min="45" max="45" width="12" customWidth="1"/>
    <x:col min="46" max="46" width="23.1640625" customWidth="1"/>
    <x:col min="47" max="47" width="12" customWidth="1"/>
    <x:col min="48" max="48" width="9.6640625" customWidth="1"/>
    <x:col min="49" max="49" width="10.83203125" customWidth="1"/>
    <x:col min="51" max="51" width="16.5" customWidth="1"/>
    <x:col min="52" max="52" width="7.1640625" customWidth="1"/>
    <x:col min="53" max="53" width="12.6640625" customWidth="1"/>
    <x:col min="54" max="54" width="13" customWidth="1"/>
    <x:col min="55" max="55" width="10.1640625" customWidth="1"/>
    <x:col min="58" max="58" width="14.1640625" customWidth="1"/>
    <x:col min="60" max="60" width="39" customWidth="1"/>
    <x:col min="61" max="61" width="92.6640625" customWidth="1"/>
  </x:cols>
  <x:sheetData>
    <x:row r="1" s="18" customFormat="1" ht="23.25">
      <x:c r="A1" s="18" t="s">
        <x:v>863</x:v>
      </x:c>
      <x:c r="B1" s="18" t="s">
        <x:v>864</x:v>
      </x:c>
      <x:c r="D1" s="5" t="s">
        <x:v>865</x:v>
      </x:c>
      <x:c r="E1" s="5" t="s">
        <x:v>866</x:v>
      </x:c>
      <x:c r="F1" s="5" t="s">
        <x:v>18</x:v>
      </x:c>
      <x:c r="G1" s="5" t="s">
        <x:v>867</x:v>
      </x:c>
      <x:c r="H1" s="5" t="s">
        <x:v>868</x:v>
      </x:c>
      <x:c r="I1" s="5" t="s">
        <x:v>869</x:v>
      </x:c>
      <x:c r="J1" s="73" t="s">
        <x:v>870</x:v>
      </x:c>
      <x:c r="K1" s="74" t="s">
        <x:v>871</x:v>
      </x:c>
      <x:c r="M1" s="18" t="s">
        <x:v>872</x:v>
      </x:c>
      <x:c r="N1" s="18" t="s">
        <x:v>873</x:v>
      </x:c>
      <x:c r="O1" s="18" t="s">
        <x:v>770</x:v>
      </x:c>
      <x:c r="P1" s="18" t="s">
        <x:v>619</x:v>
      </x:c>
      <x:c r="Q1" s="85" t="s">
        <x:v>874</x:v>
      </x:c>
      <x:c r="R1" s="18" t="s">
        <x:v>248</x:v>
      </x:c>
      <x:c r="S1" s="204" t="s">
        <x:v>875</x:v>
      </x:c>
      <x:c r="U1" s="18" t="s">
        <x:v>876</x:v>
      </x:c>
      <x:c r="V1" s="18" t="s">
        <x:v>868</x:v>
      </x:c>
      <x:c r="X1" s="20" t="s">
        <x:v>1</x:v>
      </x:c>
      <x:c r="Y1" s="18" t="s">
        <x:v>2</x:v>
      </x:c>
      <x:c r="Z1" s="18" t="s">
        <x:v>6</x:v>
      </x:c>
      <x:c r="AA1" s="95" t="s">
        <x:v>877</x:v>
      </x:c>
      <x:c r="AB1" s="95" t="s">
        <x:v>878</x:v>
      </x:c>
      <x:c r="AC1" s="95" t="s">
        <x:v>879</x:v>
      </x:c>
      <x:c r="AD1" s="18" t="s">
        <x:v>880</x:v>
      </x:c>
      <x:c r="AE1" s="67" t="s">
        <x:v>881</x:v>
      </x:c>
      <x:c r="AF1" s="18" t="s">
        <x:v>882</x:v>
      </x:c>
      <x:c r="AG1" s="67" t="s">
        <x:v>883</x:v>
      </x:c>
      <x:c r="AH1" s="91" t="s">
        <x:v>884</x:v>
      </x:c>
      <x:c r="AI1" s="92" t="s">
        <x:v>885</x:v>
      </x:c>
      <x:c r="AJ1" s="91" t="s">
        <x:v>886</x:v>
      </x:c>
      <x:c r="AK1" s="85" t="s">
        <x:v>887</x:v>
      </x:c>
      <x:c r="AL1" s="85" t="s">
        <x:v>888</x:v>
      </x:c>
      <x:c r="AM1" s="85" t="s">
        <x:v>889</x:v>
      </x:c>
      <x:c r="AN1" s="85" t="s">
        <x:v>890</x:v>
      </x:c>
      <x:c r="AO1" s="85" t="s">
        <x:v>891</x:v>
      </x:c>
      <x:c r="AP1" s="67"/>
      <x:c r="AQ1" s="21" t="s">
        <x:v>3</x:v>
      </x:c>
      <x:c r="AR1" s="18" t="s">
        <x:v>4</x:v>
      </x:c>
      <x:c r="AS1" s="18" t="s">
        <x:v>892</x:v>
      </x:c>
      <x:c r="AT1" s="18" t="s">
        <x:v>866</x:v>
      </x:c>
      <x:c r="AV1" s="18" t="s">
        <x:v>893</x:v>
      </x:c>
      <x:c r="AW1" s="18" t="s">
        <x:v>894</x:v>
      </x:c>
      <x:c r="AY1" s="18" t="s">
        <x:v>530</x:v>
      </x:c>
      <x:c r="AZ1" s="18" t="s">
        <x:v>537</x:v>
      </x:c>
      <x:c r="BA1" s="18" t="s">
        <x:v>895</x:v>
      </x:c>
      <x:c r="BB1" s="18" t="s">
        <x:v>896</x:v>
      </x:c>
      <x:c r="BC1" s="18" t="s">
        <x:v>897</x:v>
      </x:c>
      <x:c r="BD1" s="247" t="s">
        <x:v>533</x:v>
      </x:c>
      <x:c r="BE1" s="247" t="s">
        <x:v>898</x:v>
      </x:c>
      <x:c r="BF1" s="247" t="s">
        <x:v>899</x:v>
      </x:c>
      <x:c r="BH1" s="18" t="s">
        <x:v>900</x:v>
      </x:c>
      <x:c r="BI1" s="18" t="s">
        <x:v>901</x:v>
      </x:c>
    </x:row>
    <x:row r="2" ht="11.100000381469727" customHeight="1">
      <x:c r="A2">
        <x:v>0</x:v>
      </x:c>
      <x:c r="B2" t="s">
        <x:v>902</x:v>
      </x:c>
      <x:c r="D2" s="94" t="s">
        <x:v>903</x:v>
      </x:c>
      <x:c r="E2" s="7" t="s">
        <x:v>904</x:v>
      </x:c>
      <x:c r="F2" s="6" t="s">
        <x:v>905</x:v>
      </x:c>
      <x:c r="G2" s="8" t="s">
        <x:v>906</x:v>
      </x:c>
      <x:c r="H2" s="13" t="s">
        <x:v>907</x:v>
      </x:c>
      <x:c r="I2" s="70"/>
      <x:c r="J2" s="75" t="s">
        <x:v>908</x:v>
      </x:c>
      <x:c r="K2" s="76" t="s">
        <x:v>909</x:v>
      </x:c>
      <x:c r="M2">
        <x:v>1</x:v>
      </x:c>
      <x:c r="N2" t="s">
        <x:v>910</x:v>
      </x:c>
      <x:c r="O2" t="s">
        <x:v>911</x:v>
      </x:c>
      <x:c r="P2" t="s">
        <x:v>912</x:v>
      </x:c>
      <x:c r="Q2" t="s">
        <x:v>913</x:v>
      </x:c>
      <x:c r="R2" t="s">
        <x:v>914</x:v>
      </x:c>
      <x:c r="S2" s="203" t="s">
        <x:v>915</x:v>
      </x:c>
      <x:c r="U2" s="93" t="s">
        <x:v>903</x:v>
      </x:c>
      <x:c r="V2" t="s">
        <x:v>907</x:v>
      </x:c>
      <x:c r="X2" s="87" t="s">
        <x:v>916</x:v>
      </x:c>
      <x:c r="Y2" s="24" t="s">
        <x:v>29</x:v>
      </x:c>
      <x:c r="Z2" s="24" t="e">
        <x:f>IF(LEN(Categoría[[#This Row],[Cat]])=1,COUNTIF(Matriz[EDT],"?????????*"),COUNTIF(Matriz[EDT],Categoría[[#This Row],[Cat]]&amp;"*")-1)</x:f>
        <x:v>#NAME?</x:v>
      </x:c>
      <x:c r="AA2" s="24" t="e">
        <x:f>SUMIF(Matriz[EDT],Categoría[[#This Row],[Cat]]&amp;"*",Matriz[Impor-tancia])</x:f>
        <x:v>#NAME?</x:v>
      </x:c>
      <x:c r="AB2" s="65" t="e">
        <x:f>Categoría[[#This Row],[∑ importancia]]/SUM(Categoría[∑ importancia])</x:f>
        <x:v>#NAME?</x:v>
      </x:c>
      <x:c r="AC2" s="65"/>
      <x:c r="AD2" s="24"/>
      <x:c r="AE2" s="65" t="e">
        <x:f>ROUND(Categoría[[#This Row],[IMP]]/SUM(Categoría[IMP]),2)</x:f>
        <x:v>#NAME?</x:v>
      </x:c>
      <x:c r="AF2" s="65"/>
      <x:c r="AG2" s="65"/>
      <x:c r="AH2" s="65" t="e">
        <x:f>IFERROR(COUNTIFS(Matriz[Cat],Categoría[[#This Row],[Cat]],Matriz[Res],"No",Matriz[Impor-tancia],"&gt;=8")/COUNTIFS(Matriz[Cat],Categoría[[#This Row],[Cat]],Matriz[Res],"No"),"NA")</x:f>
        <x:v>#NAME?</x:v>
      </x:c>
      <x:c r="AI2" s="65" t="e">
        <x:f>IFERROR(COUNTIFS(Matriz[Cat],Categoría[[#This Row],[Cat]],Matriz[Res],"No",Matriz[Impor-tancia],"&gt;=5",Matriz[Impor-tancia],"&lt;=7") / COUNTIFS(Matriz[Cat],Categoría[[#This Row],[Cat]],Matriz[Res],"No"), "NA")</x:f>
        <x:v>#NAME?</x:v>
      </x:c>
      <x:c r="AJ2" s="65" t="e">
        <x:f>IFERROR(COUNTIFS(Matriz[Cat],Categoría[[#This Row],[Cat]],Matriz[Res],"No",Matriz[Impor-tancia],"&lt;=4")/COUNTIFS(Matriz[Cat],Categoría[[#This Row],[Cat]],Matriz[Res],"No"),"NA")</x:f>
        <x:v>#NAME?</x:v>
      </x:c>
      <x:c r="AK2" s="69"/>
      <x:c r="AL2" s="69"/>
      <x:c r="AM2" s="69"/>
      <x:c r="AN2" s="69"/>
      <x:c r="AO2" s="69"/>
      <x:c r="AP2" s="65"/>
      <x:c r="AQ2" s="26" t="s">
        <x:v>903</x:v>
      </x:c>
      <x:c r="AR2" t="s">
        <x:v>248</x:v>
      </x:c>
      <x:c r="AS2" t="s">
        <x:v>859</x:v>
      </x:c>
      <x:c r="AV2" t="s">
        <x:v>37</x:v>
      </x:c>
      <x:c r="AW2">
        <x:v>1</x:v>
      </x:c>
      <x:c r="AY2" t="s">
        <x:v>917</x:v>
      </x:c>
      <x:c r="AZ2" t="s">
        <x:v>585</x:v>
      </x:c>
      <x:c r="BA2" t="s">
        <x:v>918</x:v>
      </x:c>
      <x:c r="BB2" t="s">
        <x:v>918</x:v>
      </x:c>
      <x:c r="BC2" s="111">
        <x:v>1</x:v>
      </x:c>
      <x:c r="BD2" s="248" t="n">
        <x:f>TRM[[#This Row],[Tasa ≥1]]</x:f>
        <x:v>1</x:v>
      </x:c>
      <x:c r="BE2" s="248" t="n">
        <x:f>TRM[[#This Row],[Tasa ≥1]]</x:f>
        <x:v>1</x:v>
      </x:c>
      <x:c r="BF2" s="248">
        <x:v>1</x:v>
      </x:c>
      <x:c r="BH2" t="s">
        <x:v>919</x:v>
      </x:c>
      <x:c r="BI2" t="s">
        <x:v>920</x:v>
      </x:c>
    </x:row>
    <x:row r="3" ht="12">
      <x:c r="A3">
        <x:v>3</x:v>
      </x:c>
      <x:c r="B3" t="s">
        <x:v>921</x:v>
      </x:c>
      <x:c r="D3" s="94" t="s">
        <x:v>922</x:v>
      </x:c>
      <x:c r="E3" s="7" t="s">
        <x:v>923</x:v>
      </x:c>
      <x:c r="F3" s="6" t="s">
        <x:v>924</x:v>
      </x:c>
      <x:c r="G3" s="197" t="s">
        <x:v>925</x:v>
      </x:c>
      <x:c r="H3" s="13" t="s">
        <x:v>926</x:v>
      </x:c>
      <x:c r="I3" s="71"/>
      <x:c r="J3" s="77" t="s">
        <x:v>927</x:v>
      </x:c>
      <x:c r="K3" s="78" t="s">
        <x:v>928</x:v>
      </x:c>
      <x:c r="M3">
        <x:v>2</x:v>
      </x:c>
      <x:c r="N3" t="s">
        <x:v>929</x:v>
      </x:c>
      <x:c r="O3" t="s">
        <x:v>930</x:v>
      </x:c>
      <x:c r="P3" t="s">
        <x:v>931</x:v>
      </x:c>
      <x:c r="Q3" t="s">
        <x:v>932</x:v>
      </x:c>
      <x:c r="R3" t="s">
        <x:v>933</x:v>
      </x:c>
      <x:c r="S3" s="312" t="s">
        <x:v>934</x:v>
      </x:c>
      <x:c r="U3" s="93" t="s">
        <x:v>922</x:v>
      </x:c>
      <x:c r="V3" t="s">
        <x:v>926</x:v>
      </x:c>
      <x:c r="X3" s="26" t="s">
        <x:v>903</x:v>
      </x:c>
      <x:c r="Y3" s="1" t="s">
        <x:v>31</x:v>
      </x:c>
      <x:c r="Z3" t="e">
        <x:f>IF(LEN(Categoría[[#This Row],[Cat]])=1,COUNTIF(Matriz[EDT],"?????????*"),COUNTIF(Matriz[EDT],Categoría[[#This Row],[Cat]]&amp;"*")-1)</x:f>
        <x:v>#NAME?</x:v>
      </x:c>
      <x:c r="AA3" t="e">
        <x:f>SUMIF(Matriz[EDT],Categoría[[#This Row],[Cat]]&amp;"*",Matriz[Impor-tancia])</x:f>
        <x:v>#NAME?</x:v>
      </x:c>
      <x:c r="AB3" s="66" t="e">
        <x:f>Categoría[[#This Row],[∑ importancia]]/SUM(Categoría[∑ importancia])</x:f>
        <x:v>#NAME?</x:v>
      </x:c>
      <x:c r="AC3" s="65">
        <x:v>0.1</x:v>
      </x:c>
      <x:c r="AD3" s="43">
        <x:v>9</x:v>
      </x:c>
      <x:c r="AE3" s="65" t="e">
        <x:f>ROUND(Categoría[[#This Row],[IMP]]/SUM(Categoría[IMP]),2)</x:f>
        <x:v>#NAME?</x:v>
      </x:c>
      <x:c r="AF3" s="65">
        <x:v>0.12</x:v>
      </x:c>
      <x:c r="AG3" s="65"/>
      <x:c r="AH3" s="65" t="e">
        <x:f>IFERROR(COUNTIFS(Matriz[Cat],Categoría[[#This Row],[Cat]],Matriz[Res],"No",Matriz[Impor-tancia],"&gt;=8")/COUNTIFS(Matriz[Cat],Categoría[[#This Row],[Cat]],Matriz[Res],"No"),"NA")</x:f>
        <x:v>#NAME?</x:v>
      </x:c>
      <x:c r="AI3" s="65" t="e">
        <x:f>IFERROR(COUNTIFS(Matriz[Cat],Categoría[[#This Row],[Cat]],Matriz[Res],"No",Matriz[Impor-tancia],"&gt;=5",Matriz[Impor-tancia],"&lt;=7") / COUNTIFS(Matriz[Cat],Categoría[[#This Row],[Cat]],Matriz[Res],"No"), "NA")</x:f>
        <x:v>#NAME?</x:v>
      </x:c>
      <x:c r="AJ3" s="65" t="e">
        <x:f>IFERROR(COUNTIFS(Matriz[Cat],Categoría[[#This Row],[Cat]],Matriz[Res],"No",Matriz[Impor-tancia],"&lt;=4")/COUNTIFS(Matriz[Cat],Categoría[[#This Row],[Cat]],Matriz[Res],"No"),"NA")</x:f>
        <x:v>#NAME?</x:v>
      </x:c>
      <x:c r="AK3" s="69"/>
      <x:c r="AL3" s="69"/>
      <x:c r="AM3" s="69"/>
      <x:c r="AN3" s="69"/>
      <x:c r="AO3" s="69"/>
      <x:c r="AP3" s="65"/>
      <x:c r="AQ3" s="26" t="s">
        <x:v>922</x:v>
      </x:c>
      <x:c r="AR3" t="s">
        <x:v>252</x:v>
      </x:c>
      <x:c r="AS3" t="s">
        <x:v>935</x:v>
      </x:c>
      <x:c r="AV3" t="s">
        <x:v>936</x:v>
      </x:c>
      <x:c r="AW3">
        <x:v>0</x:v>
      </x:c>
      <x:c r="AY3" t="s">
        <x:v>937</x:v>
      </x:c>
      <x:c r="AZ3" t="s">
        <x:v>547</x:v>
      </x:c>
      <x:c r="BA3" t="s">
        <x:v>938</x:v>
      </x:c>
      <x:c r="BB3" t="s">
        <x:v>939</x:v>
      </x:c>
      <x:c r="BC3" s="104">
        <x:v>1.18</x:v>
      </x:c>
      <x:c r="BD3" s="248" t="n">
        <x:f>TRM[[#This Row],[Tasa ≥1]]</x:f>
        <x:v>1.18</x:v>
      </x:c>
      <x:c r="BE3" s="248" t="n">
        <x:f>TRM[[#This Row],[Tasa ≥1]]</x:f>
        <x:v>1.18</x:v>
      </x:c>
      <x:c r="BF3" s="248" t="n">
        <x:f>1/0.858</x:f>
        <x:v>1.1655011655011656</x:v>
      </x:c>
      <x:c r="BH3" t="s">
        <x:v>940</x:v>
      </x:c>
      <x:c r="BI3" t="s">
        <x:v>941</x:v>
      </x:c>
    </x:row>
    <x:row r="4" ht="12">
      <x:c r="A4">
        <x:v>5</x:v>
      </x:c>
      <x:c r="B4" t="s">
        <x:v>942</x:v>
      </x:c>
      <x:c r="D4" s="94" t="s">
        <x:v>943</x:v>
      </x:c>
      <x:c r="E4" s="9" t="s">
        <x:v>944</x:v>
      </x:c>
      <x:c r="F4" s="10" t="s">
        <x:v>945</x:v>
      </x:c>
      <x:c r="G4" s="11" t="s">
        <x:v>946</x:v>
      </x:c>
      <x:c r="H4" s="13" t="s">
        <x:v>947</x:v>
      </x:c>
      <x:c r="I4" s="72"/>
      <x:c r="J4" s="75" t="s">
        <x:v>948</x:v>
      </x:c>
      <x:c r="K4" s="76" t="s">
        <x:v>949</x:v>
      </x:c>
      <x:c r="M4">
        <x:v>3</x:v>
      </x:c>
      <x:c r="N4" t="s">
        <x:v>950</x:v>
      </x:c>
      <x:c r="O4" t="s">
        <x:v>951</x:v>
      </x:c>
      <x:c r="P4" t="s">
        <x:v>952</x:v>
      </x:c>
      <x:c r="Q4" t="s">
        <x:v>953</x:v>
      </x:c>
      <x:c r="R4" t="s">
        <x:v>954</x:v>
      </x:c>
      <x:c r="S4" s="312"/>
      <x:c r="U4" s="93" t="s">
        <x:v>943</x:v>
      </x:c>
      <x:c r="V4" t="s">
        <x:v>947</x:v>
      </x:c>
      <x:c r="X4" s="26" t="s">
        <x:v>922</x:v>
      </x:c>
      <x:c r="Y4" s="1" t="s">
        <x:v>119</x:v>
      </x:c>
      <x:c r="Z4" t="e">
        <x:f>IF(LEN(Categoría[[#This Row],[Cat]])=1,COUNTIF(Matriz[EDT],"?????????*"),COUNTIF(Matriz[EDT],Categoría[[#This Row],[Cat]]&amp;"*")-1)</x:f>
        <x:v>#NAME?</x:v>
      </x:c>
      <x:c r="AA4" t="e">
        <x:f>SUMIF(Matriz[EDT],Categoría[[#This Row],[Cat]]&amp;"*",Matriz[Impor-tancia])</x:f>
        <x:v>#NAME?</x:v>
      </x:c>
      <x:c r="AB4" s="66" t="e">
        <x:f>Categoría[[#This Row],[∑ importancia]]/SUM(Categoría[∑ importancia])</x:f>
        <x:v>#NAME?</x:v>
      </x:c>
      <x:c r="AC4" s="65">
        <x:v>0.15</x:v>
      </x:c>
      <x:c r="AD4" s="43">
        <x:v>10</x:v>
      </x:c>
      <x:c r="AE4" s="65" t="e">
        <x:f>ROUND(Categoría[[#This Row],[IMP]]/SUM(Categoría[IMP]),2)</x:f>
        <x:v>#NAME?</x:v>
      </x:c>
      <x:c r="AF4" s="65">
        <x:v>0.15</x:v>
      </x:c>
      <x:c r="AG4" s="65"/>
      <x:c r="AH4" s="65" t="e">
        <x:f>IFERROR(COUNTIFS(Matriz[Cat],Categoría[[#This Row],[Cat]],Matriz[Res],"No",Matriz[Impor-tancia],"&gt;=8")/COUNTIFS(Matriz[Cat],Categoría[[#This Row],[Cat]],Matriz[Res],"No"),"NA")</x:f>
        <x:v>#NAME?</x:v>
      </x:c>
      <x:c r="AI4" s="65" t="e">
        <x:f>IFERROR(COUNTIFS(Matriz[Cat],Categoría[[#This Row],[Cat]],Matriz[Res],"No",Matriz[Impor-tancia],"&gt;=5",Matriz[Impor-tancia],"&lt;=7") / COUNTIFS(Matriz[Cat],Categoría[[#This Row],[Cat]],Matriz[Res],"No"), "NA")</x:f>
        <x:v>#NAME?</x:v>
      </x:c>
      <x:c r="AJ4" s="65" t="e">
        <x:f>IFERROR(COUNTIFS(Matriz[Cat],Categoría[[#This Row],[Cat]],Matriz[Res],"No",Matriz[Impor-tancia],"&lt;=4")/COUNTIFS(Matriz[Cat],Categoría[[#This Row],[Cat]],Matriz[Res],"No"),"NA")</x:f>
        <x:v>#NAME?</x:v>
      </x:c>
      <x:c r="AK4" s="69"/>
      <x:c r="AL4" s="69"/>
      <x:c r="AM4" s="69"/>
      <x:c r="AN4" s="69"/>
      <x:c r="AO4" s="69"/>
      <x:c r="AP4" s="65"/>
      <x:c r="AQ4" s="26" t="s">
        <x:v>943</x:v>
      </x:c>
      <x:c r="AR4" t="s">
        <x:v>283</x:v>
      </x:c>
      <x:c r="AS4" t="s">
        <x:v>955</x:v>
      </x:c>
      <x:c r="AY4" t="s">
        <x:v>956</x:v>
      </x:c>
      <x:c r="AZ4" t="s">
        <x:v>590</x:v>
      </x:c>
      <x:c r="BA4" t="s">
        <x:v>957</x:v>
      </x:c>
      <x:c r="BB4" t="s">
        <x:v>958</x:v>
      </x:c>
      <x:c r="BC4" s="25">
        <x:v>4000</x:v>
      </x:c>
      <x:c r="BD4" s="249" t="n">
        <x:f>1/TRM[[#This Row],[Tasa ≥1]]</x:f>
        <x:v>0.00025</x:v>
      </x:c>
      <x:c r="BE4" s="249" t="n">
        <x:f>1/TRM[[#This Row],[Tasa ≥1]]</x:f>
        <x:v>0.00025</x:v>
      </x:c>
      <x:c r="BF4" s="249" t="n">
        <x:f>1/3633</x:f>
        <x:v>0.0002752546105147261</x:v>
      </x:c>
      <x:c r="BH4" t="s">
        <x:v>549</x:v>
      </x:c>
      <x:c r="BI4" t="s">
        <x:v>959</x:v>
      </x:c>
    </x:row>
    <x:row r="5" ht="12">
      <x:c r="A5">
        <x:v>7</x:v>
      </x:c>
      <x:c r="B5" t="s">
        <x:v>960</x:v>
      </x:c>
      <x:c r="D5" s="94" t="s">
        <x:v>961</x:v>
      </x:c>
      <x:c r="E5" s="9" t="s">
        <x:v>962</x:v>
      </x:c>
      <x:c r="F5" s="10" t="s">
        <x:v>963</x:v>
      </x:c>
      <x:c r="G5" s="11" t="s">
        <x:v>964</x:v>
      </x:c>
      <x:c r="H5" s="13" t="s">
        <x:v>965</x:v>
      </x:c>
      <x:c r="I5" s="81"/>
      <x:c r="J5" s="79" t="s">
        <x:v>966</x:v>
      </x:c>
      <x:c r="K5" s="80" t="s">
        <x:v>967</x:v>
      </x:c>
      <x:c r="M5">
        <x:v>4</x:v>
      </x:c>
      <x:c r="N5" t="s">
        <x:v>923</x:v>
      </x:c>
      <x:c r="O5" t="s">
        <x:v>968</x:v>
      </x:c>
      <x:c r="P5" t="s">
        <x:v>969</x:v>
      </x:c>
      <x:c r="Q5" t="s">
        <x:v>970</x:v>
      </x:c>
      <x:c r="R5" t="s">
        <x:v>971</x:v>
      </x:c>
      <x:c r="S5" s="312"/>
      <x:c r="X5" s="26" t="s">
        <x:v>943</x:v>
      </x:c>
      <x:c r="Y5" s="1" t="s">
        <x:v>216</x:v>
      </x:c>
      <x:c r="Z5" t="e">
        <x:f>IF(LEN(Categoría[[#This Row],[Cat]])=1,COUNTIF(Matriz[EDT],"?????????*"),COUNTIF(Matriz[EDT],Categoría[[#This Row],[Cat]]&amp;"*")-1)</x:f>
        <x:v>#NAME?</x:v>
      </x:c>
      <x:c r="AA5" t="e">
        <x:f>SUMIF(Matriz[EDT],Categoría[[#This Row],[Cat]]&amp;"*",Matriz[Impor-tancia])</x:f>
        <x:v>#NAME?</x:v>
      </x:c>
      <x:c r="AB5" s="66" t="e">
        <x:f>Categoría[[#This Row],[∑ importancia]]/SUM(Categoría[∑ importancia])</x:f>
        <x:v>#NAME?</x:v>
      </x:c>
      <x:c r="AC5" s="65">
        <x:v>0.08</x:v>
      </x:c>
      <x:c r="AD5" s="43">
        <x:v>7</x:v>
      </x:c>
      <x:c r="AE5" s="65" t="e">
        <x:f>ROUND(Categoría[[#This Row],[IMP]]/SUM(Categoría[IMP]),2)</x:f>
        <x:v>#NAME?</x:v>
      </x:c>
      <x:c r="AF5" s="65">
        <x:v>7.0000000000000007E-2</x:v>
      </x:c>
      <x:c r="AG5" s="65"/>
      <x:c r="AH5" s="65" t="e">
        <x:f>IFERROR(COUNTIFS(Matriz[Cat],Categoría[[#This Row],[Cat]],Matriz[Res],"No",Matriz[Impor-tancia],"&gt;=8")/COUNTIFS(Matriz[Cat],Categoría[[#This Row],[Cat]],Matriz[Res],"No"),"NA")</x:f>
        <x:v>#NAME?</x:v>
      </x:c>
      <x:c r="AI5" s="65" t="e">
        <x:f>IFERROR(COUNTIFS(Matriz[Cat],Categoría[[#This Row],[Cat]],Matriz[Res],"No",Matriz[Impor-tancia],"&gt;=5",Matriz[Impor-tancia],"&lt;=7") / COUNTIFS(Matriz[Cat],Categoría[[#This Row],[Cat]],Matriz[Res],"No"), "NA")</x:f>
        <x:v>#NAME?</x:v>
      </x:c>
      <x:c r="AJ5" s="65" t="e">
        <x:f>IFERROR(COUNTIFS(Matriz[Cat],Categoría[[#This Row],[Cat]],Matriz[Res],"No",Matriz[Impor-tancia],"&lt;=4")/COUNTIFS(Matriz[Cat],Categoría[[#This Row],[Cat]],Matriz[Res],"No"),"NA")</x:f>
        <x:v>#NAME?</x:v>
      </x:c>
      <x:c r="AK5" s="69"/>
      <x:c r="AL5" s="69"/>
      <x:c r="AM5" s="69"/>
      <x:c r="AN5" s="69"/>
      <x:c r="AO5" s="69"/>
      <x:c r="AP5" s="65"/>
      <x:c r="AQ5" s="26" t="s">
        <x:v>961</x:v>
      </x:c>
      <x:c r="AR5" t="s">
        <x:v>300</x:v>
      </x:c>
      <x:c r="AS5" t="s">
        <x:v>972</x:v>
      </x:c>
      <x:c r="BC5" s="25"/>
      <x:c r="BD5" s="248" t="e">
        <x:f>TRM[[#This Row],[Tasa ≥1]]</x:f>
        <x:v>#VALUE!</x:v>
      </x:c>
      <x:c r="BE5" s="248" t="e">
        <x:f>TRM[[#This Row],[Tasa ≥1]]</x:f>
        <x:v>#VALUE!</x:v>
      </x:c>
      <x:c r="BF5" s="248"/>
    </x:row>
    <x:row r="6">
      <x:c r="A6">
        <x:v>10</x:v>
      </x:c>
      <x:c r="B6" t="s">
        <x:v>973</x:v>
      </x:c>
      <x:c r="X6" s="26" t="s">
        <x:v>961</x:v>
      </x:c>
      <x:c r="Y6" s="1" t="s">
        <x:v>247</x:v>
      </x:c>
      <x:c r="Z6" t="e">
        <x:f>IF(LEN(Categoría[[#This Row],[Cat]])=1,COUNTIF(Matriz[EDT],"?????????*"),COUNTIF(Matriz[EDT],Categoría[[#This Row],[Cat]]&amp;"*")-1)</x:f>
        <x:v>#NAME?</x:v>
      </x:c>
      <x:c r="AA6" t="e">
        <x:f>SUMIF(Matriz[EDT],Categoría[[#This Row],[Cat]]&amp;"*",Matriz[Impor-tancia])</x:f>
        <x:v>#NAME?</x:v>
      </x:c>
      <x:c r="AB6" s="66" t="e">
        <x:f>Categoría[[#This Row],[∑ importancia]]/SUM(Categoría[∑ importancia])</x:f>
        <x:v>#NAME?</x:v>
      </x:c>
      <x:c r="AC6" s="65">
        <x:v>0.2</x:v>
      </x:c>
      <x:c r="AD6" s="43">
        <x:v>10</x:v>
      </x:c>
      <x:c r="AE6" s="65" t="e">
        <x:f>ROUND(Categoría[[#This Row],[IMP]]/SUM(Categoría[IMP]),2)</x:f>
        <x:v>#NAME?</x:v>
      </x:c>
      <x:c r="AF6" s="65">
        <x:v>0.17</x:v>
      </x:c>
      <x:c r="AG6" s="65"/>
      <x:c r="AH6" s="90" t="e">
        <x:f>IFERROR(COUNTIFS(Matriz[Cat],Categoría[[#This Row],[Cat]],Matriz[Res],"No",Matriz[Impor-tancia],"&gt;=8")/COUNTIFS(Matriz[Cat],Categoría[[#This Row],[Cat]],Matriz[Res],"No"),"NA")</x:f>
        <x:v>#NAME?</x:v>
      </x:c>
      <x:c r="AI6" s="90" t="e">
        <x:f>IFERROR(COUNTIFS(Matriz[Cat],Categoría[[#This Row],[Cat]],Matriz[Res],"No",Matriz[Impor-tancia],"&gt;=5",Matriz[Impor-tancia],"&lt;=7") / COUNTIFS(Matriz[Cat],Categoría[[#This Row],[Cat]],Matriz[Res],"No"), "NA")</x:f>
        <x:v>#NAME?</x:v>
      </x:c>
      <x:c r="AJ6" s="90" t="e">
        <x:f>IFERROR(COUNTIFS(Matriz[Cat],Categoría[[#This Row],[Cat]],Matriz[Res],"No",Matriz[Impor-tancia],"&lt;=4")/COUNTIFS(Matriz[Cat],Categoría[[#This Row],[Cat]],Matriz[Res],"No"),"NA")</x:f>
        <x:v>#NAME?</x:v>
      </x:c>
      <x:c r="AK6" s="69"/>
      <x:c r="AL6" s="69"/>
      <x:c r="AM6" s="69"/>
      <x:c r="AN6" s="69"/>
      <x:c r="AO6" s="69"/>
      <x:c r="AP6" s="65"/>
      <x:c r="AQ6" s="26" t="s">
        <x:v>974</x:v>
      </x:c>
      <x:c r="AR6" t="s">
        <x:v>380</x:v>
      </x:c>
      <x:c r="AS6" t="s">
        <x:v>975</x:v>
      </x:c>
    </x:row>
    <x:row r="7">
      <x:c r="X7" s="26" t="s">
        <x:v>974</x:v>
      </x:c>
      <x:c r="Y7" s="1" t="s">
        <x:v>379</x:v>
      </x:c>
      <x:c r="Z7" t="e">
        <x:f>IF(LEN(Categoría[[#This Row],[Cat]])=1,COUNTIF(Matriz[EDT],"?????????*"),COUNTIF(Matriz[EDT],Categoría[[#This Row],[Cat]]&amp;"*")-1)</x:f>
        <x:v>#NAME?</x:v>
      </x:c>
      <x:c r="AA7" t="e">
        <x:f>SUMIF(Matriz[EDT],Categoría[[#This Row],[Cat]]&amp;"*",Matriz[Impor-tancia])</x:f>
        <x:v>#NAME?</x:v>
      </x:c>
      <x:c r="AB7" s="66" t="e">
        <x:f>Categoría[[#This Row],[∑ importancia]]/SUM(Categoría[∑ importancia])</x:f>
        <x:v>#NAME?</x:v>
      </x:c>
      <x:c r="AC7" s="65">
        <x:v>0.08</x:v>
      </x:c>
      <x:c r="AD7" s="43">
        <x:v>7</x:v>
      </x:c>
      <x:c r="AE7" s="65" t="e">
        <x:f>ROUND(Categoría[[#This Row],[IMP]]/SUM(Categoría[IMP]),2)</x:f>
        <x:v>#NAME?</x:v>
      </x:c>
      <x:c r="AF7" s="65">
        <x:v>0.1</x:v>
      </x:c>
      <x:c r="AG7" s="65"/>
      <x:c r="AH7" s="90" t="e">
        <x:f>IFERROR(COUNTIFS(Matriz[Cat],Categoría[[#This Row],[Cat]],Matriz[Res],"No",Matriz[Impor-tancia],"&gt;=8")/COUNTIFS(Matriz[Cat],Categoría[[#This Row],[Cat]],Matriz[Res],"No"),"NA")</x:f>
        <x:v>#NAME?</x:v>
      </x:c>
      <x:c r="AI7" s="90" t="e">
        <x:f>IFERROR(COUNTIFS(Matriz[Cat],Categoría[[#This Row],[Cat]],Matriz[Res],"No",Matriz[Impor-tancia],"&gt;=5",Matriz[Impor-tancia],"&lt;=7") / COUNTIFS(Matriz[Cat],Categoría[[#This Row],[Cat]],Matriz[Res],"No"), "NA")</x:f>
        <x:v>#NAME?</x:v>
      </x:c>
      <x:c r="AJ7" s="90" t="e">
        <x:f>IFERROR(COUNTIFS(Matriz[Cat],Categoría[[#This Row],[Cat]],Matriz[Res],"No",Matriz[Impor-tancia],"&lt;=4")/COUNTIFS(Matriz[Cat],Categoría[[#This Row],[Cat]],Matriz[Res],"No"),"NA")</x:f>
        <x:v>#NAME?</x:v>
      </x:c>
      <x:c r="AK7" s="69"/>
      <x:c r="AL7" s="69"/>
      <x:c r="AM7" s="69"/>
      <x:c r="AN7" s="69"/>
      <x:c r="AO7" s="69"/>
      <x:c r="AP7" s="65"/>
      <x:c r="AQ7" s="26" t="s">
        <x:v>976</x:v>
      </x:c>
      <x:c r="AR7" t="s">
        <x:v>218</x:v>
      </x:c>
      <x:c r="AS7" t="s">
        <x:v>977</x:v>
      </x:c>
      <x:c r="AY7" s="229" t="s">
        <x:v>19</x:v>
      </x:c>
      <x:c r="AZ7" s="229" t="s">
        <x:v>978</x:v>
      </x:c>
      <x:c r="BA7" s="229" t="s">
        <x:v>10</x:v>
      </x:c>
      <x:c r="BB7" s="229" t="s">
        <x:v>979</x:v>
      </x:c>
      <x:c r="BC7" s="229" t="s">
        <x:v>894</x:v>
      </x:c>
      <x:c r="BH7" s="229" t="s">
        <x:v>980</x:v>
      </x:c>
      <x:c r="BI7" s="229" t="s">
        <x:v>981</x:v>
      </x:c>
    </x:row>
    <x:row r="8">
      <x:c r="X8" s="26" t="s">
        <x:v>976</x:v>
      </x:c>
      <x:c r="Y8" s="1" t="s">
        <x:v>394</x:v>
      </x:c>
      <x:c r="Z8" t="e">
        <x:f>IF(LEN(Categoría[[#This Row],[Cat]])=1,COUNTIF(Matriz[EDT],"?????????*"),COUNTIF(Matriz[EDT],Categoría[[#This Row],[Cat]]&amp;"*")-1)</x:f>
        <x:v>#NAME?</x:v>
      </x:c>
      <x:c r="AA8" t="e">
        <x:f>SUMIF(Matriz[EDT],Categoría[[#This Row],[Cat]]&amp;"*",Matriz[Impor-tancia])</x:f>
        <x:v>#NAME?</x:v>
      </x:c>
      <x:c r="AB8" s="66" t="e">
        <x:f>Categoría[[#This Row],[∑ importancia]]/SUM(Categoría[∑ importancia])</x:f>
        <x:v>#NAME?</x:v>
      </x:c>
      <x:c r="AC8" s="65">
        <x:v>0.08</x:v>
      </x:c>
      <x:c r="AD8" s="43">
        <x:v>8</x:v>
      </x:c>
      <x:c r="AE8" s="65" t="e">
        <x:f>ROUND(Categoría[[#This Row],[IMP]]/SUM(Categoría[IMP]),2)</x:f>
        <x:v>#NAME?</x:v>
      </x:c>
      <x:c r="AF8" s="65">
        <x:v>7.0000000000000007E-2</x:v>
      </x:c>
      <x:c r="AG8" s="65"/>
      <x:c r="AH8" s="65" t="e">
        <x:f>IFERROR(COUNTIFS(Matriz[Cat],Categoría[[#This Row],[Cat]],Matriz[Res],"No",Matriz[Impor-tancia],"&gt;=8")/COUNTIFS(Matriz[Cat],Categoría[[#This Row],[Cat]],Matriz[Res],"No"),"NA")</x:f>
        <x:v>#NAME?</x:v>
      </x:c>
      <x:c r="AI8" s="65" t="e">
        <x:f>IFERROR(COUNTIFS(Matriz[Cat],Categoría[[#This Row],[Cat]],Matriz[Res],"No",Matriz[Impor-tancia],"&gt;=5",Matriz[Impor-tancia],"&lt;=7") / COUNTIFS(Matriz[Cat],Categoría[[#This Row],[Cat]],Matriz[Res],"No"), "NA")</x:f>
        <x:v>#NAME?</x:v>
      </x:c>
      <x:c r="AJ8" s="65" t="e">
        <x:f>IFERROR(COUNTIFS(Matriz[Cat],Categoría[[#This Row],[Cat]],Matriz[Res],"No",Matriz[Impor-tancia],"&lt;=4")/COUNTIFS(Matriz[Cat],Categoría[[#This Row],[Cat]],Matriz[Res],"No"),"NA")</x:f>
        <x:v>#NAME?</x:v>
      </x:c>
      <x:c r="AK8" s="69"/>
      <x:c r="AL8" s="69"/>
      <x:c r="AM8" s="69"/>
      <x:c r="AN8" s="69"/>
      <x:c r="AO8" s="69"/>
      <x:c r="AP8" s="65"/>
      <x:c r="AQ8" s="26" t="s">
        <x:v>982</x:v>
      </x:c>
      <x:c r="AR8" t="s">
        <x:v>983</x:v>
      </x:c>
      <x:c r="AS8" t="s">
        <x:v>984</x:v>
      </x:c>
      <x:c r="AY8" t="e">
        <x:f>MonScale[[#This Row],[u]]&amp;" "&amp;MonScale[[#This Row],[Und]]</x:f>
        <x:v>#VALUE!</x:v>
      </x:c>
      <x:c r="BA8">
        <x:v>1</x:v>
      </x:c>
      <x:c r="BC8" s="25">
        <x:v>1</x:v>
      </x:c>
      <x:c r="BD8" s="228"/>
      <x:c r="BE8" s="228"/>
      <x:c r="BF8" s="228"/>
      <x:c r="BG8" s="228"/>
      <x:c r="BH8" t="s">
        <x:v>985</x:v>
      </x:c>
      <x:c r="BI8" t="s">
        <x:v>986</x:v>
      </x:c>
    </x:row>
    <x:row r="9">
      <x:c r="X9" s="26" t="s">
        <x:v>982</x:v>
      </x:c>
      <x:c r="Y9" s="1" t="s">
        <x:v>411</x:v>
      </x:c>
      <x:c r="Z9" t="e">
        <x:f>IF(LEN(Categoría[[#This Row],[Cat]])=1,COUNTIF(Matriz[EDT],"?????????*"),COUNTIF(Matriz[EDT],Categoría[[#This Row],[Cat]]&amp;"*")-1)</x:f>
        <x:v>#NAME?</x:v>
      </x:c>
      <x:c r="AA9" t="e">
        <x:f>SUMIF(Matriz[EDT],Categoría[[#This Row],[Cat]]&amp;"*",Matriz[Impor-tancia])</x:f>
        <x:v>#NAME?</x:v>
      </x:c>
      <x:c r="AB9" s="66" t="e">
        <x:f>Categoría[[#This Row],[∑ importancia]]/SUM(Categoría[∑ importancia])</x:f>
        <x:v>#NAME?</x:v>
      </x:c>
      <x:c r="AC9" s="65">
        <x:v>0.15</x:v>
      </x:c>
      <x:c r="AD9" s="43">
        <x:v>10</x:v>
      </x:c>
      <x:c r="AE9" s="65" t="e">
        <x:f>ROUND(Categoría[[#This Row],[IMP]]/SUM(Categoría[IMP]),2)</x:f>
        <x:v>#NAME?</x:v>
      </x:c>
      <x:c r="AF9" s="65">
        <x:v>0.13</x:v>
      </x:c>
      <x:c r="AG9" s="65"/>
      <x:c r="AH9" s="65" t="e">
        <x:f>IFERROR(COUNTIFS(Matriz[Cat],Categoría[[#This Row],[Cat]],Matriz[Res],"No",Matriz[Impor-tancia],"&gt;=8")/COUNTIFS(Matriz[Cat],Categoría[[#This Row],[Cat]],Matriz[Res],"No"),"NA")</x:f>
        <x:v>#NAME?</x:v>
      </x:c>
      <x:c r="AI9" s="65" t="e">
        <x:f>IFERROR(COUNTIFS(Matriz[Cat],Categoría[[#This Row],[Cat]],Matriz[Res],"No",Matriz[Impor-tancia],"&gt;=5",Matriz[Impor-tancia],"&lt;=7") / COUNTIFS(Matriz[Cat],Categoría[[#This Row],[Cat]],Matriz[Res],"No"), "NA")</x:f>
        <x:v>#NAME?</x:v>
      </x:c>
      <x:c r="AJ9" s="65" t="e">
        <x:f>IFERROR(COUNTIFS(Matriz[Cat],Categoría[[#This Row],[Cat]],Matriz[Res],"No",Matriz[Impor-tancia],"&lt;=4")/COUNTIFS(Matriz[Cat],Categoría[[#This Row],[Cat]],Matriz[Res],"No"),"NA")</x:f>
        <x:v>#NAME?</x:v>
      </x:c>
      <x:c r="AK9" s="69"/>
      <x:c r="AL9" s="69"/>
      <x:c r="AM9" s="69"/>
      <x:c r="AN9" s="69"/>
      <x:c r="AO9" s="69"/>
      <x:c r="AP9" s="65"/>
      <x:c r="AQ9" s="26" t="s">
        <x:v>987</x:v>
      </x:c>
      <x:c r="AR9" t="s">
        <x:v>316</x:v>
      </x:c>
      <x:c r="AS9" t="s">
        <x:v>988</x:v>
      </x:c>
      <x:c r="AY9" t="str">
        <x:f>MonScale[[#This Row],[u]]&amp;" "&amp;MonScale[[#This Row],[Und]]</x:f>
        <x:v>k mil</x:v>
      </x:c>
      <x:c r="AZ9" t="s">
        <x:v>989</x:v>
      </x:c>
      <x:c r="BA9" t="s">
        <x:v>990</x:v>
      </x:c>
      <x:c r="BC9" s="25">
        <x:v>1000</x:v>
      </x:c>
      <x:c r="BD9" s="228"/>
      <x:c r="BE9" s="228"/>
      <x:c r="BF9" s="228"/>
      <x:c r="BG9" s="228"/>
      <x:c r="BH9" t="s">
        <x:v>991</x:v>
      </x:c>
      <x:c r="BI9" t="s">
        <x:v>992</x:v>
      </x:c>
    </x:row>
    <x:row r="10">
      <x:c r="X10" s="26" t="s">
        <x:v>993</x:v>
      </x:c>
      <x:c r="Y10" s="1" t="s">
        <x:v>430</x:v>
      </x:c>
      <x:c r="Z10" t="e">
        <x:f>IF(LEN(Categoría[[#This Row],[Cat]])=1,COUNTIF(Matriz[EDT],"?????????*"),COUNTIF(Matriz[EDT],Categoría[[#This Row],[Cat]]&amp;"*")-1)</x:f>
        <x:v>#NAME?</x:v>
      </x:c>
      <x:c r="AA10" t="e">
        <x:f>SUMIF(Matriz[EDT],Categoría[[#This Row],[Cat]]&amp;"*",Matriz[Impor-tancia])</x:f>
        <x:v>#NAME?</x:v>
      </x:c>
      <x:c r="AB10" s="66" t="e">
        <x:f>Categoría[[#This Row],[∑ importancia]]/SUM(Categoría[∑ importancia])</x:f>
        <x:v>#NAME?</x:v>
      </x:c>
      <x:c r="AC10" s="65">
        <x:v>0.16</x:v>
      </x:c>
      <x:c r="AD10" s="43">
        <x:v>9</x:v>
      </x:c>
      <x:c r="AE10" s="83" t="e">
        <x:f>100%-SUM(AE2:AE9)</x:f>
        <x:v>#NAME?</x:v>
      </x:c>
      <x:c r="AF10" s="265">
        <x:v>0.14000000000000001</x:v>
      </x:c>
      <x:c r="AG10" s="83"/>
      <x:c r="AH10" s="65" t="e">
        <x:f>IFERROR(COUNTIFS(Matriz[Cat],Categoría[[#This Row],[Cat]],Matriz[Res],"No",Matriz[Impor-tancia],"&gt;=8")/COUNTIFS(Matriz[Cat],Categoría[[#This Row],[Cat]],Matriz[Res],"No"),"NA")</x:f>
        <x:v>#NAME?</x:v>
      </x:c>
      <x:c r="AI10" s="65" t="e">
        <x:f>IFERROR(COUNTIFS(Matriz[Cat],Categoría[[#This Row],[Cat]],Matriz[Res],"No",Matriz[Impor-tancia],"&gt;=5",Matriz[Impor-tancia],"&lt;=7") / COUNTIFS(Matriz[Cat],Categoría[[#This Row],[Cat]],Matriz[Res],"No"), "NA")</x:f>
        <x:v>#NAME?</x:v>
      </x:c>
      <x:c r="AJ10" s="65" t="e">
        <x:f>IFERROR(COUNTIFS(Matriz[Cat],Categoría[[#This Row],[Cat]],Matriz[Res],"No",Matriz[Impor-tancia],"&lt;=4")/COUNTIFS(Matriz[Cat],Categoría[[#This Row],[Cat]],Matriz[Res],"No"),"NA")</x:f>
        <x:v>#NAME?</x:v>
      </x:c>
      <x:c r="AK10" s="69"/>
      <x:c r="AL10" s="69"/>
      <x:c r="AM10" s="69"/>
      <x:c r="AN10" s="69"/>
      <x:c r="AO10" s="69"/>
      <x:c r="AP10" s="65"/>
      <x:c r="AQ10" s="26" t="s">
        <x:v>994</x:v>
      </x:c>
      <x:c r="AR10" t="s">
        <x:v>745</x:v>
      </x:c>
      <x:c r="AS10" t="s">
        <x:v>995</x:v>
      </x:c>
      <x:c r="AY10" t="str">
        <x:f>MonScale[[#This Row],[u]]&amp;" "&amp;MonScale[[#This Row],[Und]]</x:f>
        <x:v>M Millones</x:v>
      </x:c>
      <x:c r="AZ10" t="s">
        <x:v>996</x:v>
      </x:c>
      <x:c r="BA10" t="s">
        <x:v>997</x:v>
      </x:c>
      <x:c r="BC10" s="25">
        <x:v>1000000</x:v>
      </x:c>
      <x:c r="BD10" s="228"/>
      <x:c r="BE10" s="228"/>
      <x:c r="BF10" s="228"/>
      <x:c r="BG10" s="228"/>
      <x:c r="BH10" t="s">
        <x:v>592</x:v>
      </x:c>
      <x:c r="BI10" t="s">
        <x:v>998</x:v>
      </x:c>
    </x:row>
    <x:row r="11">
      <x:c r="X11" s="26" t="s">
        <x:v>999</x:v>
      </x:c>
      <x:c r="Y11" s="1" t="s">
        <x:v>1000</x:v>
      </x:c>
      <x:c r="Z11" t="e">
        <x:f>IF(LEN(Categoría[[#This Row],[Cat]])=1,COUNTIF(Matriz[EDT],"?????????*"),COUNTIF(Matriz[EDT],Categoría[[#This Row],[Cat]]&amp;"*")-1)</x:f>
        <x:v>#NAME?</x:v>
      </x:c>
      <x:c r="AA11" t="e">
        <x:f>SUMIF(Matriz[EDT],Categoría[[#This Row],[Cat]]&amp;"*",Matriz[Impor-tancia])</x:f>
        <x:v>#NAME?</x:v>
      </x:c>
      <x:c r="AB11" s="66" t="e">
        <x:f>Categoría[[#This Row],[∑ importancia]]/SUM(Categoría[∑ importancia])</x:f>
        <x:v>#NAME?</x:v>
      </x:c>
      <x:c r="AC11" s="266"/>
      <x:c r="AD11" s="65"/>
      <x:c r="AE11" s="65" t="e">
        <x:f>ROUND(Categoría[[#This Row],[IMP]]/SUM(Categoría[IMP]),2)</x:f>
        <x:v>#NAME?</x:v>
      </x:c>
      <x:c r="AF11" s="65">
        <x:v>0.05</x:v>
      </x:c>
      <x:c r="AG11" s="65"/>
      <x:c r="AH11" s="65" t="e">
        <x:f>IFERROR(COUNTIFS(Matriz[Cat],Categoría[[#This Row],[Cat]],Matriz[Res],"No",Matriz[Impor-tancia],"&gt;=8")/COUNTIFS(Matriz[Cat],Categoría[[#This Row],[Cat]],Matriz[Res],"No"),"NA")</x:f>
        <x:v>#NAME?</x:v>
      </x:c>
      <x:c r="AI11" s="65" t="e">
        <x:f>IFERROR(COUNTIFS(Matriz[Cat],Categoría[[#This Row],[Cat]],Matriz[Res],"No",Matriz[Impor-tancia],"&gt;=5",Matriz[Impor-tancia],"&lt;=7") / COUNTIFS(Matriz[Cat],Categoría[[#This Row],[Cat]],Matriz[Res],"No"), "NA")</x:f>
        <x:v>#NAME?</x:v>
      </x:c>
      <x:c r="AJ11" s="65" t="e">
        <x:f>IFERROR(COUNTIFS(Matriz[Cat],Categoría[[#This Row],[Cat]],Matriz[Res],"No",Matriz[Impor-tancia],"&lt;=4")/COUNTIFS(Matriz[Cat],Categoría[[#This Row],[Cat]],Matriz[Res],"No"),"NA")</x:f>
        <x:v>#NAME?</x:v>
      </x:c>
      <x:c r="AK11" s="267"/>
      <x:c r="AL11" s="25"/>
      <x:c r="AM11" s="25"/>
      <x:c r="AN11" s="69"/>
      <x:c r="AO11" s="25"/>
      <x:c r="AP11" s="65"/>
      <x:c r="AQ11" s="26" t="s">
        <x:v>1001</x:v>
      </x:c>
      <x:c r="AR11" t="s">
        <x:v>627</x:v>
      </x:c>
      <x:c r="AS11" t="s">
        <x:v>733</x:v>
      </x:c>
      <x:c r="AY11" t="e">
        <x:f>MonScale[[#This Row],[u]]&amp;" "&amp;MonScale[[#This Row],[Und]]</x:f>
        <x:v>#VALUE!</x:v>
      </x:c>
      <x:c r="BD11" s="228"/>
      <x:c r="BE11" s="228"/>
      <x:c r="BF11" s="228"/>
      <x:c r="BG11" s="228"/>
      <x:c r="BH11" t="s">
        <x:v>1002</x:v>
      </x:c>
      <x:c r="BI11" t="s">
        <x:v>1003</x:v>
      </x:c>
    </x:row>
    <x:row r="12">
      <x:c r="AK12" s="68"/>
      <x:c r="AL12" s="68"/>
      <x:c r="AM12" s="68"/>
      <x:c r="AN12" s="68"/>
      <x:c r="AO12" s="68"/>
      <x:c r="AQ12" s="26" t="s">
        <x:v>1004</x:v>
      </x:c>
      <x:c r="AR12" t="s">
        <x:v>659</x:v>
      </x:c>
      <x:c r="AS12" t="s">
        <x:v>1005</x:v>
      </x:c>
      <x:c r="BD12" s="228"/>
      <x:c r="BE12" s="228"/>
      <x:c r="BF12" s="228"/>
      <x:c r="BG12" s="228"/>
      <x:c r="BH12" t="s">
        <x:v>1006</x:v>
      </x:c>
      <x:c r="BI12" t="s">
        <x:v>1007</x:v>
      </x:c>
    </x:row>
    <x:row r="13">
      <x:c r="AP13" s="68"/>
      <x:c r="AQ13" s="26" t="s">
        <x:v>1008</x:v>
      </x:c>
      <x:c r="AR13" t="s">
        <x:v>367</x:v>
      </x:c>
      <x:c r="AS13" t="s">
        <x:v>1009</x:v>
      </x:c>
    </x:row>
    <x:row r="14">
      <x:c r="Y14" t="s">
        <x:v>1010</x:v>
      </x:c>
      <x:c r="Z14" t="e">
        <x:f>SUM(Z3:Z10)</x:f>
        <x:v>#NAME?</x:v>
      </x:c>
      <x:c r="AC14" s="68" t="e">
        <x:f>SUM(Categoría[% de la categoría])</x:f>
        <x:v>#NAME?</x:v>
      </x:c>
      <x:c r="AD14" s="68"/>
      <x:c r="AE14" s="88" t="e">
        <x:f>SUM(Categoría[% IMP])</x:f>
        <x:v>#NAME?</x:v>
      </x:c>
      <x:c r="AF14" s="88"/>
      <x:c r="AG14" s="88"/>
      <x:c r="AH14" s="89" t="e">
        <x:f>COUNTIFS(Matriz[EDT],"?????????*",Matriz[Res],"No",Matriz[Impor-tancia],"&gt;=8")/COUNTIFS(Matriz[EDT],"?????????*",Matriz[Res],"No")</x:f>
        <x:v>#DIV/0!</x:v>
      </x:c>
      <x:c r="AI14" s="89" t="e">
        <x:f>COUNTIFS(Matriz[EDT],"?????????*",Matriz[Res],"No",Matriz[Impor-tancia],"&gt;=7",Matriz[Impor-tancia],"&lt;=8")/COUNTIFS(Matriz[EDT],"?????????*",Matriz[Res],"No")</x:f>
        <x:v>#DIV/0!</x:v>
      </x:c>
      <x:c r="AJ14" s="89" t="e">
        <x:f>COUNTIFS(Matriz[EDT],"?????????*",Matriz[Res],"No",Matriz[Impor-tancia],"&lt;=6")/COUNTIFS(Matriz[EDT],"?????????*",Matriz[Res],"No")</x:f>
        <x:v>#DIV/0!</x:v>
      </x:c>
      <x:c r="AP14" s="68"/>
      <x:c r="AQ14" s="26" t="s">
        <x:v>1011</x:v>
      </x:c>
      <x:c r="AR14" t="s">
        <x:v>694</x:v>
      </x:c>
      <x:c r="AS14" t="s">
        <x:v>1012</x:v>
      </x:c>
    </x:row>
    <x:row r="15">
      <x:c r="AP15" s="68"/>
      <x:c r="AQ15" s="26" t="s">
        <x:v>1013</x:v>
      </x:c>
      <x:c r="AR15" t="s">
        <x:v>1014</x:v>
      </x:c>
      <x:c r="AS15" t="s">
        <x:v>768</x:v>
      </x:c>
    </x:row>
    <x:row r="16" ht="12">
      <x:c r="AP16" s="68"/>
      <x:c r="AQ16" s="26" t="s">
        <x:v>1015</x:v>
      </x:c>
      <x:c r="AR16" t="s">
        <x:v>370</x:v>
      </x:c>
      <x:c r="AS16" t="s">
        <x:v>1016</x:v>
      </x:c>
      <x:c r="BH16" s="233" t="s">
        <x:v>1017</x:v>
      </x:c>
      <x:c r="BI16" s="234" t="s">
        <x:v>1018</x:v>
      </x:c>
    </x:row>
    <x:row r="17" ht="12.75">
      <x:c r="AP17" s="68"/>
      <x:c r="AQ17" s="26" t="s">
        <x:v>1019</x:v>
      </x:c>
      <x:c r="AR17" t="s">
        <x:v>395</x:v>
      </x:c>
      <x:c r="AS17" t="s">
        <x:v>1020</x:v>
      </x:c>
      <x:c r="BH17" t="s">
        <x:v>1021</x:v>
      </x:c>
      <x:c r="BI17" t="s">
        <x:v>1022</x:v>
      </x:c>
    </x:row>
    <x:row r="18" ht="12">
      <x:c r="Y18" s="14" t="s">
        <x:v>1023</x:v>
      </x:c>
      <x:c r="Z18" s="268">
        <x:v>0.12</x:v>
      </x:c>
      <x:c r="AP18" s="68"/>
      <x:c r="AQ18" s="26" t="s">
        <x:v>1024</x:v>
      </x:c>
      <x:c r="AR18" t="s">
        <x:v>123</x:v>
      </x:c>
      <x:c r="BH18" t="s">
        <x:v>595</x:v>
      </x:c>
      <x:c r="BI18" t="s">
        <x:v>1025</x:v>
      </x:c>
    </x:row>
    <x:row r="19" ht="12">
      <x:c r="Y19" s="14" t="s">
        <x:v>1026</x:v>
      </x:c>
      <x:c r="Z19" s="268">
        <x:v>0.16</x:v>
      </x:c>
      <x:c r="AP19" s="68"/>
      <x:c r="AQ19" s="26" t="s">
        <x:v>1027</x:v>
      </x:c>
      <x:c r="AR19" t="s">
        <x:v>136</x:v>
      </x:c>
      <x:c r="BH19" t="s">
        <x:v>1028</x:v>
      </x:c>
      <x:c r="BI19" t="s">
        <x:v>1029</x:v>
      </x:c>
    </x:row>
    <x:row r="20" ht="12">
      <x:c r="Y20" s="14" t="s">
        <x:v>1030</x:v>
      </x:c>
      <x:c r="Z20" s="268">
        <x:v>0.08</x:v>
      </x:c>
      <x:c r="AP20" s="68"/>
      <x:c r="AQ20" s="26" t="s">
        <x:v>1031</x:v>
      </x:c>
      <x:c r="AR20" t="s">
        <x:v>152</x:v>
      </x:c>
      <x:c r="AS20" t="s">
        <x:v>1032</x:v>
      </x:c>
      <x:c r="BH20" t="s">
        <x:v>1033</x:v>
      </x:c>
      <x:c r="BI20" t="s">
        <x:v>1034</x:v>
      </x:c>
    </x:row>
    <x:row r="21" ht="12">
      <x:c r="Y21" s="14" t="s">
        <x:v>1035</x:v>
      </x:c>
      <x:c r="Z21" s="268">
        <x:v>0.18</x:v>
      </x:c>
      <x:c r="AP21" s="68"/>
      <x:c r="AQ21" s="26" t="s">
        <x:v>1036</x:v>
      </x:c>
      <x:c r="AR21" t="s">
        <x:v>180</x:v>
      </x:c>
      <x:c r="AT21" t="s">
        <x:v>1037</x:v>
      </x:c>
      <x:c r="BH21" t="s">
        <x:v>1038</x:v>
      </x:c>
      <x:c r="BI21" t="s">
        <x:v>1039</x:v>
      </x:c>
    </x:row>
    <x:row r="22" ht="12">
      <x:c r="Y22" s="14" t="s">
        <x:v>1040</x:v>
      </x:c>
      <x:c r="Z22" s="268">
        <x:v>0.1</x:v>
      </x:c>
      <x:c r="AP22" s="68"/>
      <x:c r="AQ22" s="26" t="s">
        <x:v>1041</x:v>
      </x:c>
      <x:c r="AR22" t="s">
        <x:v>195</x:v>
      </x:c>
      <x:c r="AT22" t="s">
        <x:v>1042</x:v>
      </x:c>
    </x:row>
    <x:row r="23" ht="12">
      <x:c r="Y23" s="14" t="s">
        <x:v>1043</x:v>
      </x:c>
      <x:c r="Z23" s="268">
        <x:v>0.08</x:v>
      </x:c>
      <x:c r="AP23" s="68"/>
      <x:c r="AQ23" s="26" t="s">
        <x:v>1044</x:v>
      </x:c>
      <x:c r="AR23" t="s">
        <x:v>1045</x:v>
      </x:c>
      <x:c r="AS23" t="s">
        <x:v>1046</x:v>
      </x:c>
    </x:row>
    <x:row r="24" ht="12">
      <x:c r="Y24" s="14" t="s">
        <x:v>1047</x:v>
      </x:c>
      <x:c r="Z24" s="268">
        <x:v>0.13</x:v>
      </x:c>
      <x:c r="AP24" s="68"/>
      <x:c r="AQ24" s="26" t="s">
        <x:v>1048</x:v>
      </x:c>
      <x:c r="AR24" t="s">
        <x:v>34</x:v>
      </x:c>
    </x:row>
    <x:row r="25" ht="12">
      <x:c r="Y25" s="14" t="s">
        <x:v>1049</x:v>
      </x:c>
      <x:c r="Z25" s="268">
        <x:v>0.1</x:v>
      </x:c>
      <x:c r="AP25" s="68"/>
      <x:c r="AQ25" s="26" t="s">
        <x:v>1050</x:v>
      </x:c>
      <x:c r="AR25" t="s">
        <x:v>1051</x:v>
      </x:c>
    </x:row>
    <x:row r="26" ht="12">
      <x:c r="Y26" s="14" t="s">
        <x:v>1000</x:v>
      </x:c>
      <x:c r="Z26" s="268">
        <x:v>0.05</x:v>
      </x:c>
      <x:c r="AP26" s="68"/>
      <x:c r="AQ26" s="26" t="s">
        <x:v>1052</x:v>
      </x:c>
      <x:c r="AR26" t="s">
        <x:v>79</x:v>
      </x:c>
    </x:row>
    <x:row r="27">
      <x:c r="AP27" s="68"/>
      <x:c r="AQ27" s="26" t="s">
        <x:v>1053</x:v>
      </x:c>
      <x:c r="AR27" t="s">
        <x:v>99</x:v>
      </x:c>
    </x:row>
    <x:row r="28">
      <x:c r="AP28" s="68"/>
      <x:c r="AQ28" s="26" t="s">
        <x:v>1054</x:v>
      </x:c>
      <x:c r="AR28" t="s">
        <x:v>115</x:v>
      </x:c>
    </x:row>
    <x:row r="29">
      <x:c r="AP29" s="68"/>
      <x:c r="AQ29" s="26" t="s">
        <x:v>1055</x:v>
      </x:c>
      <x:c r="AR29" t="s">
        <x:v>621</x:v>
      </x:c>
    </x:row>
    <x:row r="30">
      <x:c r="AP30" s="68"/>
      <x:c r="AQ30" s="26" t="s">
        <x:v>993</x:v>
      </x:c>
      <x:c r="AR30" t="s">
        <x:v>430</x:v>
      </x:c>
      <x:c r="AS30" t="s">
        <x:v>1056</x:v>
      </x:c>
    </x:row>
    <x:row r="31">
      <x:c r="AP31" s="68"/>
      <x:c r="AQ31" s="26" t="s">
        <x:v>999</x:v>
      </x:c>
      <x:c r="AR31" t="s">
        <x:v>1057</x:v>
      </x:c>
      <x:c r="AS31" t="s">
        <x:v>1058</x:v>
      </x:c>
    </x:row>
    <x:row r="32">
      <x:c r="AP32" s="68"/>
      <x:c r="AQ32" s="26" t="s">
        <x:v>1059</x:v>
      </x:c>
      <x:c r="AR32" t="s">
        <x:v>1060</x:v>
      </x:c>
      <x:c r="AS32" t="s">
        <x:v>1061</x:v>
      </x:c>
    </x:row>
    <x:row r="33">
      <x:c r="AP33" s="68"/>
    </x:row>
    <x:row r="34">
      <x:c r="AH34" s="86" t="s">
        <x:v>1062</x:v>
      </x:c>
      <x:c r="AI34" s="86"/>
      <x:c r="AJ34" s="86" t="s">
        <x:v>1063</x:v>
      </x:c>
    </x:row>
    <x:row r="35">
      <x:c r="F35" s="84" t="s">
        <x:v>1064</x:v>
      </x:c>
      <x:c r="G35" t="s">
        <x:v>1065</x:v>
      </x:c>
      <x:c r="AH35" s="55" t="s">
        <x:v>1066</x:v>
      </x:c>
      <x:c r="AI35" s="55"/>
      <x:c r="AJ35" s="55" t="s">
        <x:v>1065</x:v>
      </x:c>
    </x:row>
    <x:row r="36">
      <x:c r="F36" t="s">
        <x:v>1067</x:v>
      </x:c>
      <x:c r="G36" t="s">
        <x:v>1068</x:v>
      </x:c>
      <x:c r="AH36" s="55" t="s">
        <x:v>1067</x:v>
      </x:c>
      <x:c r="AI36" s="55"/>
      <x:c r="AJ36" s="55" t="s">
        <x:v>1068</x:v>
      </x:c>
      <x:c r="BH36" t="s">
        <x:v>1069</x:v>
      </x:c>
    </x:row>
    <x:row r="37">
      <x:c r="BH37" t="s">
        <x:v>1070</x:v>
      </x:c>
    </x:row>
    <x:row r="38">
      <x:c r="AR38" t="s">
        <x:v>1071</x:v>
      </x:c>
      <x:c r="BH38" t="s">
        <x:v>1072</x:v>
      </x:c>
    </x:row>
    <x:row r="39">
      <x:c r="AD39" s="18" t="s">
        <x:v>880</x:v>
      </x:c>
      <x:c r="AE39" s="18" t="s">
        <x:v>1073</x:v>
      </x:c>
      <x:c r="AF39" s="18"/>
      <x:c r="AG39" s="18"/>
      <x:c r="AH39" s="18" t="s">
        <x:v>1074</x:v>
      </x:c>
      <x:c r="AI39" s="18" t="s">
        <x:v>134</x:v>
      </x:c>
      <x:c r="AJ39" s="18" t="s">
        <x:v>1075</x:v>
      </x:c>
      <x:c r="AK39" s="163" t="s">
        <x:v>1076</x:v>
      </x:c>
      <x:c r="AR39" t="s">
        <x:v>1077</x:v>
      </x:c>
      <x:c r="AS39" t="s">
        <x:v>252</x:v>
      </x:c>
      <x:c r="BH39" t="s">
        <x:v>1078</x:v>
      </x:c>
    </x:row>
    <x:row r="40">
      <x:c r="Y40" s="24"/>
      <x:c r="Z40" s="24"/>
      <x:c r="AA40" s="24"/>
      <x:c r="AB40" s="24"/>
      <x:c r="AC40" s="24"/>
      <x:c r="AD40" s="24">
        <x:v>10</x:v>
      </x:c>
      <x:c r="AE40" t="n">
        <x:f>COUNTIFS(Matriz[Res],"No",Matriz[Impor-tancia],AD40)</x:f>
        <x:v>0</x:v>
      </x:c>
      <x:c r="AH40" s="313" t="n">
        <x:f>SUM(AE40:AE42)</x:f>
        <x:v>0</x:v>
      </x:c>
      <x:c r="AI40" s="314" t="e">
        <x:f>AH40/AE$52</x:f>
        <x:v>#DIV/0!</x:v>
      </x:c>
      <x:c r="AJ40" t="n">
        <x:f>SUM(AE$39:AE40)</x:f>
        <x:v>0</x:v>
      </x:c>
      <x:c r="AK40" s="164" t="e">
        <x:f>AJ40/AE$52</x:f>
        <x:v>#DIV/0!</x:v>
      </x:c>
      <x:c r="AL40" s="24"/>
      <x:c r="AM40" s="24"/>
      <x:c r="AN40" s="24"/>
      <x:c r="AO40" s="24"/>
      <x:c r="AR40" t="s">
        <x:v>1079</x:v>
      </x:c>
      <x:c r="AS40" t="s">
        <x:v>283</x:v>
      </x:c>
      <x:c r="BH40" t="s">
        <x:v>1080</x:v>
      </x:c>
    </x:row>
    <x:row r="41">
      <x:c r="Y41" s="24"/>
      <x:c r="Z41" s="24"/>
      <x:c r="AA41" s="24"/>
      <x:c r="AB41" s="24"/>
      <x:c r="AC41" s="24"/>
      <x:c r="AD41" s="24">
        <x:v>9</x:v>
      </x:c>
      <x:c r="AE41" t="n">
        <x:f>COUNTIFS(Matriz[Res],"No",Matriz[Impor-tancia],AD41)</x:f>
        <x:v>0</x:v>
      </x:c>
      <x:c r="AH41" s="313"/>
      <x:c r="AI41" s="314"/>
      <x:c r="AJ41" t="n">
        <x:f>SUM(AE$39:AE41)</x:f>
        <x:v>0</x:v>
      </x:c>
      <x:c r="AK41" s="164" t="e">
        <x:f t="shared" ref="AK41:AK50" si="0">AJ41/AE$52</x:f>
        <x:v>#DIV/0!</x:v>
      </x:c>
      <x:c r="AL41" s="24"/>
      <x:c r="AM41" s="24"/>
      <x:c r="AN41" s="24"/>
      <x:c r="AO41" s="24"/>
      <x:c r="AP41" s="24"/>
      <x:c r="AR41" t="s">
        <x:v>1081</x:v>
      </x:c>
      <x:c r="AS41" t="s">
        <x:v>380</x:v>
      </x:c>
      <x:c r="BH41" t="s">
        <x:v>1082</x:v>
      </x:c>
    </x:row>
    <x:row r="42">
      <x:c r="Y42" s="24"/>
      <x:c r="Z42" s="24"/>
      <x:c r="AA42" s="24"/>
      <x:c r="AB42" s="24"/>
      <x:c r="AC42" s="24"/>
      <x:c r="AD42" s="24">
        <x:v>8</x:v>
      </x:c>
      <x:c r="AE42" t="n">
        <x:f>COUNTIFS(Matriz[Res],"No",Matriz[Impor-tancia],AD42)</x:f>
        <x:v>0</x:v>
      </x:c>
      <x:c r="AH42" s="313"/>
      <x:c r="AI42" s="314"/>
      <x:c r="AJ42" t="n">
        <x:f>SUM(AE$39:AE42)</x:f>
        <x:v>0</x:v>
      </x:c>
      <x:c r="AK42" s="164">
        <x:f t="shared" si="0"/>
        <x:v>0.49027237354085601</x:v>
      </x:c>
      <x:c r="AL42" s="24"/>
      <x:c r="AM42" s="24"/>
      <x:c r="AN42" s="24"/>
      <x:c r="AO42" s="24"/>
      <x:c r="AP42" s="24"/>
      <x:c r="AR42" t="s">
        <x:v>627</x:v>
      </x:c>
      <x:c r="AS42" t="s">
        <x:v>627</x:v>
      </x:c>
      <x:c r="BH42" t="s">
        <x:v>1083</x:v>
      </x:c>
    </x:row>
    <x:row r="43">
      <x:c r="Y43" s="24"/>
      <x:c r="Z43" s="24"/>
      <x:c r="AA43" s="24"/>
      <x:c r="AB43" s="24"/>
      <x:c r="AC43" s="24"/>
      <x:c r="AD43" s="24">
        <x:v>7</x:v>
      </x:c>
      <x:c r="AE43" t="n">
        <x:f>COUNTIFS(Matriz[Res],"No",Matriz[Impor-tancia],AD43)</x:f>
        <x:v>0</x:v>
      </x:c>
      <x:c r="AH43" s="313" t="n">
        <x:f>SUM(AE43:AE45)</x:f>
        <x:v>0</x:v>
      </x:c>
      <x:c r="AI43" s="314" t="e">
        <x:f>AH43/AE$52</x:f>
        <x:v>#DIV/0!</x:v>
      </x:c>
      <x:c r="AJ43" t="n">
        <x:f>SUM(AE$39:AE43)</x:f>
        <x:v>0</x:v>
      </x:c>
      <x:c r="AK43" s="164">
        <x:f t="shared" si="0"/>
        <x:v>0.85214007782101164</x:v>
      </x:c>
      <x:c r="AL43" s="24"/>
      <x:c r="AM43" s="24"/>
      <x:c r="AN43" s="24"/>
      <x:c r="AO43" s="24"/>
      <x:c r="AP43" s="24"/>
      <x:c r="AR43" t="s">
        <x:v>1084</x:v>
      </x:c>
      <x:c r="AS43" t="s">
        <x:v>283</x:v>
      </x:c>
      <x:c r="BH43" t="s">
        <x:v>1085</x:v>
      </x:c>
    </x:row>
    <x:row r="44">
      <x:c r="Y44" s="24"/>
      <x:c r="Z44" s="24"/>
      <x:c r="AA44" s="24"/>
      <x:c r="AB44" s="24"/>
      <x:c r="AC44" s="24"/>
      <x:c r="AD44" s="24">
        <x:v>6</x:v>
      </x:c>
      <x:c r="AE44" t="n">
        <x:f>COUNTIFS(Matriz[Res],"No",Matriz[Impor-tancia],AD44)</x:f>
        <x:v>0</x:v>
      </x:c>
      <x:c r="AH44" s="313"/>
      <x:c r="AI44" s="314"/>
      <x:c r="AJ44" t="n">
        <x:f>SUM(AE$39:AE44)</x:f>
        <x:v>0</x:v>
      </x:c>
      <x:c r="AK44" s="164">
        <x:f t="shared" si="0"/>
        <x:v>0.953307392996109</x:v>
      </x:c>
      <x:c r="AL44" s="24"/>
      <x:c r="AM44" s="24"/>
      <x:c r="AN44" s="24"/>
      <x:c r="AO44" s="24"/>
      <x:c r="AP44" s="24"/>
      <x:c r="AR44" t="s">
        <x:v>1086</x:v>
      </x:c>
      <x:c r="AS44" t="s">
        <x:v>218</x:v>
      </x:c>
    </x:row>
    <x:row r="45">
      <x:c r="Y45" s="24"/>
      <x:c r="Z45" s="24"/>
      <x:c r="AA45" s="24"/>
      <x:c r="AB45" s="24"/>
      <x:c r="AC45" s="24"/>
      <x:c r="AD45" s="24">
        <x:v>5</x:v>
      </x:c>
      <x:c r="AE45" t="n">
        <x:f>COUNTIFS(Matriz[Res],"No",Matriz[Impor-tancia],AD45)</x:f>
        <x:v>0</x:v>
      </x:c>
      <x:c r="AH45" s="313"/>
      <x:c r="AI45" s="314"/>
      <x:c r="AJ45" t="n">
        <x:f>SUM(AE$39:AE45)</x:f>
        <x:v>0</x:v>
      </x:c>
      <x:c r="AK45" s="164">
        <x:f t="shared" si="0"/>
        <x:v>0.99221789883268485</x:v>
      </x:c>
      <x:c r="AL45" s="24"/>
      <x:c r="AM45" s="24"/>
      <x:c r="AN45" s="24"/>
      <x:c r="AO45" s="24"/>
      <x:c r="AP45" s="24"/>
      <x:c r="AR45" t="s">
        <x:v>1087</x:v>
      </x:c>
      <x:c r="AS45" t="s">
        <x:v>152</x:v>
      </x:c>
    </x:row>
    <x:row r="46">
      <x:c r="Y46" s="24"/>
      <x:c r="Z46" s="24"/>
      <x:c r="AA46" s="24"/>
      <x:c r="AB46" s="24"/>
      <x:c r="AC46" s="24"/>
      <x:c r="AD46" s="24">
        <x:v>4</x:v>
      </x:c>
      <x:c r="AE46" t="n">
        <x:f>COUNTIFS(Matriz[Res],"No",Matriz[Impor-tancia],AD46)</x:f>
        <x:v>0</x:v>
      </x:c>
      <x:c r="AH46" s="313" t="n">
        <x:f>SUM(AE46:AE50)</x:f>
        <x:v>0</x:v>
      </x:c>
      <x:c r="AI46" s="314" t="e">
        <x:f>AH46/AE$52</x:f>
        <x:v>#DIV/0!</x:v>
      </x:c>
      <x:c r="AJ46" t="n">
        <x:f>SUM(AE$39:AE46)</x:f>
        <x:v>0</x:v>
      </x:c>
      <x:c r="AK46" s="164">
        <x:f t="shared" si="0"/>
        <x:v>1</x:v>
      </x:c>
      <x:c r="AL46" s="24"/>
      <x:c r="AM46" s="24"/>
      <x:c r="AN46" s="24"/>
      <x:c r="AO46" s="24"/>
      <x:c r="AP46" s="24"/>
      <x:c r="AR46" t="s">
        <x:v>1088</x:v>
      </x:c>
      <x:c r="AS46" t="s">
        <x:v>300</x:v>
      </x:c>
    </x:row>
    <x:row r="47">
      <x:c r="Y47" s="24"/>
      <x:c r="Z47" s="24"/>
      <x:c r="AA47" s="24"/>
      <x:c r="AB47" s="24"/>
      <x:c r="AC47" s="24"/>
      <x:c r="AD47" s="24">
        <x:v>3</x:v>
      </x:c>
      <x:c r="AE47" t="n">
        <x:f>COUNTIFS(Matriz[Res],"No",Matriz[Impor-tancia],AD47)</x:f>
        <x:v>0</x:v>
      </x:c>
      <x:c r="AH47" s="313"/>
      <x:c r="AI47" s="314"/>
      <x:c r="AJ47" t="n">
        <x:f>SUM(AE$39:AE47)</x:f>
        <x:v>0</x:v>
      </x:c>
      <x:c r="AK47" s="164">
        <x:f t="shared" si="0"/>
        <x:v>1</x:v>
      </x:c>
      <x:c r="AL47" s="24"/>
      <x:c r="AM47" s="24"/>
      <x:c r="AN47" s="24"/>
      <x:c r="AO47" s="24"/>
      <x:c r="AP47" s="24"/>
      <x:c r="AR47" t="s">
        <x:v>621</x:v>
      </x:c>
      <x:c r="AS47" t="s">
        <x:v>621</x:v>
      </x:c>
    </x:row>
    <x:row r="48">
      <x:c r="Y48" s="24"/>
      <x:c r="Z48" s="24"/>
      <x:c r="AA48" s="24"/>
      <x:c r="AB48" s="24"/>
      <x:c r="AC48" s="24"/>
      <x:c r="AD48" s="24">
        <x:v>2</x:v>
      </x:c>
      <x:c r="AE48" t="n">
        <x:f>COUNTIFS(Matriz[Res],"No",Matriz[Impor-tancia],AD48)</x:f>
        <x:v>0</x:v>
      </x:c>
      <x:c r="AH48" s="313"/>
      <x:c r="AI48" s="314"/>
      <x:c r="AJ48" t="n">
        <x:f>SUM(AE$39:AE48)</x:f>
        <x:v>0</x:v>
      </x:c>
      <x:c r="AK48" s="164">
        <x:f t="shared" si="0"/>
        <x:v>1</x:v>
      </x:c>
      <x:c r="AL48" s="24"/>
      <x:c r="AM48" s="24"/>
      <x:c r="AN48" s="24"/>
      <x:c r="AO48" s="24"/>
      <x:c r="AP48" s="24"/>
    </x:row>
    <x:row r="49">
      <x:c r="Y49" s="24"/>
      <x:c r="Z49" s="24"/>
      <x:c r="AA49" s="24"/>
      <x:c r="AB49" s="24"/>
      <x:c r="AC49" s="24"/>
      <x:c r="AD49" s="24">
        <x:v>1</x:v>
      </x:c>
      <x:c r="AE49" t="n">
        <x:f>COUNTIFS(Matriz[Res],"No",Matriz[Impor-tancia],AD49)</x:f>
        <x:v>0</x:v>
      </x:c>
      <x:c r="AH49" s="313"/>
      <x:c r="AI49" s="314"/>
      <x:c r="AJ49" t="n">
        <x:f>SUM(AE$39:AE49)</x:f>
        <x:v>0</x:v>
      </x:c>
      <x:c r="AK49" s="164">
        <x:f t="shared" si="0"/>
        <x:v>1</x:v>
      </x:c>
      <x:c r="AL49" s="24"/>
      <x:c r="AM49" s="24"/>
      <x:c r="AN49" s="24"/>
      <x:c r="AO49" s="24"/>
      <x:c r="AP49" s="24"/>
    </x:row>
    <x:row r="50">
      <x:c r="Y50" s="24"/>
      <x:c r="Z50" s="24"/>
      <x:c r="AA50" s="24"/>
      <x:c r="AB50" s="24"/>
      <x:c r="AC50" s="24"/>
      <x:c r="AD50" s="24">
        <x:v>0</x:v>
      </x:c>
      <x:c r="AE50" t="n">
        <x:f>COUNTIFS(Matriz[Res],"No",Matriz[Impor-tancia],AD50)</x:f>
        <x:v>0</x:v>
      </x:c>
      <x:c r="AH50" s="313"/>
      <x:c r="AI50" s="314"/>
      <x:c r="AJ50" t="n">
        <x:f>SUM(AE$39:AE50)</x:f>
        <x:v>0</x:v>
      </x:c>
      <x:c r="AK50" s="164">
        <x:f t="shared" si="0"/>
        <x:v>1</x:v>
      </x:c>
      <x:c r="AL50" s="24"/>
      <x:c r="AM50" s="24"/>
      <x:c r="AN50" s="24"/>
      <x:c r="AO50" s="24"/>
      <x:c r="AP50" s="24"/>
    </x:row>
    <x:row r="51">
      <x:c r="Y51" s="24"/>
      <x:c r="Z51" s="24"/>
      <x:c r="AA51" s="24"/>
      <x:c r="AB51" s="24"/>
      <x:c r="AC51" s="24"/>
      <x:c r="AD51" s="24"/>
      <x:c r="AE51" s="24"/>
      <x:c r="AF51" s="24"/>
      <x:c r="AG51" s="24"/>
      <x:c r="AH51" s="24"/>
      <x:c r="AI51" s="24"/>
      <x:c r="AJ51" s="24"/>
      <x:c r="AK51" s="24"/>
      <x:c r="AL51" s="24"/>
      <x:c r="AM51" s="24"/>
      <x:c r="AN51" s="24"/>
      <x:c r="AO51" s="24"/>
      <x:c r="AP51" s="24"/>
    </x:row>
    <x:row r="52">
      <x:c r="AE52" s="162" t="n">
        <x:f>SUM(AE40:AE51)</x:f>
        <x:v>0</x:v>
      </x:c>
      <x:c r="AF52" s="162"/>
      <x:c r="AG52" s="162"/>
      <x:c r="AH52" s="162" t="n">
        <x:f>SUM(AH40:AH51)</x:f>
        <x:v>0</x:v>
      </x:c>
      <x:c r="AI52" s="66" t="e">
        <x:f>AH52/AE$52</x:f>
        <x:v>#DIV/0!</x:v>
      </x:c>
      <x:c r="AP52" s="24"/>
    </x:row>
  </x:sheetData>
  <x:mergeCells>
    <x:mergeCell ref="S3:S5"/>
    <x:mergeCell ref="AH40:AH42"/>
    <x:mergeCell ref="AH43:AH45"/>
    <x:mergeCell ref="AH46:AH50"/>
    <x:mergeCell ref="AI40:AI42"/>
    <x:mergeCell ref="AI43:AI45"/>
    <x:mergeCell ref="AI46:AI50"/>
  </x:mergeCells>
  <x:conditionalFormatting sqref="M2:M6">
    <x:cfRule type="iconSet" priority="1">
      <x:iconSet iconSet="4Rating">
        <x:cfvo type="percent" val="0"/>
        <x:cfvo type="percent" val="25"/>
        <x:cfvo type="percent" val="50"/>
        <x:cfvo type="percent" val="75"/>
      </x:iconSet>
    </x:cfRule>
  </x:conditionalFormatting>
  <x:conditionalFormatting sqref="Z2:Z11">
    <x:cfRule type="dataBar" priority="3">
      <x:dataBar minLength="0" maxLength="100">
        <x:cfvo type="min"/>
        <x:cfvo type="max"/>
        <x:color rgb="FF008AEF"/>
      </x:dataBar>
      <x:extLst>
        <x:ext xmlns:x14="http://schemas.microsoft.com/office/spreadsheetml/2009/9/main" uri="{B025F937-C7B1-47D3-B67F-A62EFF666E3E}">
          <x14:id>{9095D69D-2F69-4942-B760-2C95D660D716}</x14:id>
        </x:ext>
      </x:extLst>
    </x:cfRule>
  </x:conditionalFormatting>
  <x:conditionalFormatting sqref="AD2:AD11">
    <x:cfRule type="dataBar" priority="2">
      <x:dataBar minLength="0" maxLength="100">
        <x:cfvo type="min"/>
        <x:cfvo type="max"/>
        <x:color rgb="FF008AEF"/>
      </x:dataBar>
      <x:extLst>
        <x:ext xmlns:x14="http://schemas.microsoft.com/office/spreadsheetml/2009/9/main" uri="{B025F937-C7B1-47D3-B67F-A62EFF666E3E}">
          <x14:id>{9523E385-A90B-404F-AF05-D366BD12C741}</x14:id>
        </x:ext>
      </x:extLst>
    </x:cfRule>
  </x:conditionalFormatting>
  <x:dataValidations count="1">
    <x:dataValidation type="list" allowBlank="1" showInputMessage="1" showErrorMessage="1" sqref="AS39:AS47">
      <x:formula1>$AR$2:$AR$32</x:formula1>
    </x:dataValidation>
  </x:dataValidations>
  <x:pageMargins left="0.7" right="0.7" top="0.75" bottom="0.75" header="0.3" footer="0.3"/>
  <x:drawing xmlns:r="http://schemas.openxmlformats.org/officeDocument/2006/relationships" r:id="R4fde7dc1c57f4590"/>
  <x:legacyDrawing xmlns:r="http://schemas.openxmlformats.org/officeDocument/2006/relationships" r:id="R58c5cb0b59a1442d"/>
  <x:tableParts count="12">
    <x:tablePart xmlns:r="http://schemas.openxmlformats.org/officeDocument/2006/relationships" r:id="R08da9a18445f4fa0"/>
    <x:tablePart xmlns:r="http://schemas.openxmlformats.org/officeDocument/2006/relationships" r:id="R3b81bc28ccbe40bc"/>
    <x:tablePart xmlns:r="http://schemas.openxmlformats.org/officeDocument/2006/relationships" r:id="Rf76bedcf5e924237"/>
    <x:tablePart xmlns:r="http://schemas.openxmlformats.org/officeDocument/2006/relationships" r:id="R1437636087834190"/>
    <x:tablePart xmlns:r="http://schemas.openxmlformats.org/officeDocument/2006/relationships" r:id="R63c52ab31e5a417a"/>
    <x:tablePart xmlns:r="http://schemas.openxmlformats.org/officeDocument/2006/relationships" r:id="R6ee9e704b8ed4227"/>
    <x:tablePart xmlns:r="http://schemas.openxmlformats.org/officeDocument/2006/relationships" r:id="Rf40667c5d3844378"/>
    <x:tablePart xmlns:r="http://schemas.openxmlformats.org/officeDocument/2006/relationships" r:id="R5c44051961eb492a"/>
    <x:tablePart xmlns:r="http://schemas.openxmlformats.org/officeDocument/2006/relationships" r:id="Rd4f1f2b3b0f7416a"/>
    <x:tablePart xmlns:r="http://schemas.openxmlformats.org/officeDocument/2006/relationships" r:id="Ra95214363fb444f7"/>
    <x:tablePart xmlns:r="http://schemas.openxmlformats.org/officeDocument/2006/relationships" r:id="R52762dfa55314449"/>
    <x:tablePart xmlns:r="http://schemas.openxmlformats.org/officeDocument/2006/relationships" r:id="Rb2971be2e5284b95"/>
  </x:tableParts>
  <x:extLst>
    <x:ext xmlns:x14="http://schemas.microsoft.com/office/spreadsheetml/2009/9/main" xmlns:xm="http://schemas.microsoft.com/office/excel/2006/main" uri="{78C0D931-6437-407d-A8EE-F0AAD7539E65}">
      <x14:conditionalFormattings>
        <x14:conditionalFormatting>
          <x14:cfRule type="dataBar" priority="3" id="{9095D69D-2F69-4942-B760-2C95D660D716}">
            <x14:dataBar minLength="0" maxLength="100" border="1" negativeBarBorderColorSameAsPositive="0">
              <x14:cfvo type="autoMin"/>
              <x14:cfvo type="autoMax"/>
              <x14:fillColor rgb="FF008AEF"/>
              <x14:borderColor rgb="FF008AEF"/>
              <x14:negativeFillColor rgb="FFFF0000"/>
              <x14:negativeBorderColor rgb="FFFF0000"/>
              <x14:axisColor rgb="FF000000"/>
            </x14:dataBar>
          </x14:cfRule>
          <xm:sqref>Z2:Z11</xm:sqref>
        </x14:conditionalFormatting>
        <x14:conditionalFormatting>
          <x14:cfRule type="dataBar" priority="2" id="{9523E385-A90B-404F-AF05-D366BD12C741}">
            <x14:dataBar minLength="0" maxLength="100" border="1" negativeBarBorderColorSameAsPositive="0">
              <x14:cfvo type="autoMin"/>
              <x14:cfvo type="autoMax"/>
              <x14:fillColor rgb="FF008AEF"/>
              <x14:borderColor rgb="FF008AEF"/>
              <x14:negativeFillColor rgb="FFFF0000"/>
              <x14:negativeBorderColor rgb="FFFF0000"/>
              <x14:axisColor rgb="FF000000"/>
            </x14:dataBar>
          </x14:cfRule>
          <xm:sqref>AD2:AD11</xm:sqref>
        </x14:conditionalFormatting>
      </x14:conditionalFormattings>
    </x:ext>
  </x:extLst>
</x:worksheet>
</file>

<file path=xl/worksheets/sheet7.xml><?xml version="1.0" encoding="utf-8"?>
<x:worksheet xmlns:x="http://schemas.openxmlformats.org/spreadsheetml/2006/main">
  <x:sheetFormatPr defaultColWidth="12" defaultRowHeight="11.25"/>
  <x:cols>
    <x:col min="1" max="1" width="6.33203125" style="4" customWidth="1"/>
    <x:col min="2" max="2" width="30.6640625" style="13" customWidth="1"/>
    <x:col min="3" max="3" width="42.1640625" customWidth="1"/>
    <x:col min="4" max="4" width="42.1640625" customWidth="1"/>
    <x:col min="5" max="5" width="5" style="4" customWidth="1"/>
    <x:col min="6" max="6" width="73.1640625" style="4" customWidth="1"/>
    <x:col min="7" max="7" width="73.1640625" style="4" customWidth="1"/>
    <x:col min="8" max="8" width="47.6640625" style="4" customWidth="1"/>
    <x:col min="9" max="9" width="49.6640625" style="4" customWidth="1"/>
    <x:col min="12" max="12" width="12.1640625" customWidth="1"/>
  </x:cols>
  <x:sheetData>
    <x:row r="1" s="5" customFormat="1" ht="11.100000381469727" customHeight="1">
      <x:c r="A1" s="5" t="s">
        <x:v>19</x:v>
      </x:c>
      <x:c r="B1" s="5" t="s">
        <x:v>619</x:v>
      </x:c>
      <x:c r="C1" s="5" t="s">
        <x:v>1089</x:v>
      </x:c>
      <x:c r="D1" s="5" t="s">
        <x:v>1090</x:v>
      </x:c>
      <x:c r="E1" s="5" t="s">
        <x:v>1091</x:v>
      </x:c>
      <x:c r="F1" s="5" t="s">
        <x:v>1092</x:v>
      </x:c>
      <x:c r="H1" s="5" t="s">
        <x:v>1093</x:v>
      </x:c>
      <x:c r="I1" s="5" t="s">
        <x:v>1094</x:v>
      </x:c>
      <x:c r="J1" s="5" t="s">
        <x:v>252</x:v>
      </x:c>
      <x:c r="L1" s="5" t="s">
        <x:v>10</x:v>
      </x:c>
    </x:row>
    <x:row r="2">
      <x:c r="A2" s="4" t="s">
        <x:v>1095</x:v>
      </x:c>
      <x:c r="B2" s="55" t="s">
        <x:v>108</x:v>
      </x:c>
      <x:c r="E2" s="17"/>
    </x:row>
    <x:row r="3" ht="12">
      <x:c r="B3" s="56"/>
      <x:c r="E3" s="17"/>
    </x:row>
    <x:row r="4" ht="41.45000076293945" customHeight="1">
      <x:c r="A4" t="s">
        <x:v>1096</x:v>
      </x:c>
      <x:c r="B4" s="56" t="s">
        <x:v>122</x:v>
      </x:c>
      <x:c r="C4" s="13" t="s">
        <x:v>1097</x:v>
      </x:c>
      <x:c r="D4" s="13" t="s">
        <x:v>1098</x:v>
      </x:c>
      <x:c r="E4" s="14">
        <x:v>10</x:v>
      </x:c>
      <x:c r="F4" s="14" t="s">
        <x:v>1099</x:v>
      </x:c>
      <x:c r="G4" s="148" t="str">
        <x:f>E4&amp;". "&amp;F4</x:f>
        <x:v>10. Soporte 100% completo y probado (local + casa matriz), SLA claros</x:v>
      </x:c>
      <x:c r="H4" s="17"/>
    </x:row>
    <x:row r="5" ht="12" customHeight="1">
      <x:c r="A5" t="s">
        <x:v>1096</x:v>
      </x:c>
      <x:c r="B5" s="56"/>
      <x:c r="E5" s="14">
        <x:v>9</x:v>
      </x:c>
      <x:c r="F5" s="14" t="s">
        <x:v>1100</x:v>
      </x:c>
      <x:c r="G5" s="148" t="str">
        <x:f t="shared" ref="G5:G68" si="0">E5&amp;". "&amp;F5</x:f>
        <x:v>9. Soporte robusto y probado</x:v>
      </x:c>
      <x:c r="H5" s="17"/>
    </x:row>
    <x:row r="6" ht="12" customHeight="1">
      <x:c r="A6" t="s">
        <x:v>1096</x:v>
      </x:c>
      <x:c r="B6" s="56"/>
      <x:c r="E6" s="14">
        <x:v>8</x:v>
      </x:c>
      <x:c r="F6" s="14" t="s">
        <x:v>1101</x:v>
      </x:c>
      <x:c r="G6" s="148" t="str">
        <x:f t="shared" si="0"/>
        <x:v>8. Soporte adecuado</x:v>
      </x:c>
      <x:c r="H6" s="17"/>
    </x:row>
    <x:row r="7" ht="12" customHeight="1">
      <x:c r="A7" t="s">
        <x:v>1096</x:v>
      </x:c>
      <x:c r="B7" s="56"/>
      <x:c r="E7" s="14">
        <x:v>7</x:v>
      </x:c>
      <x:c r="F7" s="14" t="s">
        <x:v>1102</x:v>
      </x:c>
      <x:c r="G7" s="148" t="str">
        <x:f t="shared" si="0"/>
        <x:v>7. Soporte estándar</x:v>
      </x:c>
      <x:c r="H7" s="17"/>
    </x:row>
    <x:row r="8" ht="12" customHeight="1">
      <x:c r="A8" t="s">
        <x:v>1096</x:v>
      </x:c>
      <x:c r="B8" s="56"/>
      <x:c r="E8" s="14">
        <x:v>6</x:v>
      </x:c>
      <x:c r="F8" s="14" t="s">
        <x:v>1103</x:v>
      </x:c>
      <x:c r="G8" s="148" t="str">
        <x:f t="shared" si="0"/>
        <x:v>6. Soporte limitado</x:v>
      </x:c>
      <x:c r="H8" s="17"/>
    </x:row>
    <x:row r="9" ht="12" customHeight="1">
      <x:c r="A9" t="s">
        <x:v>1096</x:v>
      </x:c>
      <x:c r="B9" s="56"/>
      <x:c r="E9" s="14">
        <x:v>5</x:v>
      </x:c>
      <x:c r="F9" s="14" t="s">
        <x:v>1104</x:v>
      </x:c>
      <x:c r="G9" s="148" t="str">
        <x:f t="shared" si="0"/>
        <x:v>5. Soporte bajo demanda</x:v>
      </x:c>
      <x:c r="H9" s="17"/>
    </x:row>
    <x:row r="10" ht="12" customHeight="1">
      <x:c r="A10" t="s">
        <x:v>1096</x:v>
      </x:c>
      <x:c r="B10" s="56"/>
      <x:c r="E10" s="14">
        <x:v>4</x:v>
      </x:c>
      <x:c r="F10" s="14" t="s">
        <x:v>1105</x:v>
      </x:c>
      <x:c r="G10" s="148" t="str">
        <x:f t="shared" si="0"/>
        <x:v>4. Soporte reactivo</x:v>
      </x:c>
      <x:c r="H10" s="17"/>
    </x:row>
    <x:row r="11" ht="12" customHeight="1">
      <x:c r="A11" t="s">
        <x:v>1096</x:v>
      </x:c>
      <x:c r="B11" s="56"/>
      <x:c r="E11" s="14">
        <x:v>3</x:v>
      </x:c>
      <x:c r="F11" s="14" t="s">
        <x:v>1106</x:v>
      </x:c>
      <x:c r="G11" s="148" t="str">
        <x:f t="shared" si="0"/>
        <x:v>3. Soporte mínimo</x:v>
      </x:c>
      <x:c r="H11" s="17"/>
    </x:row>
    <x:row r="12" ht="12" customHeight="1">
      <x:c r="A12" t="s">
        <x:v>1096</x:v>
      </x:c>
      <x:c r="B12" s="56"/>
      <x:c r="E12" s="14">
        <x:v>2</x:v>
      </x:c>
      <x:c r="F12" s="14" t="s">
        <x:v>1107</x:v>
      </x:c>
      <x:c r="G12" s="148" t="str">
        <x:f t="shared" si="0"/>
        <x:v>2. Soporte informal</x:v>
      </x:c>
      <x:c r="H12" s="17"/>
    </x:row>
    <x:row r="13" ht="12" customHeight="1">
      <x:c r="A13" t="s">
        <x:v>1096</x:v>
      </x:c>
      <x:c r="B13" s="56"/>
      <x:c r="E13" s="14">
        <x:v>1</x:v>
      </x:c>
      <x:c r="F13" s="14" t="s">
        <x:v>1108</x:v>
      </x:c>
      <x:c r="G13" s="148" t="str">
        <x:f t="shared" si="0"/>
        <x:v>1. Soporte incierto</x:v>
      </x:c>
      <x:c r="H13" s="17"/>
    </x:row>
    <x:row r="14" ht="12" customHeight="1">
      <x:c r="A14" t="s">
        <x:v>1096</x:v>
      </x:c>
      <x:c r="B14" s="56"/>
      <x:c r="E14" s="14">
        <x:v>0</x:v>
      </x:c>
      <x:c r="F14" s="14" t="s">
        <x:v>1109</x:v>
      </x:c>
      <x:c r="G14" s="148" t="str">
        <x:f t="shared" si="0"/>
        <x:v>0. Sin soporte</x:v>
      </x:c>
      <x:c r="H14" s="17"/>
    </x:row>
    <x:row r="15" ht="11.100000381469727" customHeight="1">
      <x:c r="B15" s="56"/>
      <x:c r="G15" s="17" t="str">
        <x:f t="shared" si="0"/>
        <x:v>. </x:v>
      </x:c>
    </x:row>
    <x:row r="16" ht="12">
      <x:c r="A16" t="s">
        <x:v>1110</x:v>
      </x:c>
      <x:c r="B16" s="56" t="s">
        <x:v>438</x:v>
      </x:c>
      <x:c r="C16" s="13"/>
      <x:c r="E16" s="57">
        <x:v>10</x:v>
      </x:c>
      <x:c r="F16" s="14" t="s">
        <x:v>1111</x:v>
      </x:c>
      <x:c r="G16" s="148" t="str">
        <x:f t="shared" si="0"/>
        <x:v>10. Precio fijo cerrado</x:v>
      </x:c>
      <x:c r="H16" s="17"/>
    </x:row>
    <x:row r="17" ht="12" customHeight="1">
      <x:c r="A17" t="str">
        <x:f>A16</x:f>
        <x:v>CA</x:v>
      </x:c>
      <x:c r="B17" s="56"/>
      <x:c r="E17" s="57">
        <x:v>9</x:v>
      </x:c>
      <x:c r="F17" s="14" t="s">
        <x:v>1112</x:v>
      </x:c>
      <x:c r="G17" s="148" t="str">
        <x:f t="shared" si="0"/>
        <x:v>9. Precio por entregables definidos</x:v>
      </x:c>
      <x:c r="H17" s="17"/>
    </x:row>
    <x:row r="18" ht="12" customHeight="1">
      <x:c r="A18" t="str">
        <x:f t="shared" ref="A18:A21" si="1">A17</x:f>
        <x:v>CA</x:v>
      </x:c>
      <x:c r="B18" s="56"/>
      <x:c r="E18" s="57">
        <x:v>7</x:v>
      </x:c>
      <x:c r="F18" s="14" t="s">
        <x:v>1113</x:v>
      </x:c>
      <x:c r="G18" s="148" t="str">
        <x:f t="shared" si="0"/>
        <x:v>7. Modelo mixto (fijo + variable controlado)</x:v>
      </x:c>
      <x:c r="H18" s="17"/>
    </x:row>
    <x:row r="19" ht="12" customHeight="1">
      <x:c r="A19" t="str">
        <x:f t="shared" si="1"/>
        <x:v>CA</x:v>
      </x:c>
      <x:c r="B19" s="56"/>
      <x:c r="E19" s="57">
        <x:v>6</x:v>
      </x:c>
      <x:c r="F19" s="14" t="s">
        <x:v>1114</x:v>
      </x:c>
      <x:c r="G19" s="148" t="str">
        <x:f t="shared" si="0"/>
        <x:v>6. Por horas con tope</x:v>
      </x:c>
      <x:c r="H19" s="17"/>
    </x:row>
    <x:row r="20" ht="12" customHeight="1">
      <x:c r="A20" t="str">
        <x:f t="shared" si="1"/>
        <x:v>CA</x:v>
      </x:c>
      <x:c r="B20" s="56"/>
      <x:c r="E20" s="57">
        <x:v>4</x:v>
      </x:c>
      <x:c r="F20" s="14" t="s">
        <x:v>1115</x:v>
      </x:c>
      <x:c r="G20" s="148" t="str">
        <x:f t="shared" si="0"/>
        <x:v>4. Por horas con estimado</x:v>
      </x:c>
      <x:c r="H20" s="17"/>
    </x:row>
    <x:row r="21" ht="12" customHeight="1">
      <x:c r="A21" t="str">
        <x:f t="shared" si="1"/>
        <x:v>CA</x:v>
      </x:c>
      <x:c r="B21" s="56"/>
      <x:c r="E21" s="57">
        <x:v>1</x:v>
      </x:c>
      <x:c r="F21" s="14" t="s">
        <x:v>1116</x:v>
      </x:c>
      <x:c r="G21" s="148" t="str">
        <x:f t="shared" si="0"/>
        <x:v>1. Por horas sin control</x:v>
      </x:c>
      <x:c r="H21" s="17"/>
    </x:row>
    <x:row r="22" ht="11.100000381469727" customHeight="1">
      <x:c r="B22" s="56"/>
      <x:c r="G22" s="17" t="str">
        <x:f t="shared" si="0"/>
        <x:v>. </x:v>
      </x:c>
    </x:row>
    <x:row r="23" ht="12">
      <x:c r="A23" t="s">
        <x:v>1117</x:v>
      </x:c>
      <x:c r="B23" s="55" t="s">
        <x:v>440</x:v>
      </x:c>
      <x:c r="C23" s="13"/>
      <x:c r="E23" s="57">
        <x:v>10</x:v>
      </x:c>
      <x:c r="F23" s="14" t="s">
        <x:v>1118</x:v>
      </x:c>
      <x:c r="G23" s="148" t="str">
        <x:f t="shared" si="0"/>
        <x:v>10. Pago por hitos validados</x:v>
      </x:c>
      <x:c r="H23" s="17"/>
    </x:row>
    <x:row r="24" ht="12" customHeight="1">
      <x:c r="A24" t="str">
        <x:f>A23</x:f>
        <x:v>CB</x:v>
      </x:c>
      <x:c r="B24" s="56"/>
      <x:c r="E24" s="57">
        <x:v>9</x:v>
      </x:c>
      <x:c r="F24" s="14" t="s">
        <x:v>1119</x:v>
      </x:c>
      <x:c r="G24" s="148" t="str">
        <x:f t="shared" si="0"/>
        <x:v>9. Anticipo ≤ 30% + hitos</x:v>
      </x:c>
      <x:c r="H24" s="17"/>
    </x:row>
    <x:row r="25" ht="12" customHeight="1">
      <x:c r="A25" t="str">
        <x:f t="shared" ref="A25:A28" si="2">A24</x:f>
        <x:v>CB</x:v>
      </x:c>
      <x:c r="B25" s="56"/>
      <x:c r="E25" s="57">
        <x:v>7</x:v>
      </x:c>
      <x:c r="F25" s="14" t="s">
        <x:v>1120</x:v>
      </x:c>
      <x:c r="G25" s="148" t="str">
        <x:f t="shared" si="0"/>
        <x:v>7. 40% / 60%</x:v>
      </x:c>
      <x:c r="H25" s="17"/>
    </x:row>
    <x:row r="26" ht="12" customHeight="1">
      <x:c r="A26" t="str">
        <x:f t="shared" si="2"/>
        <x:v>CB</x:v>
      </x:c>
      <x:c r="B26" s="56"/>
      <x:c r="E26" s="57">
        <x:v>6</x:v>
      </x:c>
      <x:c r="F26" s="14" t="s">
        <x:v>1121</x:v>
      </x:c>
      <x:c r="G26" s="148" t="str">
        <x:f t="shared" si="0"/>
        <x:v>6. 50% / 50%</x:v>
      </x:c>
      <x:c r="H26" s="17"/>
    </x:row>
    <x:row r="27" ht="12" customHeight="1">
      <x:c r="A27" t="str">
        <x:f t="shared" si="2"/>
        <x:v>CB</x:v>
      </x:c>
      <x:c r="B27" s="56"/>
      <x:c r="E27" s="57">
        <x:v>3</x:v>
      </x:c>
      <x:c r="F27" s="14" t="s">
        <x:v>1122</x:v>
      </x:c>
      <x:c r="G27" s="148" t="str">
        <x:f t="shared" si="0"/>
        <x:v>3. &gt;70% anticipado</x:v>
      </x:c>
      <x:c r="H27" s="17"/>
    </x:row>
    <x:row r="28" ht="12" customHeight="1">
      <x:c r="A28" t="str">
        <x:f t="shared" si="2"/>
        <x:v>CB</x:v>
      </x:c>
      <x:c r="B28" s="56"/>
      <x:c r="E28" s="57">
        <x:v>1</x:v>
      </x:c>
      <x:c r="F28" s="14" t="s">
        <x:v>1123</x:v>
      </x:c>
      <x:c r="G28" s="148" t="str">
        <x:f t="shared" si="0"/>
        <x:v>1. 100% anticipado</x:v>
      </x:c>
      <x:c r="H28" s="17"/>
    </x:row>
    <x:row r="29" ht="11.100000381469727" customHeight="1">
      <x:c r="B29" s="56"/>
      <x:c r="G29" s="17" t="str">
        <x:f t="shared" si="0"/>
        <x:v>. </x:v>
      </x:c>
    </x:row>
    <x:row r="30" ht="12">
      <x:c r="A30" t="s">
        <x:v>1124</x:v>
      </x:c>
      <x:c r="B30" s="55" t="s">
        <x:v>442</x:v>
      </x:c>
      <x:c r="C30" s="13"/>
      <x:c r="E30" s="57">
        <x:v>10</x:v>
      </x:c>
      <x:c r="F30" s="14" t="s">
        <x:v>1125</x:v>
      </x:c>
      <x:c r="G30" s="148" t="str">
        <x:f t="shared" si="0"/>
        <x:v>10. Alcance cerrado con SLA y entregables</x:v>
      </x:c>
      <x:c r="H30" s="17"/>
    </x:row>
    <x:row r="31" ht="12" customHeight="1">
      <x:c r="A31" t="str">
        <x:f>A30</x:f>
        <x:v>CC</x:v>
      </x:c>
      <x:c r="B31" s="56"/>
      <x:c r="E31" s="57">
        <x:v>8</x:v>
      </x:c>
      <x:c r="F31" s="14" t="s">
        <x:v>1126</x:v>
      </x:c>
      <x:c r="G31" s="148" t="str">
        <x:f t="shared" si="0"/>
        <x:v>8. Alcance cerrado sin SLA</x:v>
      </x:c>
      <x:c r="H31" s="17"/>
    </x:row>
    <x:row r="32" ht="12" customHeight="1">
      <x:c r="A32" t="str">
        <x:f t="shared" ref="A32:A35" si="3">A31</x:f>
        <x:v>CC</x:v>
      </x:c>
      <x:c r="B32" s="56"/>
      <x:c r="E32" s="57">
        <x:v>6</x:v>
      </x:c>
      <x:c r="F32" s="14" t="s">
        <x:v>1127</x:v>
      </x:c>
      <x:c r="G32" s="148" t="str">
        <x:f t="shared" si="0"/>
        <x:v>6. Alcance definido pero con exclusiones</x:v>
      </x:c>
      <x:c r="H32" s="17"/>
    </x:row>
    <x:row r="33" ht="12" customHeight="1">
      <x:c r="A33" t="str">
        <x:f t="shared" si="3"/>
        <x:v>CC</x:v>
      </x:c>
      <x:c r="B33" s="56"/>
      <x:c r="E33" s="57">
        <x:v>4</x:v>
      </x:c>
      <x:c r="F33" s="14" t="s">
        <x:v>1128</x:v>
      </x:c>
      <x:c r="G33" s="148" t="str">
        <x:f t="shared" si="0"/>
        <x:v>4. Alcance referencial</x:v>
      </x:c>
      <x:c r="H33" s="17"/>
    </x:row>
    <x:row r="34" ht="12" customHeight="1">
      <x:c r="A34" t="str">
        <x:f t="shared" si="3"/>
        <x:v>CC</x:v>
      </x:c>
      <x:c r="B34" s="56"/>
      <x:c r="E34" s="57">
        <x:v>2</x:v>
      </x:c>
      <x:c r="F34" s="14" t="s">
        <x:v>1129</x:v>
      </x:c>
      <x:c r="G34" s="148" t="str">
        <x:f t="shared" si="0"/>
        <x:v>2. Alcance ambiguo</x:v>
      </x:c>
      <x:c r="H34" s="17"/>
    </x:row>
    <x:row r="35" ht="12" customHeight="1">
      <x:c r="A35" t="str">
        <x:f t="shared" si="3"/>
        <x:v>CC</x:v>
      </x:c>
      <x:c r="B35" s="56"/>
      <x:c r="E35" s="57">
        <x:v>1</x:v>
      </x:c>
      <x:c r="F35" s="14" t="s">
        <x:v>1130</x:v>
      </x:c>
      <x:c r="G35" s="148" t="str">
        <x:f t="shared" si="0"/>
        <x:v>1. No definido</x:v>
      </x:c>
      <x:c r="H35" s="17"/>
    </x:row>
    <x:row r="36" ht="11.100000381469727" customHeight="1">
      <x:c r="B36" s="56"/>
      <x:c r="G36" s="17" t="str">
        <x:f t="shared" si="0"/>
        <x:v>. </x:v>
      </x:c>
    </x:row>
    <x:row r="37" ht="12">
      <x:c r="A37" t="s">
        <x:v>643</x:v>
      </x:c>
      <x:c r="B37" s="55" t="s">
        <x:v>201</x:v>
      </x:c>
      <x:c r="C37" s="13"/>
      <x:c r="E37" s="57">
        <x:v>10</x:v>
      </x:c>
      <x:c r="F37" s="14" t="s">
        <x:v>1131</x:v>
      </x:c>
      <x:c r="G37" s="148" t="str">
        <x:f t="shared" si="0"/>
        <x:v>10. Garantía de resultados + soporte post-venta</x:v>
      </x:c>
      <x:c r="H37" s="17"/>
    </x:row>
    <x:row r="38" ht="12" customHeight="1">
      <x:c r="A38" t="str">
        <x:f>A37</x:f>
        <x:v>CD</x:v>
      </x:c>
      <x:c r="B38" s="56"/>
      <x:c r="E38" s="57">
        <x:v>9</x:v>
      </x:c>
      <x:c r="F38" s="14" t="s">
        <x:v>1132</x:v>
      </x:c>
      <x:c r="G38" s="148" t="str">
        <x:f t="shared" si="0"/>
        <x:v>9. Acompañamiento post go‑live incluido</x:v>
      </x:c>
      <x:c r="H38" s="17"/>
    </x:row>
    <x:row r="39" ht="12" customHeight="1">
      <x:c r="A39" t="str">
        <x:f t="shared" ref="A39:A41" si="4">A38</x:f>
        <x:v>CD</x:v>
      </x:c>
      <x:c r="B39" s="56"/>
      <x:c r="E39" s="57">
        <x:v>7</x:v>
      </x:c>
      <x:c r="F39" s="14" t="s">
        <x:v>1133</x:v>
      </x:c>
      <x:c r="G39" s="148" t="str">
        <x:f t="shared" si="0"/>
        <x:v>7. Bolsa de horas incluida</x:v>
      </x:c>
      <x:c r="H39" s="17"/>
    </x:row>
    <x:row r="40" ht="12" customHeight="1">
      <x:c r="A40" t="str">
        <x:f t="shared" si="4"/>
        <x:v>CD</x:v>
      </x:c>
      <x:c r="B40" s="56"/>
      <x:c r="E40" s="57">
        <x:v>4</x:v>
      </x:c>
      <x:c r="F40" s="14" t="s">
        <x:v>1134</x:v>
      </x:c>
      <x:c r="G40" s="148" t="str">
        <x:f t="shared" si="0"/>
        <x:v>4. Soporte facturable</x:v>
      </x:c>
      <x:c r="H40" s="17"/>
    </x:row>
    <x:row r="41" ht="12" customHeight="1">
      <x:c r="A41" t="str">
        <x:f t="shared" si="4"/>
        <x:v>CD</x:v>
      </x:c>
      <x:c r="B41" s="56"/>
      <x:c r="E41" s="57">
        <x:v>1</x:v>
      </x:c>
      <x:c r="F41" s="14" t="s">
        <x:v>1135</x:v>
      </x:c>
      <x:c r="G41" s="148" t="str">
        <x:f t="shared" si="0"/>
        <x:v>1. Sin acompañamiento</x:v>
      </x:c>
      <x:c r="H41" s="17"/>
    </x:row>
    <x:row r="42" ht="11.100000381469727" customHeight="1">
      <x:c r="B42" s="56"/>
      <x:c r="G42" s="17" t="str">
        <x:f t="shared" si="0"/>
        <x:v>. </x:v>
      </x:c>
    </x:row>
    <x:row r="43" ht="12">
      <x:c r="A43" t="s">
        <x:v>1136</x:v>
      </x:c>
      <x:c r="B43" s="55" t="s">
        <x:v>212</x:v>
      </x:c>
      <x:c r="C43" s="13"/>
      <x:c r="E43" s="14">
        <x:v>10</x:v>
      </x:c>
      <x:c r="F43" s="14" t="s">
        <x:v>1137</x:v>
      </x:c>
      <x:c r="G43" s="148" t="str">
        <x:f t="shared" si="0"/>
        <x:v>10. Equipo nominal definido (roles, seniority, % dedicación)</x:v>
      </x:c>
      <x:c r="H43" s="17"/>
    </x:row>
    <x:row r="44" ht="12" customHeight="1">
      <x:c r="A44" t="str">
        <x:f>A43</x:f>
        <x:v>DB</x:v>
      </x:c>
      <x:c r="B44" s="56"/>
      <x:c r="E44" s="14">
        <x:v>8</x:v>
      </x:c>
      <x:c r="F44" s="14" t="s">
        <x:v>1138</x:v>
      </x:c>
      <x:c r="G44" s="148" t="str">
        <x:f t="shared" si="0"/>
        <x:v>8. Pool identificado, asignación previa al inicio</x:v>
      </x:c>
      <x:c r="H44" s="17"/>
    </x:row>
    <x:row r="45" ht="12" customHeight="1">
      <x:c r="A45" t="str">
        <x:f t="shared" ref="A45:A48" si="5">A44</x:f>
        <x:v>DB</x:v>
      </x:c>
      <x:c r="B45" s="56"/>
      <x:c r="E45" s="14">
        <x:v>6</x:v>
      </x:c>
      <x:c r="F45" s="14" t="s">
        <x:v>1139</x:v>
      </x:c>
      <x:c r="G45" s="148" t="str">
        <x:f t="shared" si="0"/>
        <x:v>6. Equipo mixto Senior/Junior</x:v>
      </x:c>
      <x:c r="H45" s="17"/>
    </x:row>
    <x:row r="46" ht="12" customHeight="1">
      <x:c r="A46" t="str">
        <x:f t="shared" si="5"/>
        <x:v>DB</x:v>
      </x:c>
      <x:c r="B46" s="56"/>
      <x:c r="E46" s="14">
        <x:v>4</x:v>
      </x:c>
      <x:c r="F46" s="14" t="s">
        <x:v>1140</x:v>
      </x:c>
      <x:c r="G46" s="148" t="str">
        <x:f t="shared" si="0"/>
        <x:v>4. Equipo no definido aún</x:v>
      </x:c>
      <x:c r="H46" s="17"/>
    </x:row>
    <x:row r="47" ht="12" customHeight="1">
      <x:c r="A47" t="str">
        <x:f t="shared" si="5"/>
        <x:v>DB</x:v>
      </x:c>
      <x:c r="B47" s="56"/>
      <x:c r="E47" s="14">
        <x:v>2</x:v>
      </x:c>
      <x:c r="F47" s="14" t="s">
        <x:v>1141</x:v>
      </x:c>
      <x:c r="G47" s="148" t="str">
        <x:f t="shared" si="0"/>
        <x:v>2. “Según disponibilidad”</x:v>
      </x:c>
      <x:c r="H47" s="17"/>
    </x:row>
    <x:row r="48" ht="12" customHeight="1">
      <x:c r="A48" t="str">
        <x:f t="shared" si="5"/>
        <x:v>DB</x:v>
      </x:c>
      <x:c r="B48" s="56"/>
      <x:c r="E48" s="14">
        <x:v>1</x:v>
      </x:c>
      <x:c r="F48" s="14" t="s">
        <x:v>1142</x:v>
      </x:c>
      <x:c r="G48" s="148" t="str">
        <x:f t="shared" si="0"/>
        <x:v>1. Subcontratación futura</x:v>
      </x:c>
      <x:c r="H48" s="17"/>
    </x:row>
    <x:row r="49" ht="11.100000381469727" customHeight="1">
      <x:c r="B49" s="56"/>
      <x:c r="G49" s="17" t="str">
        <x:f t="shared" si="0"/>
        <x:v>. </x:v>
      </x:c>
    </x:row>
    <x:row r="50" ht="12">
      <x:c r="A50" t="s">
        <x:v>1143</x:v>
      </x:c>
      <x:c r="B50" s="55" t="s">
        <x:v>214</x:v>
      </x:c>
      <x:c r="C50" s="13"/>
      <x:c r="E50" s="14">
        <x:v>10</x:v>
      </x:c>
      <x:c r="F50" s="14" t="s">
        <x:v>1144</x:v>
      </x:c>
      <x:c r="G50" s="148" t="str">
        <x:f t="shared" si="0"/>
        <x:v>10. Back‑up team documentado</x:v>
      </x:c>
      <x:c r="H50" s="17"/>
    </x:row>
    <x:row r="51" ht="12" customHeight="1">
      <x:c r="A51" t="str">
        <x:f>A50</x:f>
        <x:v>DC</x:v>
      </x:c>
      <x:c r="B51" s="56"/>
      <x:c r="E51" s="14">
        <x:v>8</x:v>
      </x:c>
      <x:c r="F51" s="14" t="s">
        <x:v>1145</x:v>
      </x:c>
      <x:c r="G51" s="148" t="str">
        <x:f t="shared" si="0"/>
        <x:v>8. Capacidad de refuerzo interno</x:v>
      </x:c>
      <x:c r="H51" s="17"/>
    </x:row>
    <x:row r="52" ht="12" customHeight="1">
      <x:c r="A52" t="str">
        <x:f t="shared" ref="A52:A55" si="6">A51</x:f>
        <x:v>DC</x:v>
      </x:c>
      <x:c r="B52" s="56"/>
      <x:c r="E52" s="14">
        <x:v>6</x:v>
      </x:c>
      <x:c r="F52" s="14" t="s">
        <x:v>1146</x:v>
      </x:c>
      <x:c r="G52" s="148" t="str">
        <x:f t="shared" si="0"/>
        <x:v>6. Refuerzo vía partners</x:v>
      </x:c>
      <x:c r="H52" s="17"/>
    </x:row>
    <x:row r="53" ht="12" customHeight="1">
      <x:c r="A53" t="str">
        <x:f t="shared" si="6"/>
        <x:v>DC</x:v>
      </x:c>
      <x:c r="B53" s="56"/>
      <x:c r="E53" s="14">
        <x:v>4</x:v>
      </x:c>
      <x:c r="F53" s="14" t="s">
        <x:v>1147</x:v>
      </x:c>
      <x:c r="G53" s="148" t="str">
        <x:f t="shared" si="0"/>
        <x:v>4. Ajuste vía extensión de plazos</x:v>
      </x:c>
      <x:c r="H53" s="17"/>
    </x:row>
    <x:row r="54" ht="12" customHeight="1">
      <x:c r="A54" t="str">
        <x:f t="shared" si="6"/>
        <x:v>DC</x:v>
      </x:c>
      <x:c r="B54" s="56"/>
      <x:c r="E54" s="14">
        <x:v>2</x:v>
      </x:c>
      <x:c r="F54" s="14" t="s">
        <x:v>1148</x:v>
      </x:c>
      <x:c r="G54" s="148" t="str">
        <x:f t="shared" si="0"/>
        <x:v>2. No contemplado</x:v>
      </x:c>
      <x:c r="H54" s="17"/>
    </x:row>
    <x:row r="55" ht="12" customHeight="1">
      <x:c r="A55" t="str">
        <x:f t="shared" si="6"/>
        <x:v>DC</x:v>
      </x:c>
      <x:c r="B55" s="56"/>
      <x:c r="E55" s="14">
        <x:v>1</x:v>
      </x:c>
      <x:c r="F55" s="14" t="s">
        <x:v>1149</x:v>
      </x:c>
      <x:c r="G55" s="148" t="str">
        <x:f t="shared" si="0"/>
        <x:v>1. Negado</x:v>
      </x:c>
      <x:c r="H55" s="17"/>
    </x:row>
    <x:row r="56" ht="11.100000381469727" customHeight="1">
      <x:c r="B56" s="56"/>
      <x:c r="G56" s="17" t="str">
        <x:f t="shared" si="0"/>
        <x:v>. </x:v>
      </x:c>
    </x:row>
    <x:row r="57" ht="42.75">
      <x:c r="A57" s="4" t="s">
        <x:v>1150</x:v>
      </x:c>
      <x:c r="B57" s="56" t="s">
        <x:v>33</x:v>
      </x:c>
      <x:c r="E57" s="35">
        <x:v>10</x:v>
      </x:c>
      <x:c r="F57" s="36" t="s">
        <x:v>1151</x:v>
      </x:c>
      <x:c r="G57" s="148" t="str">
        <x:f t="shared" si="0"/>
        <x:v>10. Enterprise / Alta resiliencia. Cumple completamente</x:v>
      </x:c>
      <x:c r="H57" s="37" t="s">
        <x:v>1152</x:v>
      </x:c>
      <x:c r="I57" s="39" t="s">
        <x:v>1153</x:v>
      </x:c>
    </x:row>
    <x:row r="58" ht="42.75">
      <x:c r="A58" s="4" t="s">
        <x:v>1150</x:v>
      </x:c>
      <x:c r="B58" s="56"/>
      <x:c r="E58" s="38">
        <x:v>9</x:v>
      </x:c>
      <x:c r="F58" s="36" t="s">
        <x:v>1154</x:v>
      </x:c>
      <x:c r="G58" s="148" t="str">
        <x:f t="shared" si="0"/>
        <x:v>9. Cumple satisfactoriamente</x:v>
      </x:c>
      <x:c r="H58" s="37" t="s">
        <x:v>1155</x:v>
      </x:c>
    </x:row>
    <x:row r="59" ht="32.25">
      <x:c r="A59" s="4" t="s">
        <x:v>1150</x:v>
      </x:c>
      <x:c r="B59" s="56"/>
      <x:c r="E59" s="38">
        <x:v>8</x:v>
      </x:c>
      <x:c r="F59" s="36" t="s">
        <x:v>1156</x:v>
      </x:c>
      <x:c r="G59" s="148" t="str">
        <x:f t="shared" si="0"/>
        <x:v>8. Adecuada / Controlada</x:v>
      </x:c>
      <x:c r="H59" s="37" t="s">
        <x:v>1157</x:v>
      </x:c>
    </x:row>
    <x:row r="60" ht="12">
      <x:c r="A60" s="4" t="s">
        <x:v>1150</x:v>
      </x:c>
      <x:c r="B60" s="56"/>
      <x:c r="E60" s="32">
        <x:v>7</x:v>
      </x:c>
      <x:c r="F60" s="33" t="s">
        <x:v>1158</x:v>
      </x:c>
      <x:c r="G60" s="148" t="str">
        <x:f t="shared" si="0"/>
        <x:v>7. Cumple parcialmente</x:v>
      </x:c>
      <x:c r="H60" s="34" t="s">
        <x:v>1159</x:v>
      </x:c>
    </x:row>
    <x:row r="61" ht="32.25">
      <x:c r="A61" s="4" t="s">
        <x:v>1150</x:v>
      </x:c>
      <x:c r="B61" s="56"/>
      <x:c r="E61" s="32">
        <x:v>6</x:v>
      </x:c>
      <x:c r="F61" s="33" t="s">
        <x:v>1160</x:v>
      </x:c>
      <x:c r="G61" s="148" t="str">
        <x:f t="shared" si="0"/>
        <x:v>6. Limitada / Riesgo operativo</x:v>
      </x:c>
      <x:c r="H61" s="34" t="s">
        <x:v>1161</x:v>
      </x:c>
    </x:row>
    <x:row r="62" ht="12">
      <x:c r="A62" s="4" t="s">
        <x:v>1150</x:v>
      </x:c>
      <x:c r="B62" s="56"/>
      <x:c r="E62" s="31">
        <x:v>5</x:v>
      </x:c>
      <x:c r="F62" s="29" t="s">
        <x:v>1162</x:v>
      </x:c>
      <x:c r="G62" s="148" t="str">
        <x:f t="shared" si="0"/>
        <x:v>5. No cumple</x:v>
      </x:c>
      <x:c r="H62" s="30" t="s">
        <x:v>1163</x:v>
      </x:c>
    </x:row>
    <x:row r="63" ht="31.350000381469727" customHeight="1">
      <x:c r="A63" s="4" t="s">
        <x:v>1150</x:v>
      </x:c>
      <x:c r="B63" s="56"/>
      <x:c r="E63" s="31">
        <x:v>4</x:v>
      </x:c>
      <x:c r="F63" s="29" t="s">
        <x:v>1164</x:v>
      </x:c>
      <x:c r="G63" s="148" t="str">
        <x:f t="shared" si="0"/>
        <x:v>4. Deficiente / No aceptable</x:v>
      </x:c>
      <x:c r="H63" s="30" t="s">
        <x:v>1165</x:v>
      </x:c>
    </x:row>
    <x:row r="64" ht="12">
      <x:c r="A64" s="4" t="s">
        <x:v>1150</x:v>
      </x:c>
      <x:c r="B64" s="56"/>
      <x:c r="E64" s="31">
        <x:v>3</x:v>
      </x:c>
      <x:c r="F64" s="29" t="s">
        <x:v>1166</x:v>
      </x:c>
      <x:c r="G64" s="148" t="str">
        <x:f t="shared" si="0"/>
        <x:v>3. Nula</x:v>
      </x:c>
      <x:c r="H64" s="30" t="s">
        <x:v>1167</x:v>
      </x:c>
    </x:row>
    <x:row r="65">
      <x:c r="B65" s="56"/>
      <x:c r="G65" s="17" t="str">
        <x:f t="shared" si="0"/>
        <x:v>. </x:v>
      </x:c>
    </x:row>
    <x:row r="66">
      <x:c r="A66" s="4" t="s">
        <x:v>1168</x:v>
      </x:c>
      <x:c r="B66" s="56" t="s">
        <x:v>455</x:v>
      </x:c>
      <x:c r="E66" s="17">
        <x:v>10</x:v>
      </x:c>
      <x:c r="F66" t="s">
        <x:v>1169</x:v>
      </x:c>
      <x:c r="G66" s="148" t="str">
        <x:f t="shared" si="0"/>
        <x:v>10. Por hora o por uso</x:v>
      </x:c>
      <x:c r="H66"/>
    </x:row>
    <x:row r="67">
      <x:c r="A67" s="4" t="s">
        <x:v>1168</x:v>
      </x:c>
      <x:c r="B67" s="56"/>
      <x:c r="E67" s="17">
        <x:v>8</x:v>
      </x:c>
      <x:c r="F67" t="s">
        <x:v>1170</x:v>
      </x:c>
      <x:c r="G67" s="148" t="str">
        <x:f t="shared" si="0"/>
        <x:v>8. Mes vencido</x:v>
      </x:c>
      <x:c r="H67"/>
    </x:row>
    <x:row r="68">
      <x:c r="A68" s="4" t="s">
        <x:v>1168</x:v>
      </x:c>
      <x:c r="B68" s="56"/>
      <x:c r="E68" s="17">
        <x:v>6</x:v>
      </x:c>
      <x:c r="F68" t="s">
        <x:v>1082</x:v>
      </x:c>
      <x:c r="G68" s="148" t="str">
        <x:f t="shared" si="0"/>
        <x:v>6. Año vencido</x:v>
      </x:c>
      <x:c r="H68"/>
    </x:row>
    <x:row r="69">
      <x:c r="A69" s="4" t="s">
        <x:v>1168</x:v>
      </x:c>
      <x:c r="B69" s="56"/>
      <x:c r="E69" s="17">
        <x:v>4</x:v>
      </x:c>
      <x:c r="F69" t="s">
        <x:v>1070</x:v>
      </x:c>
      <x:c r="G69" s="148" t="str">
        <x:f t="shared" ref="G69:G132" si="7">E69&amp;". "&amp;F69</x:f>
        <x:v>4. Mes anticipado</x:v>
      </x:c>
      <x:c r="H69"/>
    </x:row>
    <x:row r="70">
      <x:c r="A70" s="4" t="s">
        <x:v>1168</x:v>
      </x:c>
      <x:c r="B70" s="56"/>
      <x:c r="E70" s="17">
        <x:v>2</x:v>
      </x:c>
      <x:c r="F70" t="s">
        <x:v>1078</x:v>
      </x:c>
      <x:c r="G70" s="148" t="str">
        <x:f t="shared" si="7"/>
        <x:v>2. Año anticipado</x:v>
      </x:c>
      <x:c r="H70"/>
    </x:row>
    <x:row r="71" ht="12">
      <x:c r="B71" s="56"/>
      <x:c r="G71" s="17" t="str">
        <x:f t="shared" si="7"/>
        <x:v>. </x:v>
      </x:c>
    </x:row>
    <x:row r="72" ht="31.350000381469727" customHeight="1">
      <x:c r="A72" t="s">
        <x:v>1171</x:v>
      </x:c>
      <x:c r="B72" s="56" t="s">
        <x:v>83</x:v>
      </x:c>
      <x:c r="C72" s="13" t="s">
        <x:v>1172</x:v>
      </x:c>
      <x:c r="D72" s="13" t="s">
        <x:v>1173</x:v>
      </x:c>
      <x:c r="E72" s="14">
        <x:v>10</x:v>
      </x:c>
      <x:c r="F72" s="14" t="s">
        <x:v>1174</x:v>
      </x:c>
      <x:c r="G72" s="148" t="str">
        <x:f t="shared" si="7"/>
        <x:v>10. Integración nativa, bidireccional, estable</x:v>
      </x:c>
      <x:c r="H72" s="17"/>
    </x:row>
    <x:row r="73" ht="12" customHeight="1">
      <x:c r="A73" t="s">
        <x:v>1171</x:v>
      </x:c>
      <x:c r="B73" s="56"/>
      <x:c r="E73" s="14">
        <x:v>9</x:v>
      </x:c>
      <x:c r="F73" s="14" t="s">
        <x:v>1175</x:v>
      </x:c>
      <x:c r="G73" s="148" t="str">
        <x:f t="shared" si="7"/>
        <x:v>9. Integración nativa, unidireccional</x:v>
      </x:c>
      <x:c r="H73" s="17"/>
    </x:row>
    <x:row r="74" ht="12" customHeight="1">
      <x:c r="A74" t="s">
        <x:v>1171</x:v>
      </x:c>
      <x:c r="B74" s="56"/>
      <x:c r="E74" s="14">
        <x:v>8</x:v>
      </x:c>
      <x:c r="F74" s="14" t="s">
        <x:v>1176</x:v>
      </x:c>
      <x:c r="G74" s="148" t="str">
        <x:f t="shared" si="7"/>
        <x:v>8. Conectores oficiales</x:v>
      </x:c>
      <x:c r="H74" s="17"/>
    </x:row>
    <x:row r="75" ht="12" customHeight="1">
      <x:c r="A75" t="s">
        <x:v>1171</x:v>
      </x:c>
      <x:c r="B75" s="56"/>
      <x:c r="E75" s="14">
        <x:v>7</x:v>
      </x:c>
      <x:c r="F75" s="28" t="s">
        <x:v>1177</x:v>
      </x:c>
      <x:c r="G75" s="148" t="str">
        <x:f t="shared" si="7"/>
        <x:v>7. APIs documentadas. No necesaria/ última versión</x:v>
      </x:c>
      <x:c r="H75" s="4" t="s">
        <x:v>1178</x:v>
      </x:c>
    </x:row>
    <x:row r="76" ht="12" customHeight="1">
      <x:c r="A76" t="s">
        <x:v>1171</x:v>
      </x:c>
      <x:c r="B76" s="56"/>
      <x:c r="E76" s="14">
        <x:v>6</x:v>
      </x:c>
      <x:c r="F76" s="14" t="s">
        <x:v>1179</x:v>
      </x:c>
      <x:c r="G76" s="148" t="str">
        <x:f t="shared" si="7"/>
        <x:v>6. APIs limitadas</x:v>
      </x:c>
      <x:c r="H76" s="17"/>
    </x:row>
    <x:row r="77" ht="12" customHeight="1">
      <x:c r="A77" t="s">
        <x:v>1171</x:v>
      </x:c>
      <x:c r="B77" s="56"/>
      <x:c r="E77" s="14">
        <x:v>5</x:v>
      </x:c>
      <x:c r="F77" s="14" t="s">
        <x:v>1180</x:v>
      </x:c>
      <x:c r="G77" s="148" t="str">
        <x:f t="shared" si="7"/>
        <x:v>5. Integraciones vía ETL</x:v>
      </x:c>
      <x:c r="H77" s="17"/>
    </x:row>
    <x:row r="78" ht="12" customHeight="1">
      <x:c r="A78" t="s">
        <x:v>1171</x:v>
      </x:c>
      <x:c r="B78" s="56"/>
      <x:c r="E78" s="14">
        <x:v>4</x:v>
      </x:c>
      <x:c r="F78" s="14" t="s">
        <x:v>1181</x:v>
      </x:c>
      <x:c r="G78" s="148" t="str">
        <x:f t="shared" si="7"/>
        <x:v>4. Integración manual parcial</x:v>
      </x:c>
      <x:c r="H78" s="17"/>
    </x:row>
    <x:row r="79" ht="12" customHeight="1">
      <x:c r="A79" t="s">
        <x:v>1171</x:v>
      </x:c>
      <x:c r="B79" s="56"/>
      <x:c r="E79" s="14">
        <x:v>3</x:v>
      </x:c>
      <x:c r="F79" s="14" t="s">
        <x:v>1182</x:v>
      </x:c>
      <x:c r="G79" s="148" t="str">
        <x:f t="shared" si="7"/>
        <x:v>3. Exportar/importar archivos</x:v>
      </x:c>
      <x:c r="H79" s="17"/>
    </x:row>
    <x:row r="80" ht="12" customHeight="1">
      <x:c r="A80" t="s">
        <x:v>1171</x:v>
      </x:c>
      <x:c r="B80" s="56"/>
      <x:c r="E80" s="14">
        <x:v>2</x:v>
      </x:c>
      <x:c r="F80" s="14" t="s">
        <x:v>1183</x:v>
      </x:c>
      <x:c r="G80" s="148" t="str">
        <x:f t="shared" si="7"/>
        <x:v>2. Procedimientos manuales</x:v>
      </x:c>
      <x:c r="H80" s="17"/>
    </x:row>
    <x:row r="81" ht="12" customHeight="1">
      <x:c r="A81" t="s">
        <x:v>1171</x:v>
      </x:c>
      <x:c r="B81" s="56"/>
      <x:c r="E81" s="14">
        <x:v>1</x:v>
      </x:c>
      <x:c r="F81" s="14" t="s">
        <x:v>1184</x:v>
      </x:c>
      <x:c r="G81" s="148" t="str">
        <x:f t="shared" si="7"/>
        <x:v>1. Integración teórica</x:v>
      </x:c>
      <x:c r="H81" s="17"/>
    </x:row>
    <x:row r="82" ht="12" customHeight="1">
      <x:c r="A82" t="s">
        <x:v>1171</x:v>
      </x:c>
      <x:c r="B82" s="56"/>
      <x:c r="E82" s="14">
        <x:v>0</x:v>
      </x:c>
      <x:c r="F82" s="14" t="s">
        <x:v>1185</x:v>
      </x:c>
      <x:c r="G82" s="148" t="str">
        <x:f t="shared" si="7"/>
        <x:v>0. No integra</x:v>
      </x:c>
      <x:c r="H82" s="17"/>
    </x:row>
    <x:row r="83" ht="11.100000381469727" customHeight="1">
      <x:c r="B83" s="56"/>
      <x:c r="G83" s="17" t="str">
        <x:f t="shared" si="7"/>
        <x:v>. </x:v>
      </x:c>
    </x:row>
    <x:row r="84" ht="42.75">
      <x:c r="A84" t="s">
        <x:v>1186</x:v>
      </x:c>
      <x:c r="B84" s="56" t="s">
        <x:v>38</x:v>
      </x:c>
      <x:c r="C84" s="13" t="s">
        <x:v>1187</x:v>
      </x:c>
      <x:c r="D84" s="13" t="s">
        <x:v>1188</x:v>
      </x:c>
      <x:c r="E84" s="14">
        <x:v>10</x:v>
      </x:c>
      <x:c r="F84" s="14" t="s">
        <x:v>1189</x:v>
      </x:c>
      <x:c r="G84" s="148" t="str">
        <x:f t="shared" si="7"/>
        <x:v>10. Disponible nativo, completo, probado y en uso</x:v>
      </x:c>
      <x:c r="H84" s="17"/>
      <x:c r="I84" s="17" t="s">
        <x:v>1190</x:v>
      </x:c>
    </x:row>
    <x:row r="85" ht="12" customHeight="1">
      <x:c r="A85" t="s">
        <x:v>1186</x:v>
      </x:c>
      <x:c r="B85" s="56"/>
      <x:c r="E85" s="14">
        <x:v>9</x:v>
      </x:c>
      <x:c r="F85" s="16" t="s">
        <x:v>1191</x:v>
      </x:c>
      <x:c r="G85" s="148" t="str">
        <x:f t="shared" si="7"/>
        <x:v>9. Nativo y completo, con configuración menor</x:v>
      </x:c>
      <x:c r="H85" s="15"/>
      <x:c r="I85" s="15"/>
    </x:row>
    <x:row r="86" ht="12" customHeight="1">
      <x:c r="A86" t="s">
        <x:v>1186</x:v>
      </x:c>
      <x:c r="B86" s="56"/>
      <x:c r="E86" s="14">
        <x:v>8</x:v>
      </x:c>
      <x:c r="F86" s="16" t="s">
        <x:v>1192</x:v>
      </x:c>
      <x:c r="G86" s="148" t="str">
        <x:f t="shared" si="7"/>
        <x:v>8. Nativo, cumple el objetivo principal</x:v>
      </x:c>
      <x:c r="H86" s="15"/>
    </x:row>
    <x:row r="87" ht="12" customHeight="1">
      <x:c r="A87" t="s">
        <x:v>1186</x:v>
      </x:c>
      <x:c r="B87" s="56"/>
      <x:c r="E87" s="14">
        <x:v>7</x:v>
      </x:c>
      <x:c r="F87" s="16" t="s">
        <x:v>1193</x:v>
      </x:c>
      <x:c r="G87" s="148" t="str">
        <x:f t="shared" si="7"/>
        <x:v>7. Nativo, pero con limitaciones</x:v>
      </x:c>
      <x:c r="H87" s="15"/>
    </x:row>
    <x:row r="88" ht="12" customHeight="1">
      <x:c r="A88" t="s">
        <x:v>1186</x:v>
      </x:c>
      <x:c r="B88" s="56"/>
      <x:c r="E88" s="14">
        <x:v>6</x:v>
      </x:c>
      <x:c r="F88" s="16" t="s">
        <x:v>1194</x:v>
      </x:c>
      <x:c r="G88" s="148" t="str">
        <x:f t="shared" si="7"/>
        <x:v>6. Requiere configuración relevante</x:v>
      </x:c>
      <x:c r="H88" s="15"/>
    </x:row>
    <x:row r="89" ht="12" customHeight="1">
      <x:c r="A89" t="s">
        <x:v>1186</x:v>
      </x:c>
      <x:c r="B89" s="56"/>
      <x:c r="E89" s="14">
        <x:v>5</x:v>
      </x:c>
      <x:c r="F89" s="16" t="s">
        <x:v>1195</x:v>
      </x:c>
      <x:c r="G89" s="148" t="str">
        <x:f t="shared" si="7"/>
        <x:v>5. Requiere desarrollo menor</x:v>
      </x:c>
      <x:c r="H89" s="15"/>
    </x:row>
    <x:row r="90" ht="12" customHeight="1">
      <x:c r="A90" t="s">
        <x:v>1186</x:v>
      </x:c>
      <x:c r="B90" s="56"/>
      <x:c r="E90" s="14">
        <x:v>4</x:v>
      </x:c>
      <x:c r="F90" s="16" t="s">
        <x:v>1196</x:v>
      </x:c>
      <x:c r="G90" s="148" t="str">
        <x:f t="shared" si="7"/>
        <x:v>4. Requiere desarrollo moderado</x:v>
      </x:c>
      <x:c r="H90" s="15"/>
    </x:row>
    <x:row r="91" ht="12" customHeight="1">
      <x:c r="A91" t="s">
        <x:v>1186</x:v>
      </x:c>
      <x:c r="B91" s="56"/>
      <x:c r="E91" s="14">
        <x:v>3</x:v>
      </x:c>
      <x:c r="F91" s="16" t="s">
        <x:v>1197</x:v>
      </x:c>
      <x:c r="G91" s="148" t="str">
        <x:f t="shared" si="7"/>
        <x:v>3. Solo mediante App o módulo adicional</x:v>
      </x:c>
      <x:c r="H91" s="15"/>
    </x:row>
    <x:row r="92" ht="12" customHeight="1">
      <x:c r="A92" t="s">
        <x:v>1186</x:v>
      </x:c>
      <x:c r="B92" s="56"/>
      <x:c r="E92" s="14">
        <x:v>2</x:v>
      </x:c>
      <x:c r="F92" s="16" t="s">
        <x:v>1198</x:v>
      </x:c>
      <x:c r="G92" s="148" t="str">
        <x:f t="shared" si="7"/>
        <x:v>2. Solo mediante integración compleja</x:v>
      </x:c>
      <x:c r="H92" s="15"/>
    </x:row>
    <x:row r="93" ht="12" customHeight="1">
      <x:c r="A93" t="s">
        <x:v>1186</x:v>
      </x:c>
      <x:c r="B93" s="56"/>
      <x:c r="E93" s="14">
        <x:v>1</x:v>
      </x:c>
      <x:c r="F93" s="16" t="s">
        <x:v>1199</x:v>
      </x:c>
      <x:c r="G93" s="148" t="str">
        <x:f t="shared" si="7"/>
        <x:v>1. Teóricamente posible, no probado</x:v>
      </x:c>
      <x:c r="H93" s="15"/>
    </x:row>
    <x:row r="94" ht="12" customHeight="1">
      <x:c r="A94" t="s">
        <x:v>1186</x:v>
      </x:c>
      <x:c r="B94" s="56"/>
      <x:c r="E94" s="14">
        <x:v>0</x:v>
      </x:c>
      <x:c r="F94" s="16" t="s">
        <x:v>902</x:v>
      </x:c>
      <x:c r="G94" s="148" t="str">
        <x:f t="shared" si="7"/>
        <x:v>0. No disponible</x:v>
      </x:c>
      <x:c r="H94" s="15"/>
    </x:row>
    <x:row r="95" ht="11.100000381469727" customHeight="1">
      <x:c r="B95" s="56"/>
      <x:c r="G95" s="17" t="str">
        <x:f t="shared" si="7"/>
        <x:v>. </x:v>
      </x:c>
    </x:row>
    <x:row r="96" ht="12">
      <x:c r="A96" s="4" t="s">
        <x:v>1200</x:v>
      </x:c>
      <x:c r="B96" s="56" t="s">
        <x:v>1201</x:v>
      </x:c>
      <x:c r="C96" t="s">
        <x:v>1202</x:v>
      </x:c>
      <x:c r="D96" t="s">
        <x:v>1203</x:v>
      </x:c>
      <x:c r="E96" s="14">
        <x:v>10</x:v>
      </x:c>
      <x:c r="F96" s="14" t="str">
        <x:f>"Main user domina software en "&amp;J96&amp;" "&amp;L96</x:f>
        <x:v>Main user domina software en 2 meses</x:v>
      </x:c>
      <x:c r="G96" s="148" t="str">
        <x:f t="shared" si="7"/>
        <x:v>10. Main user domina software en 2 meses</x:v>
      </x:c>
      <x:c r="H96" s="17"/>
      <x:c r="J96" s="17">
        <x:v>2</x:v>
      </x:c>
      <x:c r="K96" s="17"/>
      <x:c r="L96" s="17" t="s">
        <x:v>1204</x:v>
      </x:c>
    </x:row>
    <x:row r="97" ht="12">
      <x:c r="A97" s="4" t="s">
        <x:v>1200</x:v>
      </x:c>
      <x:c r="B97" s="56"/>
      <x:c r="E97" s="14">
        <x:v>9</x:v>
      </x:c>
      <x:c r="F97" s="14" t="str">
        <x:f t="shared" ref="F97:F106" si="8">"Main user domina software en "&amp;J97&amp;" "&amp;L97</x:f>
        <x:v>Main user domina software en 2.5 meses</x:v>
      </x:c>
      <x:c r="G97" s="148" t="str">
        <x:f t="shared" si="7"/>
        <x:v>9. Main user domina software en 2.5 meses</x:v>
      </x:c>
      <x:c r="H97" s="17"/>
      <x:c r="J97" s="17">
        <x:v>2.5</x:v>
      </x:c>
      <x:c r="K97" s="17"/>
      <x:c r="L97" s="17" t="s">
        <x:v>1204</x:v>
      </x:c>
    </x:row>
    <x:row r="98" ht="12">
      <x:c r="A98" s="4" t="s">
        <x:v>1200</x:v>
      </x:c>
      <x:c r="B98" s="56"/>
      <x:c r="E98" s="14">
        <x:v>8</x:v>
      </x:c>
      <x:c r="F98" s="14" t="str">
        <x:f t="shared" si="8"/>
        <x:v>Main user domina software en 3 meses</x:v>
      </x:c>
      <x:c r="G98" s="148" t="str">
        <x:f t="shared" si="7"/>
        <x:v>8. Main user domina software en 3 meses</x:v>
      </x:c>
      <x:c r="H98" s="17"/>
      <x:c r="J98" s="17">
        <x:v>3</x:v>
      </x:c>
      <x:c r="K98" s="17"/>
      <x:c r="L98" s="17" t="s">
        <x:v>1204</x:v>
      </x:c>
    </x:row>
    <x:row r="99" ht="12">
      <x:c r="A99" s="4" t="s">
        <x:v>1200</x:v>
      </x:c>
      <x:c r="B99" s="56"/>
      <x:c r="E99" s="14">
        <x:v>7</x:v>
      </x:c>
      <x:c r="F99" s="14" t="str">
        <x:f t="shared" si="8"/>
        <x:v>Main user domina software en 4 meses</x:v>
      </x:c>
      <x:c r="G99" s="148" t="str">
        <x:f t="shared" si="7"/>
        <x:v>7. Main user domina software en 4 meses</x:v>
      </x:c>
      <x:c r="H99" s="17"/>
      <x:c r="J99" s="17">
        <x:v>4</x:v>
      </x:c>
      <x:c r="K99" s="17"/>
      <x:c r="L99" s="17" t="s">
        <x:v>1204</x:v>
      </x:c>
    </x:row>
    <x:row r="100" ht="12">
      <x:c r="A100" s="4" t="s">
        <x:v>1200</x:v>
      </x:c>
      <x:c r="B100" s="56"/>
      <x:c r="E100" s="14">
        <x:v>6</x:v>
      </x:c>
      <x:c r="F100" s="14" t="str">
        <x:f t="shared" si="8"/>
        <x:v>Main user domina software en 5 meses</x:v>
      </x:c>
      <x:c r="G100" s="148" t="str">
        <x:f t="shared" si="7"/>
        <x:v>6. Main user domina software en 5 meses</x:v>
      </x:c>
      <x:c r="H100" s="17"/>
      <x:c r="J100" s="17">
        <x:v>5</x:v>
      </x:c>
      <x:c r="K100" s="17"/>
      <x:c r="L100" s="17" t="s">
        <x:v>1204</x:v>
      </x:c>
    </x:row>
    <x:row r="101" ht="12">
      <x:c r="A101" s="4" t="s">
        <x:v>1200</x:v>
      </x:c>
      <x:c r="B101" s="56"/>
      <x:c r="E101" s="14">
        <x:v>5</x:v>
      </x:c>
      <x:c r="F101" s="14" t="str">
        <x:f t="shared" si="8"/>
        <x:v>Main user domina software en 6 meses</x:v>
      </x:c>
      <x:c r="G101" s="148" t="str">
        <x:f t="shared" si="7"/>
        <x:v>5. Main user domina software en 6 meses</x:v>
      </x:c>
      <x:c r="H101" s="17"/>
      <x:c r="J101" s="17">
        <x:v>6</x:v>
      </x:c>
      <x:c r="K101" s="17"/>
      <x:c r="L101" s="17" t="s">
        <x:v>1204</x:v>
      </x:c>
    </x:row>
    <x:row r="102" ht="12">
      <x:c r="A102" s="4" t="s">
        <x:v>1200</x:v>
      </x:c>
      <x:c r="B102" s="56"/>
      <x:c r="E102" s="14">
        <x:v>4</x:v>
      </x:c>
      <x:c r="F102" s="14" t="str">
        <x:f t="shared" si="8"/>
        <x:v>Main user domina software en 7 meses</x:v>
      </x:c>
      <x:c r="G102" s="148" t="str">
        <x:f t="shared" si="7"/>
        <x:v>4. Main user domina software en 7 meses</x:v>
      </x:c>
      <x:c r="H102" s="17"/>
      <x:c r="J102" s="17">
        <x:v>7</x:v>
      </x:c>
      <x:c r="K102" s="17"/>
      <x:c r="L102" s="17" t="s">
        <x:v>1204</x:v>
      </x:c>
    </x:row>
    <x:row r="103" ht="12">
      <x:c r="A103" s="4" t="s">
        <x:v>1200</x:v>
      </x:c>
      <x:c r="B103" s="56"/>
      <x:c r="E103" s="14">
        <x:v>3</x:v>
      </x:c>
      <x:c r="F103" s="14" t="str">
        <x:f t="shared" si="8"/>
        <x:v>Main user domina software en 9 meses</x:v>
      </x:c>
      <x:c r="G103" s="148" t="str">
        <x:f t="shared" si="7"/>
        <x:v>3. Main user domina software en 9 meses</x:v>
      </x:c>
      <x:c r="H103" s="17"/>
      <x:c r="J103" s="17">
        <x:v>9</x:v>
      </x:c>
      <x:c r="K103" s="17"/>
      <x:c r="L103" s="17" t="s">
        <x:v>1204</x:v>
      </x:c>
    </x:row>
    <x:row r="104" ht="12">
      <x:c r="A104" s="4" t="s">
        <x:v>1200</x:v>
      </x:c>
      <x:c r="B104" s="56"/>
      <x:c r="E104" s="14">
        <x:v>2</x:v>
      </x:c>
      <x:c r="F104" s="14" t="str">
        <x:f t="shared" si="8"/>
        <x:v>Main user domina software en 10 meses</x:v>
      </x:c>
      <x:c r="G104" s="148" t="str">
        <x:f t="shared" si="7"/>
        <x:v>2. Main user domina software en 10 meses</x:v>
      </x:c>
      <x:c r="H104" s="17"/>
      <x:c r="J104" s="17">
        <x:v>10</x:v>
      </x:c>
      <x:c r="K104" s="17"/>
      <x:c r="L104" s="17" t="s">
        <x:v>1204</x:v>
      </x:c>
    </x:row>
    <x:row r="105" ht="12">
      <x:c r="A105" s="4" t="s">
        <x:v>1200</x:v>
      </x:c>
      <x:c r="B105" s="56"/>
      <x:c r="E105" s="14">
        <x:v>1</x:v>
      </x:c>
      <x:c r="F105" s="14" t="str">
        <x:f t="shared" si="8"/>
        <x:v>Main user domina software en 11 meses</x:v>
      </x:c>
      <x:c r="G105" s="148" t="str">
        <x:f t="shared" si="7"/>
        <x:v>1. Main user domina software en 11 meses</x:v>
      </x:c>
      <x:c r="H105" s="17"/>
      <x:c r="J105" s="17">
        <x:v>11</x:v>
      </x:c>
      <x:c r="K105" s="17"/>
      <x:c r="L105" s="17" t="s">
        <x:v>1204</x:v>
      </x:c>
    </x:row>
    <x:row r="106" ht="12">
      <x:c r="A106" s="4" t="s">
        <x:v>1200</x:v>
      </x:c>
      <x:c r="B106" s="56"/>
      <x:c r="E106" s="14">
        <x:v>0</x:v>
      </x:c>
      <x:c r="F106" s="16" t="str">
        <x:f t="shared" si="8"/>
        <x:v>Main user domina software en 12 o más meses</x:v>
      </x:c>
      <x:c r="G106" s="148" t="str">
        <x:f t="shared" si="7"/>
        <x:v>0. Main user domina software en 12 o más meses</x:v>
      </x:c>
      <x:c r="H106" s="15"/>
      <x:c r="J106" s="4">
        <x:v>12</x:v>
      </x:c>
      <x:c r="K106" s="4"/>
      <x:c r="L106" t="s">
        <x:v>1205</x:v>
      </x:c>
    </x:row>
    <x:row r="107" ht="12">
      <x:c r="B107" s="56"/>
      <x:c r="G107" s="17" t="str">
        <x:f t="shared" si="7"/>
        <x:v>. </x:v>
      </x:c>
    </x:row>
    <x:row r="108" ht="23.25">
      <x:c r="A108" t="s">
        <x:v>996</x:v>
      </x:c>
      <x:c r="B108" s="56" t="s">
        <x:v>102</x:v>
      </x:c>
      <x:c r="C108" s="13" t="s">
        <x:v>1206</x:v>
      </x:c>
      <x:c r="D108" s="13" t="s">
        <x:v>1207</x:v>
      </x:c>
      <x:c r="E108" s="14">
        <x:v>10</x:v>
      </x:c>
      <x:c r="F108" s="14" t="s">
        <x:v>1208</x:v>
      </x:c>
      <x:c r="G108" s="148" t="str">
        <x:f t="shared" si="7"/>
        <x:v>10. Roadmap público, visión clara ≥36 meses. Integración nativa con IA/nube y comunidad activa de users</x:v>
      </x:c>
      <x:c r="H108" s="315" t="s">
        <x:v>1209</x:v>
      </x:c>
      <x:c r="I108" s="60" t="s">
        <x:v>1210</x:v>
      </x:c>
      <x:c r="J108">
        <x:v>36</x:v>
      </x:c>
      <x:c r="K108" t="s">
        <x:v>105</x:v>
      </x:c>
    </x:row>
    <x:row r="109" ht="12" customHeight="1">
      <x:c r="A109" t="s">
        <x:v>996</x:v>
      </x:c>
      <x:c r="B109" s="55"/>
      <x:c r="E109" s="14">
        <x:v>9</x:v>
      </x:c>
      <x:c r="F109" s="16" t="s">
        <x:v>1211</x:v>
      </x:c>
      <x:c r="G109" s="148" t="str">
        <x:f t="shared" si="7"/>
        <x:v>9. Roadmap claro, visión 30-35 meses</x:v>
      </x:c>
      <x:c r="H109" s="315"/>
      <x:c r="J109">
        <x:v>30</x:v>
      </x:c>
      <x:c r="K109" t="s">
        <x:v>1212</x:v>
      </x:c>
    </x:row>
    <x:row r="110" ht="12">
      <x:c r="A110" t="s">
        <x:v>996</x:v>
      </x:c>
      <x:c r="B110" s="56"/>
      <x:c r="E110" s="14">
        <x:v>8</x:v>
      </x:c>
      <x:c r="F110" s="16" t="s">
        <x:v>1213</x:v>
      </x:c>
      <x:c r="G110" s="148" t="str">
        <x:f t="shared" si="7"/>
        <x:v>8. Roadmap definido, visión 24-29 meses</x:v>
      </x:c>
      <x:c r="H110" s="315" t="s">
        <x:v>1214</x:v>
      </x:c>
      <x:c r="J110">
        <x:v>24</x:v>
      </x:c>
      <x:c r="K110" t="s">
        <x:v>1215</x:v>
      </x:c>
    </x:row>
    <x:row r="111" ht="12" customHeight="1">
      <x:c r="A111" t="s">
        <x:v>996</x:v>
      </x:c>
      <x:c r="B111" s="56"/>
      <x:c r="E111" s="14">
        <x:v>7</x:v>
      </x:c>
      <x:c r="F111" s="16" t="s">
        <x:v>1216</x:v>
      </x:c>
      <x:c r="G111" s="148" t="str">
        <x:f t="shared" si="7"/>
        <x:v>7. Roadmap claro pero poco público, visión 18-23 meses</x:v>
      </x:c>
      <x:c r="H111" s="315"/>
      <x:c r="J111">
        <x:v>18</x:v>
      </x:c>
      <x:c r="K111" t="s">
        <x:v>1217</x:v>
      </x:c>
    </x:row>
    <x:row r="112" ht="12">
      <x:c r="A112" t="s">
        <x:v>996</x:v>
      </x:c>
      <x:c r="B112" s="56"/>
      <x:c r="E112" s="14">
        <x:v>6</x:v>
      </x:c>
      <x:c r="F112" s="16" t="s">
        <x:v>1218</x:v>
      </x:c>
      <x:c r="G112" s="148" t="str">
        <x:f t="shared" si="7"/>
        <x:v>6. Roadmap genérico, parcial/ verificable, visión 12-17 meses</x:v>
      </x:c>
      <x:c r="H112" s="315" t="s">
        <x:v>1219</x:v>
      </x:c>
      <x:c r="J112">
        <x:v>12</x:v>
      </x:c>
      <x:c r="K112" t="s">
        <x:v>1220</x:v>
      </x:c>
    </x:row>
    <x:row r="113" ht="12" customHeight="1">
      <x:c r="A113" t="s">
        <x:v>996</x:v>
      </x:c>
      <x:c r="B113" s="56"/>
      <x:c r="E113" s="14">
        <x:v>5</x:v>
      </x:c>
      <x:c r="F113" s="14" t="s">
        <x:v>1221</x:v>
      </x:c>
      <x:c r="G113" s="148" t="str">
        <x:f t="shared" si="7"/>
        <x:v>5. Roadmap declarativo sin fechas</x:v>
      </x:c>
      <x:c r="H113" s="315"/>
      <x:c r="J113">
        <x:v>10</x:v>
      </x:c>
      <x:c r="K113" t="s">
        <x:v>1222</x:v>
      </x:c>
    </x:row>
    <x:row r="114" ht="12" customHeight="1">
      <x:c r="A114" t="s">
        <x:v>996</x:v>
      </x:c>
      <x:c r="B114" s="56"/>
      <x:c r="E114" s="14">
        <x:v>4</x:v>
      </x:c>
      <x:c r="F114" s="14" t="s">
        <x:v>1223</x:v>
      </x:c>
      <x:c r="G114" s="148" t="str">
        <x:f t="shared" si="7"/>
        <x:v>4. Evolución reactiva</x:v>
      </x:c>
      <x:c r="H114" s="315" t="s">
        <x:v>1224</x:v>
      </x:c>
      <x:c r="J114">
        <x:v>8</x:v>
      </x:c>
      <x:c r="K114" t="s">
        <x:v>1225</x:v>
      </x:c>
    </x:row>
    <x:row r="115" ht="12" customHeight="1">
      <x:c r="A115" t="s">
        <x:v>996</x:v>
      </x:c>
      <x:c r="B115" s="56"/>
      <x:c r="E115" s="14">
        <x:v>3</x:v>
      </x:c>
      <x:c r="F115" s="14" t="s">
        <x:v>1226</x:v>
      </x:c>
      <x:c r="G115" s="148" t="str">
        <x:f t="shared" si="7"/>
        <x:v>3. Dependiente de desarrollos a medida</x:v>
      </x:c>
      <x:c r="H115" s="315"/>
      <x:c r="J115">
        <x:v>6</x:v>
      </x:c>
      <x:c r="K115" t="s">
        <x:v>1227</x:v>
      </x:c>
    </x:row>
    <x:row r="116" ht="12" customHeight="1">
      <x:c r="A116" t="s">
        <x:v>996</x:v>
      </x:c>
      <x:c r="B116" s="56"/>
      <x:c r="E116" s="14">
        <x:v>2</x:v>
      </x:c>
      <x:c r="F116" s="14" t="s">
        <x:v>1228</x:v>
      </x:c>
      <x:c r="G116" s="148" t="str">
        <x:f t="shared" si="7"/>
        <x:v>2. Evolución incierta</x:v>
      </x:c>
      <x:c r="H116" s="315" t="s">
        <x:v>1229</x:v>
      </x:c>
      <x:c r="J116">
        <x:v>4</x:v>
      </x:c>
      <x:c r="K116" t="s">
        <x:v>1230</x:v>
      </x:c>
    </x:row>
    <x:row r="117" ht="12" customHeight="1">
      <x:c r="A117" t="s">
        <x:v>996</x:v>
      </x:c>
      <x:c r="B117" s="56"/>
      <x:c r="E117" s="14">
        <x:v>1</x:v>
      </x:c>
      <x:c r="F117" s="14" t="s">
        <x:v>1231</x:v>
      </x:c>
      <x:c r="G117" s="148" t="str">
        <x:f t="shared" si="7"/>
        <x:v>1. Producto estable sin evolución clara</x:v>
      </x:c>
      <x:c r="H117" s="315"/>
      <x:c r="J117">
        <x:v>3</x:v>
      </x:c>
      <x:c r="K117" t="s">
        <x:v>1232</x:v>
      </x:c>
    </x:row>
    <x:row r="118" ht="34.5">
      <x:c r="A118" t="s">
        <x:v>996</x:v>
      </x:c>
      <x:c r="B118" s="56"/>
      <x:c r="E118" s="14">
        <x:v>0</x:v>
      </x:c>
      <x:c r="F118" s="14" t="s">
        <x:v>1233</x:v>
      </x:c>
      <x:c r="G118" s="148" t="str">
        <x:f t="shared" si="7"/>
        <x:v>0. Sin roadmap</x:v>
      </x:c>
      <x:c r="H118" s="59" t="s">
        <x:v>1234</x:v>
      </x:c>
      <x:c r="J118">
        <x:v>2</x:v>
      </x:c>
      <x:c r="K118" t="s">
        <x:v>1233</x:v>
      </x:c>
    </x:row>
    <x:row r="119" ht="11.100000381469727" customHeight="1">
      <x:c r="B119" s="56"/>
      <x:c r="G119" s="17" t="str">
        <x:f t="shared" si="7"/>
        <x:v>. </x:v>
      </x:c>
      <x:c r="J119">
        <x:v>0</x:v>
      </x:c>
    </x:row>
    <x:row r="120">
      <x:c r="A120" s="4" t="s">
        <x:v>872</x:v>
      </x:c>
      <x:c r="B120" s="56" t="s">
        <x:v>1235</x:v>
      </x:c>
      <x:c r="E120" s="17">
        <x:v>10</x:v>
      </x:c>
      <x:c r="F120" s="4" t="s">
        <x:v>936</x:v>
      </x:c>
      <x:c r="G120" s="148" t="str">
        <x:f t="shared" si="7"/>
        <x:v>10. No</x:v>
      </x:c>
    </x:row>
    <x:row r="121">
      <x:c r="A121" s="4" t="s">
        <x:v>872</x:v>
      </x:c>
      <x:c r="B121" s="56"/>
      <x:c r="E121" s="17">
        <x:v>5</x:v>
      </x:c>
      <x:c r="F121" s="4" t="s">
        <x:v>37</x:v>
      </x:c>
      <x:c r="G121" s="148" t="str">
        <x:f t="shared" si="7"/>
        <x:v>5. Sí</x:v>
      </x:c>
    </x:row>
    <x:row r="122">
      <x:c r="B122" s="56"/>
      <x:c r="G122" s="17" t="str">
        <x:f t="shared" si="7"/>
        <x:v>. </x:v>
      </x:c>
    </x:row>
    <x:row r="123" ht="34.5">
      <x:c r="A123" s="4" t="s">
        <x:v>1236</x:v>
      </x:c>
      <x:c r="B123" s="56" t="s">
        <x:v>113</x:v>
      </x:c>
      <x:c r="C123" t="s">
        <x:v>111</x:v>
      </x:c>
      <x:c r="E123" s="61">
        <x:v>10</x:v>
      </x:c>
      <x:c r="F123" s="191" t="s">
        <x:v>1237</x:v>
      </x:c>
      <x:c r="G123" s="148" t="str">
        <x:f t="shared" si="7"/>
        <x:v>10. Evolución Estratégica</x:v>
      </x:c>
      <x:c r="H123" s="58" t="s">
        <x:v>1238</x:v>
      </x:c>
      <x:c r="I123" s="60" t="s">
        <x:v>1239</x:v>
      </x:c>
    </x:row>
    <x:row r="124" ht="34.5">
      <x:c r="B124" s="56"/>
      <x:c r="E124" s="61">
        <x:v>8</x:v>
      </x:c>
      <x:c r="F124" s="191" t="s">
        <x:v>1240</x:v>
      </x:c>
      <x:c r="G124" s="148" t="str">
        <x:f t="shared" si="7"/>
        <x:v>8. Mejora Continua</x:v>
      </x:c>
      <x:c r="H124" s="58" t="s">
        <x:v>1241</x:v>
      </x:c>
    </x:row>
    <x:row r="125" ht="45.75">
      <x:c r="B125" s="56"/>
      <x:c r="E125" s="61">
        <x:v>6</x:v>
      </x:c>
      <x:c r="F125" s="191" t="s">
        <x:v>1242</x:v>
      </x:c>
      <x:c r="G125" s="148" t="str">
        <x:f t="shared" si="7"/>
        <x:v>6. Mantenimiento Funcional</x:v>
      </x:c>
      <x:c r="H125" s="58" t="s">
        <x:v>1243</x:v>
      </x:c>
    </x:row>
    <x:row r="126" ht="45.75">
      <x:c r="B126" s="56"/>
      <x:c r="E126" s="61">
        <x:v>4</x:v>
      </x:c>
      <x:c r="F126" s="191" t="s">
        <x:v>1244</x:v>
      </x:c>
      <x:c r="G126" s="148" t="str">
        <x:f t="shared" si="7"/>
        <x:v>4. Reactividad por Errores</x:v>
      </x:c>
      <x:c r="H126" s="58" t="s">
        <x:v>1245</x:v>
      </x:c>
    </x:row>
    <x:row r="127" ht="23.25">
      <x:c r="B127" s="56"/>
      <x:c r="E127" s="61">
        <x:v>2</x:v>
      </x:c>
      <x:c r="F127" s="191" t="s">
        <x:v>1246</x:v>
      </x:c>
      <x:c r="G127" s="148" t="str">
        <x:f t="shared" si="7"/>
        <x:v>2. Soporte de Supervivencia</x:v>
      </x:c>
      <x:c r="H127" s="58" t="s">
        <x:v>1247</x:v>
      </x:c>
    </x:row>
    <x:row r="128" ht="33.75">
      <x:c r="B128" s="56"/>
      <x:c r="E128" s="62">
        <x:v>0</x:v>
      </x:c>
      <x:c r="F128" s="192" t="s">
        <x:v>1248</x:v>
      </x:c>
      <x:c r="G128" s="148" t="str">
        <x:f t="shared" si="7"/>
        <x:v>0. Inexistente / Riesgoso</x:v>
      </x:c>
      <x:c r="H128" s="59" t="s">
        <x:v>1249</x:v>
      </x:c>
    </x:row>
    <x:row r="129">
      <x:c r="B129" s="56"/>
      <x:c r="G129" s="17" t="str">
        <x:f t="shared" si="7"/>
        <x:v>. </x:v>
      </x:c>
    </x:row>
    <x:row r="130">
      <x:c r="B130" s="56"/>
      <x:c r="G130" s="17" t="str">
        <x:f t="shared" si="7"/>
        <x:v>. </x:v>
      </x:c>
    </x:row>
    <x:row r="131">
      <x:c r="B131" s="56"/>
      <x:c r="G131" s="17" t="str">
        <x:f t="shared" si="7"/>
        <x:v>. </x:v>
      </x:c>
    </x:row>
    <x:row r="132">
      <x:c r="B132" s="56"/>
      <x:c r="G132" s="17" t="str">
        <x:f t="shared" si="7"/>
        <x:v>. </x:v>
      </x:c>
    </x:row>
    <x:row r="133">
      <x:c r="B133" s="56"/>
      <x:c r="G133" s="17" t="str">
        <x:f t="shared" ref="G133:G196" si="9">E133&amp;". "&amp;F133</x:f>
        <x:v>. </x:v>
      </x:c>
    </x:row>
    <x:row r="134">
      <x:c r="B134" s="56"/>
      <x:c r="G134" s="17" t="str">
        <x:f t="shared" si="9"/>
        <x:v>. </x:v>
      </x:c>
    </x:row>
    <x:row r="135">
      <x:c r="A135" s="4" t="s">
        <x:v>1250</x:v>
      </x:c>
      <x:c r="B135" s="56" t="s">
        <x:v>1251</x:v>
      </x:c>
      <x:c r="G135" s="17" t="str">
        <x:f t="shared" si="9"/>
        <x:v>. </x:v>
      </x:c>
    </x:row>
    <x:row r="136" ht="12">
      <x:c r="B136" s="56"/>
      <x:c r="G136" s="17" t="str">
        <x:f t="shared" si="9"/>
        <x:v>. </x:v>
      </x:c>
    </x:row>
    <x:row r="137" ht="12">
      <x:c r="A137" s="4" t="s">
        <x:v>1252</x:v>
      </x:c>
      <x:c r="B137" s="56" t="s">
        <x:v>217</x:v>
      </x:c>
      <x:c r="C137" t="s">
        <x:v>1253</x:v>
      </x:c>
      <x:c r="D137" t="s">
        <x:v>1254</x:v>
      </x:c>
      <x:c r="E137" s="27">
        <x:v>10</x:v>
      </x:c>
      <x:c r="F137" s="14" t="s">
        <x:v>1255</x:v>
      </x:c>
      <x:c r="G137" s="148" t="str">
        <x:f t="shared" si="9"/>
        <x:v>10. Certificación 100% vigente (emitida o renovada en el último año)</x:v>
      </x:c>
      <x:c r="H137" s="17"/>
      <x:c r="J137" s="17">
        <x:v>2</x:v>
      </x:c>
      <x:c r="K137" s="17"/>
      <x:c r="L137" s="17" t="s">
        <x:v>1204</x:v>
      </x:c>
    </x:row>
    <x:row r="138" ht="12">
      <x:c r="A138" s="4" t="s">
        <x:v>1252</x:v>
      </x:c>
      <x:c r="B138" s="56"/>
      <x:c r="E138" s="27">
        <x:v>9</x:v>
      </x:c>
      <x:c r="F138" s="14" t="s">
        <x:v>1256</x:v>
      </x:c>
      <x:c r="G138" s="148" t="str">
        <x:f t="shared" si="9"/>
        <x:v>9. Certificación parcial vigente (último año)</x:v>
      </x:c>
      <x:c r="H138" s="17"/>
      <x:c r="J138" s="17">
        <x:v>2.5</x:v>
      </x:c>
      <x:c r="K138" s="17"/>
      <x:c r="L138" s="17" t="s">
        <x:v>1204</x:v>
      </x:c>
    </x:row>
    <x:row r="139" ht="12">
      <x:c r="A139" s="4" t="s">
        <x:v>1252</x:v>
      </x:c>
      <x:c r="B139" s="56"/>
      <x:c r="E139" s="27">
        <x:v>8</x:v>
      </x:c>
      <x:c r="F139" s="14" t="s">
        <x:v>1257</x:v>
      </x:c>
      <x:c r="G139" s="148" t="str">
        <x:f t="shared" si="9"/>
        <x:v>8. Certificación 100% vigente (año anterior)</x:v>
      </x:c>
      <x:c r="H139" s="17"/>
      <x:c r="J139" s="17">
        <x:v>3</x:v>
      </x:c>
      <x:c r="K139" s="17"/>
      <x:c r="L139" s="17" t="s">
        <x:v>1204</x:v>
      </x:c>
    </x:row>
    <x:row r="140" ht="12">
      <x:c r="A140" s="4" t="s">
        <x:v>1252</x:v>
      </x:c>
      <x:c r="B140" s="56"/>
      <x:c r="E140" s="27">
        <x:v>7</x:v>
      </x:c>
      <x:c r="F140" s="14" t="s">
        <x:v>1258</x:v>
      </x:c>
      <x:c r="G140" s="148" t="str">
        <x:f t="shared" si="9"/>
        <x:v>7. Certificación parcial vigente (año anterior)</x:v>
      </x:c>
      <x:c r="H140" s="17"/>
      <x:c r="J140" s="17">
        <x:v>4</x:v>
      </x:c>
      <x:c r="K140" s="17"/>
      <x:c r="L140" s="17" t="s">
        <x:v>1204</x:v>
      </x:c>
    </x:row>
    <x:row r="141" ht="12">
      <x:c r="A141" s="4" t="s">
        <x:v>1252</x:v>
      </x:c>
      <x:c r="B141" s="56"/>
      <x:c r="E141" s="27">
        <x:v>6</x:v>
      </x:c>
      <x:c r="F141" s="14" t="s">
        <x:v>1259</x:v>
      </x:c>
      <x:c r="G141" s="148" t="str">
        <x:f t="shared" si="9"/>
        <x:v>6. Certificación 100% con antigüedad ≥ 2 años</x:v>
      </x:c>
      <x:c r="H141" s="17"/>
      <x:c r="J141" s="17">
        <x:v>5</x:v>
      </x:c>
      <x:c r="K141" s="17"/>
      <x:c r="L141" s="17" t="s">
        <x:v>1204</x:v>
      </x:c>
    </x:row>
    <x:row r="142" ht="12">
      <x:c r="A142" s="4" t="s">
        <x:v>1252</x:v>
      </x:c>
      <x:c r="B142" s="56"/>
      <x:c r="E142" s="27">
        <x:v>5</x:v>
      </x:c>
      <x:c r="F142" s="14" t="s">
        <x:v>1260</x:v>
      </x:c>
      <x:c r="G142" s="148" t="str">
        <x:f t="shared" si="9"/>
        <x:v>5. Certificación parcial con antigüedad ≥ 2 años</x:v>
      </x:c>
      <x:c r="H142" s="17"/>
      <x:c r="J142" s="17">
        <x:v>6</x:v>
      </x:c>
      <x:c r="K142" s="17"/>
      <x:c r="L142" s="17" t="s">
        <x:v>1204</x:v>
      </x:c>
    </x:row>
    <x:row r="143" ht="12">
      <x:c r="A143" s="4" t="s">
        <x:v>1252</x:v>
      </x:c>
      <x:c r="B143" s="56"/>
      <x:c r="E143" s="27">
        <x:v>4</x:v>
      </x:c>
      <x:c r="F143" s="16" t="s">
        <x:v>1261</x:v>
      </x:c>
      <x:c r="G143" s="148" t="str">
        <x:f t="shared" si="9"/>
        <x:v>4. Sin certificación, alineación demostrable con evidencia funcional clara</x:v>
      </x:c>
      <x:c r="H143" s="15"/>
      <x:c r="J143" s="17">
        <x:v>7</x:v>
      </x:c>
      <x:c r="K143" s="17"/>
      <x:c r="L143" s="17" t="s">
        <x:v>1204</x:v>
      </x:c>
    </x:row>
    <x:row r="144" ht="12">
      <x:c r="A144" s="4" t="s">
        <x:v>1252</x:v>
      </x:c>
      <x:c r="B144" s="56"/>
      <x:c r="E144" s="27">
        <x:v>3</x:v>
      </x:c>
      <x:c r="F144" s="14" t="s">
        <x:v>1262</x:v>
      </x:c>
      <x:c r="G144" s="148" t="str">
        <x:f t="shared" si="9"/>
        <x:v>3. Declara cumplir la norma, evidencia limitada o indirecta</x:v>
      </x:c>
      <x:c r="H144" s="17"/>
      <x:c r="J144" s="17">
        <x:v>9</x:v>
      </x:c>
      <x:c r="K144" s="17"/>
      <x:c r="L144" s="17" t="s">
        <x:v>1204</x:v>
      </x:c>
    </x:row>
    <x:row r="145" ht="12">
      <x:c r="A145" s="4" t="s">
        <x:v>1252</x:v>
      </x:c>
      <x:c r="B145" s="56"/>
      <x:c r="E145" s="27">
        <x:v>2</x:v>
      </x:c>
      <x:c r="F145" s="14" t="s">
        <x:v>1263</x:v>
      </x:c>
      <x:c r="G145" s="148" t="str">
        <x:f t="shared" si="9"/>
        <x:v>2. Cumple solo principios generales</x:v>
      </x:c>
      <x:c r="H145" s="17"/>
      <x:c r="J145" s="17">
        <x:v>10</x:v>
      </x:c>
      <x:c r="K145" s="17"/>
      <x:c r="L145" s="17" t="s">
        <x:v>1204</x:v>
      </x:c>
    </x:row>
    <x:row r="146" ht="12">
      <x:c r="A146" s="4" t="s">
        <x:v>1252</x:v>
      </x:c>
      <x:c r="B146" s="56"/>
      <x:c r="E146" s="27">
        <x:v>1</x:v>
      </x:c>
      <x:c r="F146" s="14" t="s">
        <x:v>1264</x:v>
      </x:c>
      <x:c r="G146" s="148" t="str">
        <x:f t="shared" si="9"/>
        <x:v>1. Cumplimiento marginal o no verificable</x:v>
      </x:c>
      <x:c r="H146" s="17"/>
      <x:c r="J146" s="17">
        <x:v>11</x:v>
      </x:c>
      <x:c r="K146" s="17"/>
      <x:c r="L146" s="17" t="s">
        <x:v>1204</x:v>
      </x:c>
    </x:row>
    <x:row r="147" ht="12">
      <x:c r="A147" s="4" t="s">
        <x:v>1252</x:v>
      </x:c>
      <x:c r="B147" s="56"/>
      <x:c r="E147" s="27">
        <x:v>0</x:v>
      </x:c>
      <x:c r="F147" s="14" t="s">
        <x:v>1265</x:v>
      </x:c>
      <x:c r="G147" s="148" t="str">
        <x:f t="shared" si="9"/>
        <x:v>0. No aplica / no considerado</x:v>
      </x:c>
      <x:c r="H147" s="17"/>
      <x:c r="J147" s="4">
        <x:v>12</x:v>
      </x:c>
      <x:c r="K147" s="4"/>
      <x:c r="L147" t="s">
        <x:v>1205</x:v>
      </x:c>
    </x:row>
    <x:row r="148" ht="12">
      <x:c r="B148" s="56"/>
      <x:c r="G148" s="17" t="str">
        <x:f t="shared" si="9"/>
        <x:v>. </x:v>
      </x:c>
    </x:row>
    <x:row r="149" ht="21.75">
      <x:c r="A149" s="4" t="s">
        <x:v>1266</x:v>
      </x:c>
      <x:c r="B149" s="56" t="s">
        <x:v>139</x:v>
      </x:c>
      <x:c r="D149" t="s">
        <x:v>1267</x:v>
      </x:c>
      <x:c r="E149" s="17">
        <x:v>10</x:v>
      </x:c>
      <x:c r="F149" s="13" t="s">
        <x:v>1268</x:v>
      </x:c>
      <x:c r="G149" s="148" t="str">
        <x:f t="shared" si="9"/>
        <x:v>10. Uso altamente autónomo. Soporte casi innecesario.</x:v>
      </x:c>
      <x:c r="H149" s="27" t="s">
        <x:v>1269</x:v>
      </x:c>
      <x:c r="I149" s="14" t="s">
        <x:v>1270</x:v>
      </x:c>
    </x:row>
    <x:row r="150" ht="12">
      <x:c r="B150" s="56"/>
      <x:c r="E150" s="17">
        <x:v>9</x:v>
      </x:c>
      <x:c r="F150" s="13" t="s">
        <x:v>1271</x:v>
      </x:c>
      <x:c r="G150" s="148" t="str">
        <x:f t="shared" si="9"/>
        <x:v>9. Interfaz clara, procesos guiados. Uso casi autónomo</x:v>
      </x:c>
    </x:row>
    <x:row r="151" ht="21.75">
      <x:c r="B151" s="56"/>
      <x:c r="E151" s="17">
        <x:v>8</x:v>
      </x:c>
      <x:c r="F151" s="13" t="s">
        <x:v>1272</x:v>
      </x:c>
      <x:c r="G151" s="148" t="str">
        <x:f t="shared" si="9"/>
        <x:v>8. Uso mayoritariamente autónomo. El soporte es puntual y excepcional.</x:v>
      </x:c>
      <x:c r="H151" s="27" t="s">
        <x:v>1273</x:v>
      </x:c>
      <x:c r="I151" s="14" t="s">
        <x:v>1272</x:v>
      </x:c>
    </x:row>
    <x:row r="152" ht="12">
      <x:c r="B152" s="56"/>
      <x:c r="E152" s="17">
        <x:v>7</x:v>
      </x:c>
      <x:c r="F152" s="13" t="s">
        <x:v>1274</x:v>
      </x:c>
      <x:c r="G152" s="148" t="str">
        <x:f t="shared" si="9"/>
        <x:v>7. Uso moderadamente autónomo</x:v>
      </x:c>
    </x:row>
    <x:row r="153" ht="21.75">
      <x:c r="B153" s="56"/>
      <x:c r="E153" s="17">
        <x:v>6</x:v>
      </x:c>
      <x:c r="F153" s="13" t="s">
        <x:v>1275</x:v>
      </x:c>
      <x:c r="G153" s="148" t="str">
        <x:f t="shared" si="9"/>
        <x:v>6. Soporte ocasional. Los usuarios operan lo básico, pero procesos clave requieren ayuda.</x:v>
      </x:c>
      <x:c r="H153" s="27" t="s">
        <x:v>1276</x:v>
      </x:c>
      <x:c r="I153" s="14" t="s">
        <x:v>1275</x:v>
      </x:c>
    </x:row>
    <x:row r="154" ht="12">
      <x:c r="B154" s="56"/>
      <x:c r="E154" s="17">
        <x:v>5</x:v>
      </x:c>
      <x:c r="F154" s="13"/>
      <x:c r="G154" s="148" t="str">
        <x:f t="shared" si="9"/>
        <x:v>5. </x:v>
      </x:c>
    </x:row>
    <x:row r="155" ht="23.25">
      <x:c r="B155" s="56"/>
      <x:c r="E155" s="17">
        <x:v>4</x:v>
      </x:c>
      <x:c r="F155" s="13" t="s">
        <x:v>1277</x:v>
      </x:c>
      <x:c r="G155" s="148" t="str">
        <x:f t="shared" si="9"/>
        <x:v>4. Requiere soporte regular para procesos comunes. La herramienta es potente pero compleja.</x:v>
      </x:c>
      <x:c r="H155" s="27" t="s">
        <x:v>1278</x:v>
      </x:c>
      <x:c r="I155" s="14" t="s">
        <x:v>1277</x:v>
      </x:c>
    </x:row>
    <x:row r="156" ht="12">
      <x:c r="B156" s="56"/>
      <x:c r="E156" s="17">
        <x:v>3</x:v>
      </x:c>
      <x:c r="F156" s="13"/>
      <x:c r="G156" s="148" t="str">
        <x:f t="shared" si="9"/>
        <x:v>3. </x:v>
      </x:c>
    </x:row>
    <x:row r="157" ht="23.25">
      <x:c r="B157" s="56"/>
      <x:c r="E157" s="17">
        <x:v>2</x:v>
      </x:c>
      <x:c r="F157" s="13" t="s">
        <x:v>1279</x:v>
      </x:c>
      <x:c r="G157" s="148" t="str">
        <x:f t="shared" si="9"/>
        <x:v>2. Uso altamente dependiente del soporte. Los usuarios requieren ayuda frecuente incluso para tareas básicas.</x:v>
      </x:c>
      <x:c r="H157" s="27" t="s">
        <x:v>1280</x:v>
      </x:c>
      <x:c r="I157" s="14" t="s">
        <x:v>1279</x:v>
      </x:c>
    </x:row>
    <x:row r="158">
      <x:c r="B158" s="56"/>
      <x:c r="E158" s="17">
        <x:v>1</x:v>
      </x:c>
      <x:c r="G158" s="148" t="str">
        <x:f t="shared" si="9"/>
        <x:v>1. </x:v>
      </x:c>
    </x:row>
    <x:row r="159">
      <x:c r="B159" s="56"/>
      <x:c r="E159" s="17"/>
      <x:c r="G159" s="17" t="str">
        <x:f t="shared" si="9"/>
        <x:v>. </x:v>
      </x:c>
    </x:row>
    <x:row r="160">
      <x:c r="A160" s="4" t="s">
        <x:v>1281</x:v>
      </x:c>
      <x:c r="B160" s="56" t="s">
        <x:v>155</x:v>
      </x:c>
      <x:c r="E160" s="17">
        <x:v>10</x:v>
      </x:c>
      <x:c r="F160" s="4" t="s">
        <x:v>37</x:v>
      </x:c>
      <x:c r="G160" s="148" t="str">
        <x:f t="shared" si="9"/>
        <x:v>10. Sí</x:v>
      </x:c>
    </x:row>
    <x:row r="161">
      <x:c r="A161" s="4" t="s">
        <x:v>1281</x:v>
      </x:c>
      <x:c r="B161" s="56"/>
      <x:c r="E161" s="17">
        <x:v>5</x:v>
      </x:c>
      <x:c r="F161" s="4" t="s">
        <x:v>936</x:v>
      </x:c>
      <x:c r="G161" s="148" t="str">
        <x:f t="shared" si="9"/>
        <x:v>5. No</x:v>
      </x:c>
    </x:row>
    <x:row r="162" ht="12">
      <x:c r="B162" s="56"/>
      <x:c r="G162" s="17" t="str">
        <x:f t="shared" si="9"/>
        <x:v>. </x:v>
      </x:c>
    </x:row>
    <x:row r="163" ht="51.599998474121094" customHeight="1">
      <x:c r="A163" t="s">
        <x:v>1282</x:v>
      </x:c>
      <x:c r="B163" s="56" t="s">
        <x:v>52</x:v>
      </x:c>
      <x:c r="C163" s="13" t="s">
        <x:v>1283</x:v>
      </x:c>
      <x:c r="D163" s="13" t="s">
        <x:v>1284</x:v>
      </x:c>
      <x:c r="E163" s="14">
        <x:v>10</x:v>
      </x:c>
      <x:c r="F163" s="14" t="s">
        <x:v>1285</x:v>
      </x:c>
      <x:c r="G163" s="148" t="str">
        <x:f t="shared" si="9"/>
        <x:v>10. Modelo claro, predecible, escalable</x:v>
      </x:c>
      <x:c r="H163" s="17"/>
    </x:row>
    <x:row r="164" ht="12" customHeight="1">
      <x:c r="A164" t="str">
        <x:f>A163</x:f>
        <x:v>V</x:v>
      </x:c>
      <x:c r="B164" s="56"/>
      <x:c r="E164" s="14">
        <x:v>9</x:v>
      </x:c>
      <x:c r="F164" s="14" t="s">
        <x:v>1286</x:v>
      </x:c>
      <x:c r="G164" s="148" t="str">
        <x:f t="shared" si="9"/>
        <x:v>9. Costos claros y transparentes</x:v>
      </x:c>
      <x:c r="H164" s="17"/>
    </x:row>
    <x:row r="165" ht="12" customHeight="1">
      <x:c r="A165" t="str">
        <x:f t="shared" ref="A165:A173" si="10">A164</x:f>
        <x:v>V</x:v>
      </x:c>
      <x:c r="B165" s="56"/>
      <x:c r="E165" s="14">
        <x:v>8</x:v>
      </x:c>
      <x:c r="F165" s="14" t="s">
        <x:v>1287</x:v>
      </x:c>
      <x:c r="G165" s="148" t="str">
        <x:f t="shared" si="9"/>
        <x:v>8. Modelo razonable</x:v>
      </x:c>
      <x:c r="H165" s="17"/>
    </x:row>
    <x:row r="166" ht="12" customHeight="1">
      <x:c r="A166" t="str">
        <x:f t="shared" si="10"/>
        <x:v>V</x:v>
      </x:c>
      <x:c r="B166" s="56"/>
      <x:c r="E166" s="14">
        <x:v>7</x:v>
      </x:c>
      <x:c r="F166" s="14" t="s">
        <x:v>1288</x:v>
      </x:c>
      <x:c r="G166" s="148" t="str">
        <x:f t="shared" si="9"/>
        <x:v>7. Algunos costos adicionales</x:v>
      </x:c>
      <x:c r="H166" s="17"/>
    </x:row>
    <x:row r="167" ht="12" customHeight="1">
      <x:c r="A167" t="str">
        <x:f t="shared" si="10"/>
        <x:v>V</x:v>
      </x:c>
      <x:c r="B167" s="56"/>
      <x:c r="E167" s="14">
        <x:v>6</x:v>
      </x:c>
      <x:c r="F167" s="14" t="s">
        <x:v>1289</x:v>
      </x:c>
      <x:c r="G167" s="148" t="str">
        <x:f t="shared" si="9"/>
        <x:v>6. Modelo complejo</x:v>
      </x:c>
      <x:c r="H167" s="17"/>
    </x:row>
    <x:row r="168" ht="12" customHeight="1">
      <x:c r="A168" t="str">
        <x:f t="shared" si="10"/>
        <x:v>V</x:v>
      </x:c>
      <x:c r="B168" s="56"/>
      <x:c r="E168" s="14">
        <x:v>5</x:v>
      </x:c>
      <x:c r="F168" s="14" t="s">
        <x:v>1290</x:v>
      </x:c>
      <x:c r="G168" s="148" t="str">
        <x:f t="shared" si="9"/>
        <x:v>5. Costos poco claros</x:v>
      </x:c>
      <x:c r="H168" s="17"/>
    </x:row>
    <x:row r="169" ht="12" customHeight="1">
      <x:c r="A169" t="str">
        <x:f t="shared" si="10"/>
        <x:v>V</x:v>
      </x:c>
      <x:c r="B169" s="56"/>
      <x:c r="E169" s="14">
        <x:v>4</x:v>
      </x:c>
      <x:c r="F169" s="14" t="s">
        <x:v>1291</x:v>
      </x:c>
      <x:c r="G169" s="148" t="str">
        <x:f t="shared" si="9"/>
        <x:v>4. Riesgo de sobrecostos</x:v>
      </x:c>
      <x:c r="H169" s="17"/>
    </x:row>
    <x:row r="170" ht="12" customHeight="1">
      <x:c r="A170" t="str">
        <x:f t="shared" si="10"/>
        <x:v>V</x:v>
      </x:c>
      <x:c r="B170" s="56"/>
      <x:c r="E170" s="14">
        <x:v>3</x:v>
      </x:c>
      <x:c r="F170" s="14" t="s">
        <x:v>1292</x:v>
      </x:c>
      <x:c r="G170" s="148" t="str">
        <x:f t="shared" si="9"/>
        <x:v>3. Costos ocultos relevantes</x:v>
      </x:c>
      <x:c r="H170" s="17"/>
    </x:row>
    <x:row r="171" ht="12" customHeight="1">
      <x:c r="A171" t="str">
        <x:f t="shared" si="10"/>
        <x:v>V</x:v>
      </x:c>
      <x:c r="B171" s="56"/>
      <x:c r="E171" s="14">
        <x:v>2</x:v>
      </x:c>
      <x:c r="F171" s="14" t="s">
        <x:v>1293</x:v>
      </x:c>
      <x:c r="G171" s="148" t="str">
        <x:f t="shared" si="9"/>
        <x:v>2. Modelo inestable</x:v>
      </x:c>
      <x:c r="H171" s="17"/>
    </x:row>
    <x:row r="172" ht="12" customHeight="1">
      <x:c r="A172" t="str">
        <x:f t="shared" si="10"/>
        <x:v>V</x:v>
      </x:c>
      <x:c r="B172" s="56"/>
      <x:c r="E172" s="14">
        <x:v>1</x:v>
      </x:c>
      <x:c r="F172" s="14" t="s">
        <x:v>1294</x:v>
      </x:c>
      <x:c r="G172" s="148" t="str">
        <x:f t="shared" si="9"/>
        <x:v>1. Modelo riesgoso</x:v>
      </x:c>
      <x:c r="H172" s="17"/>
    </x:row>
    <x:row r="173" ht="12" customHeight="1">
      <x:c r="A173" t="str">
        <x:f t="shared" si="10"/>
        <x:v>V</x:v>
      </x:c>
      <x:c r="B173" s="56"/>
      <x:c r="E173" s="14">
        <x:v>0</x:v>
      </x:c>
      <x:c r="F173" s="14" t="s">
        <x:v>1295</x:v>
      </x:c>
      <x:c r="G173" s="148" t="str">
        <x:f t="shared" si="9"/>
        <x:v>0. No comparable</x:v>
      </x:c>
      <x:c r="H173" s="17"/>
    </x:row>
    <x:row r="174" ht="12">
      <x:c r="B174" s="56"/>
      <x:c r="G174" s="17" t="str">
        <x:f t="shared" si="9"/>
        <x:v>. </x:v>
      </x:c>
    </x:row>
    <x:row r="175" ht="12">
      <x:c r="A175" s="4" t="s">
        <x:v>1296</x:v>
      </x:c>
      <x:c r="B175" s="55" t="s">
        <x:v>433</x:v>
      </x:c>
      <x:c r="E175" s="14">
        <x:v>10</x:v>
      </x:c>
      <x:c r="F175" s="14" t="s">
        <x:v>1297</x:v>
      </x:c>
      <x:c r="G175" s="148" t="str">
        <x:f t="shared" si="9"/>
        <x:v>10. Suscripción mensual flexible</x:v>
      </x:c>
    </x:row>
    <x:row r="176" ht="12">
      <x:c r="A176" s="4" t="str">
        <x:f>A175</x:f>
        <x:v>VA</x:v>
      </x:c>
      <x:c r="B176" s="56"/>
      <x:c r="E176" s="14">
        <x:v>9</x:v>
      </x:c>
      <x:c r="F176" s="14" t="s">
        <x:v>1298</x:v>
      </x:c>
      <x:c r="G176" s="148" t="str">
        <x:f t="shared" si="9"/>
        <x:v>9. Suscripción trimestral</x:v>
      </x:c>
    </x:row>
    <x:row r="177" ht="12">
      <x:c r="A177" s="4" t="str">
        <x:f t="shared" ref="A177:A181" si="11">A176</x:f>
        <x:v>VA</x:v>
      </x:c>
      <x:c r="B177" s="56"/>
      <x:c r="E177" s="14">
        <x:v>8</x:v>
      </x:c>
      <x:c r="F177" s="14" t="s">
        <x:v>1299</x:v>
      </x:c>
      <x:c r="G177" s="148" t="str">
        <x:f t="shared" si="9"/>
        <x:v>8. Suscripción anual</x:v>
      </x:c>
    </x:row>
    <x:row r="178" ht="12">
      <x:c r="A178" s="4" t="str">
        <x:f t="shared" si="11"/>
        <x:v>VA</x:v>
      </x:c>
      <x:c r="B178" s="56"/>
      <x:c r="E178" s="14">
        <x:v>6</x:v>
      </x:c>
      <x:c r="F178" s="14" t="s">
        <x:v>1300</x:v>
      </x:c>
      <x:c r="G178" s="148" t="str">
        <x:f t="shared" si="9"/>
        <x:v>6. Anual anticipado obligatorio</x:v>
      </x:c>
    </x:row>
    <x:row r="179" ht="12">
      <x:c r="A179" s="4" t="str">
        <x:f t="shared" si="11"/>
        <x:v>VA</x:v>
      </x:c>
      <x:c r="B179" s="56"/>
      <x:c r="E179" s="14">
        <x:v>4</x:v>
      </x:c>
      <x:c r="F179" s="14" t="s">
        <x:v>1301</x:v>
      </x:c>
      <x:c r="G179" s="148" t="str">
        <x:f t="shared" si="9"/>
        <x:v>4. Pago único (perpetuo)</x:v>
      </x:c>
    </x:row>
    <x:row r="180" ht="12">
      <x:c r="A180" s="4" t="str">
        <x:f t="shared" si="11"/>
        <x:v>VA</x:v>
      </x:c>
      <x:c r="B180" s="56"/>
      <x:c r="E180" s="14">
        <x:v>2</x:v>
      </x:c>
      <x:c r="F180" s="14" t="s">
        <x:v>1302</x:v>
      </x:c>
      <x:c r="G180" s="148" t="str">
        <x:f t="shared" si="9"/>
        <x:v>2. Pago único + renovaciones obligatorias</x:v>
      </x:c>
    </x:row>
    <x:row r="181" ht="12">
      <x:c r="A181" s="4" t="str">
        <x:f t="shared" si="11"/>
        <x:v>VA</x:v>
      </x:c>
      <x:c r="B181" s="56"/>
      <x:c r="E181" s="14">
        <x:v>1</x:v>
      </x:c>
      <x:c r="F181" s="14" t="s">
        <x:v>1303</x:v>
      </x:c>
      <x:c r="G181" s="148" t="str">
        <x:f t="shared" si="9"/>
        <x:v>1. Esquema poco claro / condicionado</x:v>
      </x:c>
    </x:row>
    <x:row r="182" ht="12">
      <x:c r="B182" s="56"/>
      <x:c r="G182" s="17" t="str">
        <x:f t="shared" si="9"/>
        <x:v>. </x:v>
      </x:c>
    </x:row>
    <x:row r="183" ht="12">
      <x:c r="A183" s="4" t="s">
        <x:v>1304</x:v>
      </x:c>
      <x:c r="B183" s="55" t="s">
        <x:v>434</x:v>
      </x:c>
      <x:c r="E183" s="14">
        <x:v>10</x:v>
      </x:c>
      <x:c r="F183" s="14" t="s">
        <x:v>1305</x:v>
      </x:c>
      <x:c r="G183" s="148" t="str">
        <x:f t="shared" si="9"/>
        <x:v>10. Alta/baja de usuarios inmediata sin penalidad</x:v>
      </x:c>
    </x:row>
    <x:row r="184" ht="12">
      <x:c r="A184" s="4" t="str">
        <x:f>A183</x:f>
        <x:v>VB</x:v>
      </x:c>
      <x:c r="B184" s="56"/>
      <x:c r="E184" s="14">
        <x:v>9</x:v>
      </x:c>
      <x:c r="F184" s="14" t="s">
        <x:v>1306</x:v>
      </x:c>
      <x:c r="G184" s="148" t="str">
        <x:f t="shared" si="9"/>
        <x:v>9. Ajustes mensuales o trimestrales</x:v>
      </x:c>
    </x:row>
    <x:row r="185" ht="12">
      <x:c r="A185" s="4" t="str">
        <x:f t="shared" ref="A185:A188" si="12">A184</x:f>
        <x:v>VB</x:v>
      </x:c>
      <x:c r="B185" s="56"/>
      <x:c r="E185" s="14">
        <x:v>7</x:v>
      </x:c>
      <x:c r="F185" s="14" t="s">
        <x:v>1307</x:v>
      </x:c>
      <x:c r="G185" s="148" t="str">
        <x:f t="shared" si="9"/>
        <x:v>7. Ajustes anuales</x:v>
      </x:c>
    </x:row>
    <x:row r="186" ht="12">
      <x:c r="A186" s="4" t="str">
        <x:f t="shared" si="12"/>
        <x:v>VB</x:v>
      </x:c>
      <x:c r="B186" s="56"/>
      <x:c r="E186" s="14">
        <x:v>5</x:v>
      </x:c>
      <x:c r="F186" s="14" t="s">
        <x:v>1308</x:v>
      </x:c>
      <x:c r="G186" s="148" t="str">
        <x:f t="shared" si="9"/>
        <x:v>5. Escalabilidad limitada por contrato</x:v>
      </x:c>
    </x:row>
    <x:row r="187" ht="12">
      <x:c r="A187" s="4" t="str">
        <x:f t="shared" si="12"/>
        <x:v>VB</x:v>
      </x:c>
      <x:c r="B187" s="56"/>
      <x:c r="E187" s="14">
        <x:v>3</x:v>
      </x:c>
      <x:c r="F187" s="14" t="s">
        <x:v>1309</x:v>
      </x:c>
      <x:c r="G187" s="148" t="str">
        <x:f t="shared" si="9"/>
        <x:v>3. Escalable solo vía renegociación</x:v>
      </x:c>
    </x:row>
    <x:row r="188" ht="12">
      <x:c r="A188" s="4" t="str">
        <x:f t="shared" si="12"/>
        <x:v>VB</x:v>
      </x:c>
      <x:c r="B188" s="56"/>
      <x:c r="E188" s="14">
        <x:v>1</x:v>
      </x:c>
      <x:c r="F188" s="14" t="s">
        <x:v>1310</x:v>
      </x:c>
      <x:c r="G188" s="148" t="str">
        <x:f t="shared" si="9"/>
        <x:v>1. Licenciamiento rígido</x:v>
      </x:c>
    </x:row>
    <x:row r="189" ht="12">
      <x:c r="B189" s="56"/>
      <x:c r="G189" s="17" t="str">
        <x:f t="shared" si="9"/>
        <x:v>. </x:v>
      </x:c>
    </x:row>
    <x:row r="190" ht="12">
      <x:c r="A190" s="4" t="s">
        <x:v>1311</x:v>
      </x:c>
      <x:c r="B190" s="55" t="s">
        <x:v>435</x:v>
      </x:c>
      <x:c r="E190" s="14">
        <x:v>10</x:v>
      </x:c>
      <x:c r="F190" s="14" t="s">
        <x:v>1312</x:v>
      </x:c>
      <x:c r="G190" s="148" t="str">
        <x:f t="shared" si="9"/>
        <x:v>10. Precio fijo contractual ≥ 3 años</x:v>
      </x:c>
    </x:row>
    <x:row r="191" ht="12">
      <x:c r="A191" s="4" t="s">
        <x:v>1311</x:v>
      </x:c>
      <x:c r="B191" s="56"/>
      <x:c r="E191" s="14">
        <x:v>8</x:v>
      </x:c>
      <x:c r="F191" s="14" t="s">
        <x:v>1313</x:v>
      </x:c>
      <x:c r="G191" s="148" t="str">
        <x:f t="shared" si="9"/>
        <x:v>8. Incrementos máximos definidos</x:v>
      </x:c>
    </x:row>
    <x:row r="192" ht="12">
      <x:c r="A192" s="4" t="s">
        <x:v>1311</x:v>
      </x:c>
      <x:c r="B192" s="56"/>
      <x:c r="E192" s="14">
        <x:v>7</x:v>
      </x:c>
      <x:c r="F192" s="16" t="s">
        <x:v>1314</x:v>
      </x:c>
      <x:c r="G192" s="149" t="str">
        <x:f t="shared" si="9"/>
        <x:v>7. Ajustes por IPC u otro indicador local, internacional. Estándar, público y oficial</x:v>
      </x:c>
    </x:row>
    <x:row r="193" ht="12">
      <x:c r="A193" s="4" t="s">
        <x:v>1311</x:v>
      </x:c>
      <x:c r="B193" s="56"/>
      <x:c r="E193" s="14">
        <x:v>5</x:v>
      </x:c>
      <x:c r="F193" s="14" t="s">
        <x:v>1315</x:v>
      </x:c>
      <x:c r="G193" s="148" t="str">
        <x:f t="shared" si="9"/>
        <x:v>5. Ajuste anual discrecional</x:v>
      </x:c>
    </x:row>
    <x:row r="194" ht="12">
      <x:c r="A194" s="4" t="s">
        <x:v>1311</x:v>
      </x:c>
      <x:c r="B194" s="56"/>
      <x:c r="E194" s="14">
        <x:v>3</x:v>
      </x:c>
      <x:c r="F194" s="14" t="s">
        <x:v>1316</x:v>
      </x:c>
      <x:c r="G194" s="148" t="str">
        <x:f t="shared" si="9"/>
        <x:v>3. Costos variables no controlables</x:v>
      </x:c>
    </x:row>
    <x:row r="195" ht="12">
      <x:c r="A195" s="4" t="s">
        <x:v>1311</x:v>
      </x:c>
      <x:c r="B195" s="56"/>
      <x:c r="E195" s="14">
        <x:v>1</x:v>
      </x:c>
      <x:c r="F195" s="14" t="s">
        <x:v>1317</x:v>
      </x:c>
      <x:c r="G195" s="148" t="str">
        <x:f t="shared" si="9"/>
        <x:v>1. Ajuste de precios no definidos</x:v>
      </x:c>
    </x:row>
    <x:row r="196" ht="12">
      <x:c r="B196" s="56"/>
      <x:c r="G196" s="17" t="str">
        <x:f t="shared" si="9"/>
        <x:v>. </x:v>
      </x:c>
    </x:row>
    <x:row r="197" ht="12">
      <x:c r="A197" s="4" t="s">
        <x:v>1318</x:v>
      </x:c>
      <x:c r="B197" s="55" t="s">
        <x:v>436</x:v>
      </x:c>
      <x:c r="E197" s="14">
        <x:v>10</x:v>
      </x:c>
      <x:c r="F197" s="16" t="s">
        <x:v>1319</x:v>
      </x:c>
      <x:c r="G197" s="148" t="str">
        <x:f t="shared" ref="G197:G253" si="13">E197&amp;". "&amp;F197</x:f>
        <x:v>10. Descuentos por volumen/renovación + moneda local</x:v>
      </x:c>
      <x:c r="H197" t="s">
        <x:v>1320</x:v>
      </x:c>
    </x:row>
    <x:row r="198" ht="12">
      <x:c r="A198" s="4" t="str">
        <x:f>A197</x:f>
        <x:v>VD</x:v>
      </x:c>
      <x:c r="B198" s="56"/>
      <x:c r="E198" s="14">
        <x:v>9</x:v>
      </x:c>
      <x:c r="F198" s="14" t="s">
        <x:v>1321</x:v>
      </x:c>
      <x:c r="G198" s="148" t="str">
        <x:f t="shared" si="13"/>
        <x:v>9. Descuentos por volumen</x:v>
      </x:c>
    </x:row>
    <x:row r="199" ht="12">
      <x:c r="A199" s="4" t="str">
        <x:f t="shared" ref="A199:A202" si="14">A198</x:f>
        <x:v>VD</x:v>
      </x:c>
      <x:c r="B199" s="56"/>
      <x:c r="E199" s="14">
        <x:v>7</x:v>
      </x:c>
      <x:c r="F199" s="14" t="s">
        <x:v>1322</x:v>
      </x:c>
      <x:c r="G199" s="148" t="str">
        <x:f t="shared" si="13"/>
        <x:v>7. Facilidades de pago</x:v>
      </x:c>
    </x:row>
    <x:row r="200" ht="12">
      <x:c r="A200" s="4" t="str">
        <x:f t="shared" si="14"/>
        <x:v>VD</x:v>
      </x:c>
      <x:c r="B200" s="56"/>
      <x:c r="E200" s="14">
        <x:v>5</x:v>
      </x:c>
      <x:c r="F200" s="14" t="s">
        <x:v>1323</x:v>
      </x:c>
      <x:c r="G200" s="148" t="str">
        <x:f t="shared" si="13"/>
        <x:v>5. Pago en USD sin cobertura</x:v>
      </x:c>
    </x:row>
    <x:row r="201" ht="12">
      <x:c r="A201" s="4" t="str">
        <x:f t="shared" si="14"/>
        <x:v>VD</x:v>
      </x:c>
      <x:c r="B201" s="56"/>
      <x:c r="E201" s="14">
        <x:v>3</x:v>
      </x:c>
      <x:c r="F201" s="14" t="s">
        <x:v>1324</x:v>
      </x:c>
      <x:c r="G201" s="148" t="str">
        <x:f t="shared" si="13"/>
        <x:v>3. Penalidades contractuales restrictivas</x:v>
      </x:c>
    </x:row>
    <x:row r="202" ht="12">
      <x:c r="A202" s="4" t="str">
        <x:f t="shared" si="14"/>
        <x:v>VD</x:v>
      </x:c>
      <x:c r="B202" s="56"/>
      <x:c r="E202" s="14">
        <x:v>1</x:v>
      </x:c>
      <x:c r="F202" s="14" t="s">
        <x:v>1325</x:v>
      </x:c>
      <x:c r="G202" s="148" t="str">
        <x:f t="shared" si="13"/>
        <x:v>1. Condiciones desfavorables o poco claras</x:v>
      </x:c>
    </x:row>
    <x:row r="203" ht="12">
      <x:c r="B203" s="56"/>
      <x:c r="G203" s="17" t="str">
        <x:f t="shared" si="13"/>
        <x:v>. </x:v>
      </x:c>
      <x:c r="J203" s="18" t="s">
        <x:v>1326</x:v>
      </x:c>
      <x:c r="K203" s="18" t="s">
        <x:v>808</x:v>
      </x:c>
    </x:row>
    <x:row r="204" s="54" customFormat="1" ht="12">
      <x:c r="A204" s="51" t="s">
        <x:v>1327</x:v>
      </x:c>
      <x:c r="B204" s="56" t="s">
        <x:v>1328</x:v>
      </x:c>
      <x:c r="D204" s="54" t="s">
        <x:v>1329</x:v>
      </x:c>
      <x:c r="E204" s="52">
        <x:v>10</x:v>
      </x:c>
      <x:c r="F204" s="53" t="str">
        <x:f>J204&amp;" "&amp;L204</x:f>
        <x:v>1 mes</x:v>
      </x:c>
      <x:c r="G204" s="148" t="str">
        <x:f t="shared" si="13"/>
        <x:v>10. 1 mes</x:v>
      </x:c>
      <x:c r="H204" s="52"/>
      <x:c r="I204" s="51"/>
      <x:c r="J204" s="54">
        <x:v>1</x:v>
      </x:c>
      <x:c r="L204" s="52" t="s">
        <x:v>105</x:v>
      </x:c>
    </x:row>
    <x:row r="205" s="54" customFormat="1" ht="12">
      <x:c r="A205" s="51" t="s">
        <x:v>1327</x:v>
      </x:c>
      <x:c r="B205" s="56"/>
      <x:c r="E205" s="52">
        <x:v>9</x:v>
      </x:c>
      <x:c r="F205" s="53" t="str">
        <x:f t="shared" ref="F205:F214" si="15">J205&amp;" "&amp;L205</x:f>
        <x:v>1.5 meses</x:v>
      </x:c>
      <x:c r="G205" s="148" t="str">
        <x:f t="shared" si="13"/>
        <x:v>9. 1.5 meses</x:v>
      </x:c>
      <x:c r="H205" s="52"/>
      <x:c r="I205" s="51"/>
      <x:c r="J205" s="54">
        <x:v>1.5</x:v>
      </x:c>
      <x:c r="L205" s="52" t="s">
        <x:v>1204</x:v>
      </x:c>
    </x:row>
    <x:row r="206" s="54" customFormat="1" ht="12">
      <x:c r="A206" s="51" t="s">
        <x:v>1327</x:v>
      </x:c>
      <x:c r="B206" s="56"/>
      <x:c r="E206" s="52">
        <x:v>8</x:v>
      </x:c>
      <x:c r="F206" s="53" t="str">
        <x:f t="shared" si="15"/>
        <x:v>2 meses</x:v>
      </x:c>
      <x:c r="G206" s="148" t="str">
        <x:f t="shared" si="13"/>
        <x:v>8. 2 meses</x:v>
      </x:c>
      <x:c r="H206" s="52"/>
      <x:c r="I206" s="51"/>
      <x:c r="J206" s="54">
        <x:v>2</x:v>
      </x:c>
      <x:c r="L206" s="52" t="s">
        <x:v>1204</x:v>
      </x:c>
    </x:row>
    <x:row r="207" s="54" customFormat="1" ht="12">
      <x:c r="A207" s="51" t="s">
        <x:v>1327</x:v>
      </x:c>
      <x:c r="B207" s="56"/>
      <x:c r="E207" s="52">
        <x:v>7</x:v>
      </x:c>
      <x:c r="F207" s="53" t="str">
        <x:f t="shared" si="15"/>
        <x:v>2.5 meses</x:v>
      </x:c>
      <x:c r="G207" s="148" t="str">
        <x:f t="shared" si="13"/>
        <x:v>7. 2.5 meses</x:v>
      </x:c>
      <x:c r="H207" s="52"/>
      <x:c r="I207" s="51"/>
      <x:c r="J207" s="54">
        <x:v>2.5</x:v>
      </x:c>
      <x:c r="L207" s="52" t="s">
        <x:v>1204</x:v>
      </x:c>
    </x:row>
    <x:row r="208" s="54" customFormat="1" ht="12">
      <x:c r="A208" s="51" t="s">
        <x:v>1327</x:v>
      </x:c>
      <x:c r="B208" s="56"/>
      <x:c r="E208" s="52">
        <x:v>6</x:v>
      </x:c>
      <x:c r="F208" s="53" t="str">
        <x:f t="shared" si="15"/>
        <x:v>3 meses</x:v>
      </x:c>
      <x:c r="G208" s="148" t="str">
        <x:f t="shared" si="13"/>
        <x:v>6. 3 meses</x:v>
      </x:c>
      <x:c r="H208" s="52"/>
      <x:c r="I208" s="51"/>
      <x:c r="J208" s="54">
        <x:v>3</x:v>
      </x:c>
      <x:c r="L208" s="52" t="s">
        <x:v>1204</x:v>
      </x:c>
    </x:row>
    <x:row r="209" s="54" customFormat="1" ht="12">
      <x:c r="A209" s="51" t="s">
        <x:v>1327</x:v>
      </x:c>
      <x:c r="B209" s="56"/>
      <x:c r="E209" s="52">
        <x:v>5</x:v>
      </x:c>
      <x:c r="F209" s="53" t="str">
        <x:f t="shared" si="15"/>
        <x:v>3.5 meses</x:v>
      </x:c>
      <x:c r="G209" s="148" t="str">
        <x:f t="shared" si="13"/>
        <x:v>5. 3.5 meses</x:v>
      </x:c>
      <x:c r="H209" s="52"/>
      <x:c r="I209" s="51"/>
      <x:c r="J209" s="54">
        <x:v>3.5</x:v>
      </x:c>
      <x:c r="L209" s="52" t="s">
        <x:v>1204</x:v>
      </x:c>
    </x:row>
    <x:row r="210" s="54" customFormat="1" ht="12">
      <x:c r="A210" s="51" t="s">
        <x:v>1327</x:v>
      </x:c>
      <x:c r="B210" s="56"/>
      <x:c r="E210" s="52">
        <x:v>4</x:v>
      </x:c>
      <x:c r="F210" s="53" t="str">
        <x:f t="shared" si="15"/>
        <x:v>4 meses</x:v>
      </x:c>
      <x:c r="G210" s="148" t="str">
        <x:f t="shared" si="13"/>
        <x:v>4. 4 meses</x:v>
      </x:c>
      <x:c r="H210" s="52"/>
      <x:c r="I210" s="51"/>
      <x:c r="J210" s="54">
        <x:v>4</x:v>
      </x:c>
      <x:c r="L210" s="52" t="s">
        <x:v>1204</x:v>
      </x:c>
    </x:row>
    <x:row r="211" s="54" customFormat="1" ht="12">
      <x:c r="A211" s="51" t="s">
        <x:v>1327</x:v>
      </x:c>
      <x:c r="B211" s="56"/>
      <x:c r="E211" s="52">
        <x:v>3</x:v>
      </x:c>
      <x:c r="F211" s="53" t="str">
        <x:f t="shared" si="15"/>
        <x:v>4.5 meses</x:v>
      </x:c>
      <x:c r="G211" s="148" t="str">
        <x:f t="shared" si="13"/>
        <x:v>3. 4.5 meses</x:v>
      </x:c>
      <x:c r="H211" s="52"/>
      <x:c r="I211" s="51"/>
      <x:c r="J211" s="54">
        <x:v>4.5</x:v>
      </x:c>
      <x:c r="L211" s="52" t="s">
        <x:v>1204</x:v>
      </x:c>
    </x:row>
    <x:row r="212" s="54" customFormat="1" ht="12">
      <x:c r="A212" s="51" t="s">
        <x:v>1327</x:v>
      </x:c>
      <x:c r="B212" s="56"/>
      <x:c r="E212" s="52">
        <x:v>2</x:v>
      </x:c>
      <x:c r="F212" s="53" t="str">
        <x:f t="shared" si="15"/>
        <x:v>5 meses</x:v>
      </x:c>
      <x:c r="G212" s="148" t="str">
        <x:f t="shared" si="13"/>
        <x:v>2. 5 meses</x:v>
      </x:c>
      <x:c r="H212" s="52"/>
      <x:c r="I212" s="51"/>
      <x:c r="J212" s="54">
        <x:v>5</x:v>
      </x:c>
      <x:c r="L212" s="52" t="s">
        <x:v>1204</x:v>
      </x:c>
    </x:row>
    <x:row r="213" s="54" customFormat="1" ht="12">
      <x:c r="A213" s="51" t="s">
        <x:v>1327</x:v>
      </x:c>
      <x:c r="B213" s="56"/>
      <x:c r="E213" s="52">
        <x:v>1</x:v>
      </x:c>
      <x:c r="F213" s="53" t="str">
        <x:f t="shared" si="15"/>
        <x:v>5.5 meses</x:v>
      </x:c>
      <x:c r="G213" s="148" t="str">
        <x:f t="shared" si="13"/>
        <x:v>1. 5.5 meses</x:v>
      </x:c>
      <x:c r="H213" s="52"/>
      <x:c r="I213" s="51"/>
      <x:c r="J213" s="54">
        <x:v>5.5</x:v>
      </x:c>
      <x:c r="L213" s="52" t="s">
        <x:v>1204</x:v>
      </x:c>
    </x:row>
    <x:row r="214" s="54" customFormat="1" ht="12">
      <x:c r="A214" s="51" t="s">
        <x:v>1327</x:v>
      </x:c>
      <x:c r="B214" s="56"/>
      <x:c r="E214" s="52">
        <x:v>0</x:v>
      </x:c>
      <x:c r="F214" s="53" t="str">
        <x:f t="shared" si="15"/>
        <x:v>6 o más meses</x:v>
      </x:c>
      <x:c r="G214" s="148" t="str">
        <x:f t="shared" si="13"/>
        <x:v>0. 6 o más meses</x:v>
      </x:c>
      <x:c r="H214" s="52"/>
      <x:c r="I214" s="51"/>
      <x:c r="J214" s="54">
        <x:v>6</x:v>
      </x:c>
      <x:c r="L214" s="54" t="s">
        <x:v>1205</x:v>
      </x:c>
    </x:row>
    <x:row r="215" s="54" customFormat="1" ht="12">
      <x:c r="A215" s="51"/>
      <x:c r="B215" s="56"/>
      <x:c r="E215" s="51"/>
      <x:c r="F215" s="51"/>
      <x:c r="G215" s="17" t="str">
        <x:f t="shared" si="13"/>
        <x:v>. </x:v>
      </x:c>
      <x:c r="H215" s="51"/>
      <x:c r="I215" s="51"/>
    </x:row>
    <x:row r="216" ht="23.25">
      <x:c r="A216" t="s">
        <x:v>1330</x:v>
      </x:c>
      <x:c r="B216" s="56" t="s">
        <x:v>118</x:v>
      </x:c>
      <x:c r="C216" s="13" t="s">
        <x:v>1331</x:v>
      </x:c>
      <x:c r="D216" s="13" t="s">
        <x:v>1332</x:v>
      </x:c>
      <x:c r="E216" s="14">
        <x:v>10</x:v>
      </x:c>
      <x:c r="F216" s="14" t="s">
        <x:v>1333</x:v>
      </x:c>
      <x:c r="G216" s="148" t="str">
        <x:f t="shared" si="13"/>
        <x:v>10. Uso intuitivo, baja fricción diaria</x:v>
      </x:c>
      <x:c r="H216" s="17"/>
      <x:c r="I216" s="17" t="s">
        <x:v>1334</x:v>
      </x:c>
    </x:row>
    <x:row r="217" ht="12" customHeight="1">
      <x:c r="A217" t="s">
        <x:v>1330</x:v>
      </x:c>
      <x:c r="B217" s="56"/>
      <x:c r="E217" s="14">
        <x:v>9</x:v>
      </x:c>
      <x:c r="F217" s="14" t="s">
        <x:v>1335</x:v>
      </x:c>
      <x:c r="G217" s="148" t="str">
        <x:f t="shared" si="13"/>
        <x:v>9. Muy intuitivo, mínima capacitación</x:v>
      </x:c>
      <x:c r="H217" s="17"/>
    </x:row>
    <x:row r="218" ht="12" customHeight="1">
      <x:c r="A218" t="s">
        <x:v>1330</x:v>
      </x:c>
      <x:c r="B218" s="56"/>
      <x:c r="E218" s="14">
        <x:v>8</x:v>
      </x:c>
      <x:c r="F218" s="14" t="s">
        <x:v>1336</x:v>
      </x:c>
      <x:c r="G218" s="148" t="str">
        <x:f t="shared" si="13"/>
        <x:v>8. Uso fluido tras capacitación inicial</x:v>
      </x:c>
      <x:c r="H218" s="17"/>
    </x:row>
    <x:row r="219" ht="12" customHeight="1">
      <x:c r="A219" t="s">
        <x:v>1330</x:v>
      </x:c>
      <x:c r="B219" s="56"/>
      <x:c r="E219" s="14">
        <x:v>7</x:v>
      </x:c>
      <x:c r="F219" s="14" t="s">
        <x:v>1337</x:v>
      </x:c>
      <x:c r="G219" s="148" t="str">
        <x:f t="shared" si="13"/>
        <x:v>7. Uso correcto, requiere disciplina</x:v>
      </x:c>
      <x:c r="H219" s="17"/>
    </x:row>
    <x:row r="220" ht="12" customHeight="1">
      <x:c r="A220" t="s">
        <x:v>1330</x:v>
      </x:c>
      <x:c r="B220" s="56"/>
      <x:c r="E220" s="14">
        <x:v>6</x:v>
      </x:c>
      <x:c r="F220" s="14" t="s">
        <x:v>1338</x:v>
      </x:c>
      <x:c r="G220" s="148" t="str">
        <x:f t="shared" si="13"/>
        <x:v>6. Operable, pero poco ágil</x:v>
      </x:c>
      <x:c r="H220" s="17"/>
    </x:row>
    <x:row r="221" ht="12" customHeight="1">
      <x:c r="A221" t="s">
        <x:v>1330</x:v>
      </x:c>
      <x:c r="B221" s="56"/>
      <x:c r="E221" s="14">
        <x:v>5</x:v>
      </x:c>
      <x:c r="F221" s="14" t="s">
        <x:v>1339</x:v>
      </x:c>
      <x:c r="G221" s="148" t="str">
        <x:f t="shared" si="13"/>
        <x:v>5. Pesado para uso diario</x:v>
      </x:c>
      <x:c r="H221" s="17"/>
    </x:row>
    <x:row r="222" ht="12" customHeight="1">
      <x:c r="A222" t="s">
        <x:v>1330</x:v>
      </x:c>
      <x:c r="B222" s="56"/>
      <x:c r="E222" s="14">
        <x:v>4</x:v>
      </x:c>
      <x:c r="F222" s="14" t="s">
        <x:v>1340</x:v>
      </x:c>
      <x:c r="G222" s="148" t="str">
        <x:f t="shared" si="13"/>
        <x:v>4. Requiere apoyo frecuente</x:v>
      </x:c>
      <x:c r="H222" s="17"/>
    </x:row>
    <x:row r="223" ht="12" customHeight="1">
      <x:c r="A223" t="s">
        <x:v>1330</x:v>
      </x:c>
      <x:c r="B223" s="56"/>
      <x:c r="E223" s="14">
        <x:v>3</x:v>
      </x:c>
      <x:c r="F223" s="14" t="s">
        <x:v>1341</x:v>
      </x:c>
      <x:c r="G223" s="148" t="str">
        <x:f t="shared" si="13"/>
        <x:v>3. Dependiente de usuarios expertos</x:v>
      </x:c>
      <x:c r="H223" s="17"/>
    </x:row>
    <x:row r="224" ht="12" customHeight="1">
      <x:c r="A224" t="s">
        <x:v>1330</x:v>
      </x:c>
      <x:c r="B224" s="56"/>
      <x:c r="E224" s="14">
        <x:v>2</x:v>
      </x:c>
      <x:c r="F224" s="14" t="s">
        <x:v>1342</x:v>
      </x:c>
      <x:c r="G224" s="148" t="str">
        <x:f t="shared" si="13"/>
        <x:v>2. Uso complejo, errores frecuentes</x:v>
      </x:c>
      <x:c r="H224" s="17"/>
    </x:row>
    <x:row r="225" ht="12" customHeight="1">
      <x:c r="A225" t="s">
        <x:v>1330</x:v>
      </x:c>
      <x:c r="B225" s="56"/>
      <x:c r="E225" s="14">
        <x:v>1</x:v>
      </x:c>
      <x:c r="F225" s="14" t="s">
        <x:v>1343</x:v>
      </x:c>
      <x:c r="G225" s="148" t="str">
        <x:f t="shared" si="13"/>
        <x:v>1. Solo usable por especialistas</x:v>
      </x:c>
      <x:c r="H225" s="17"/>
    </x:row>
    <x:row r="226" ht="12" customHeight="1">
      <x:c r="A226" t="s">
        <x:v>1330</x:v>
      </x:c>
      <x:c r="B226" s="56"/>
      <x:c r="E226" s="14">
        <x:v>0</x:v>
      </x:c>
      <x:c r="F226" s="14" t="s">
        <x:v>1344</x:v>
      </x:c>
      <x:c r="G226" s="148" t="str">
        <x:f t="shared" si="13"/>
        <x:v>0. No usable</x:v>
      </x:c>
      <x:c r="H226" s="17"/>
    </x:row>
    <x:row r="227" ht="12" customHeight="1">
      <x:c r="A227"/>
      <x:c r="B227" s="56"/>
      <x:c r="E227" s="17"/>
      <x:c r="F227" s="17"/>
      <x:c r="G227" s="17" t="str">
        <x:f t="shared" si="13"/>
        <x:v>. </x:v>
      </x:c>
      <x:c r="H227" s="17"/>
    </x:row>
    <x:row r="228" ht="11.100000381469727" customHeight="1">
      <x:c r="A228" s="4" t="s">
        <x:v>1345</x:v>
      </x:c>
      <x:c r="B228" s="56" t="s">
        <x:v>57</x:v>
      </x:c>
      <x:c r="G228" s="17" t="str">
        <x:f t="shared" si="13"/>
        <x:v>. </x:v>
      </x:c>
    </x:row>
    <x:row r="229" ht="11.100000381469727" customHeight="1">
      <x:c r="B229" s="56"/>
      <x:c r="G229" s="17" t="str">
        <x:f t="shared" si="13"/>
        <x:v>. </x:v>
      </x:c>
    </x:row>
    <x:row r="230">
      <x:c r="A230" s="4" t="s">
        <x:v>1346</x:v>
      </x:c>
      <x:c r="B230" s="56" t="s">
        <x:v>67</x:v>
      </x:c>
      <x:c r="D230" t="s">
        <x:v>1267</x:v>
      </x:c>
      <x:c r="E230" s="17">
        <x:v>10</x:v>
      </x:c>
      <x:c r="F230" s="4" t="s">
        <x:v>1347</x:v>
      </x:c>
      <x:c r="G230" s="17" t="str">
        <x:f t="shared" si="13"/>
        <x:v>10. Valor máximo</x:v>
      </x:c>
    </x:row>
    <x:row r="231">
      <x:c r="B231" s="56"/>
      <x:c r="E231" s="17">
        <x:v>9</x:v>
      </x:c>
      <x:c r="G231" s="17" t="str">
        <x:f t="shared" si="13"/>
        <x:v>9. </x:v>
      </x:c>
    </x:row>
    <x:row r="232">
      <x:c r="B232" s="56"/>
      <x:c r="E232" s="17">
        <x:v>8</x:v>
      </x:c>
      <x:c r="G232" s="17" t="str">
        <x:f t="shared" si="13"/>
        <x:v>8. </x:v>
      </x:c>
    </x:row>
    <x:row r="233">
      <x:c r="B233" s="56"/>
      <x:c r="E233" s="17">
        <x:v>7</x:v>
      </x:c>
      <x:c r="G233" s="17" t="str">
        <x:f t="shared" si="13"/>
        <x:v>7. </x:v>
      </x:c>
    </x:row>
    <x:row r="234">
      <x:c r="B234" s="56"/>
      <x:c r="E234" s="17">
        <x:v>6</x:v>
      </x:c>
      <x:c r="F234" s="4" t="s">
        <x:v>1348</x:v>
      </x:c>
      <x:c r="G234" s="17" t="str">
        <x:f t="shared" si="13"/>
        <x:v>6. Límite mínimo</x:v>
      </x:c>
    </x:row>
    <x:row r="235">
      <x:c r="B235" s="56"/>
      <x:c r="E235" s="17">
        <x:v>5</x:v>
      </x:c>
      <x:c r="G235" s="17" t="str">
        <x:f t="shared" si="13"/>
        <x:v>5. </x:v>
      </x:c>
    </x:row>
    <x:row r="236">
      <x:c r="B236" s="56"/>
      <x:c r="E236" s="17">
        <x:v>4</x:v>
      </x:c>
      <x:c r="G236" s="17" t="str">
        <x:f t="shared" si="13"/>
        <x:v>4. </x:v>
      </x:c>
    </x:row>
    <x:row r="237">
      <x:c r="B237" s="56"/>
      <x:c r="E237" s="17">
        <x:v>3</x:v>
      </x:c>
      <x:c r="G237" s="17" t="str">
        <x:f t="shared" si="13"/>
        <x:v>3. </x:v>
      </x:c>
    </x:row>
    <x:row r="238">
      <x:c r="B238" s="56"/>
      <x:c r="E238" s="17">
        <x:v>2</x:v>
      </x:c>
      <x:c r="G238" s="17" t="str">
        <x:f t="shared" si="13"/>
        <x:v>2. </x:v>
      </x:c>
    </x:row>
    <x:row r="239">
      <x:c r="B239" s="56"/>
      <x:c r="E239" s="17">
        <x:v>1</x:v>
      </x:c>
      <x:c r="G239" s="17" t="str">
        <x:f t="shared" si="13"/>
        <x:v>1. </x:v>
      </x:c>
    </x:row>
    <x:row r="240">
      <x:c r="B240" s="56"/>
      <x:c r="E240" s="17"/>
      <x:c r="G240" s="17" t="str">
        <x:f t="shared" si="13"/>
        <x:v>. </x:v>
      </x:c>
    </x:row>
    <x:row r="241">
      <x:c r="B241" s="56"/>
      <x:c r="E241" s="17"/>
      <x:c r="G241" s="17" t="str">
        <x:f t="shared" si="13"/>
        <x:v>. </x:v>
      </x:c>
    </x:row>
    <x:row r="242">
      <x:c r="B242" s="13" t="s">
        <x:v>1349</x:v>
      </x:c>
      <x:c r="D242" t="s">
        <x:v>1350</x:v>
      </x:c>
      <x:c r="G242" s="17" t="str">
        <x:f t="shared" si="13"/>
        <x:v>. </x:v>
      </x:c>
    </x:row>
    <x:row r="243">
      <x:c r="A243" t="s">
        <x:v>1095</x:v>
      </x:c>
      <x:c r="B243" s="13" t="s">
        <x:v>38</x:v>
      </x:c>
      <x:c r="C243" t="s">
        <x:v>1186</x:v>
      </x:c>
      <x:c r="D243" t="str">
        <x:f>C243&amp;RIGHT(B243,LEN(B243)-1)</x:f>
        <x:v>K Capacidad Técnica / Funcional</x:v>
      </x:c>
      <x:c r="E243" s="46">
        <x:v>18</x:v>
      </x:c>
      <x:c r="G243" s="17" t="str">
        <x:f t="shared" si="13"/>
        <x:v>18. </x:v>
      </x:c>
    </x:row>
    <x:row r="244">
      <x:c r="A244" t="s">
        <x:v>1351</x:v>
      </x:c>
      <x:c r="B244" s="13" t="s">
        <x:v>1352</x:v>
      </x:c>
      <x:c r="C244" t="s">
        <x:v>996</x:v>
      </x:c>
      <x:c r="D244" t="str">
        <x:f t="shared" ref="D244:D258" si="16">C244&amp;RIGHT(B244,LEN(B244)-1)</x:f>
        <x:v>M Madurez / Roadmap / Evolución</x:v>
      </x:c>
      <x:c r="E244" s="4">
        <x:v>3</x:v>
      </x:c>
      <x:c r="G244" s="17" t="str">
        <x:f t="shared" si="13"/>
        <x:v>3. </x:v>
      </x:c>
    </x:row>
    <x:row r="245">
      <x:c r="A245" t="s">
        <x:v>1096</x:v>
      </x:c>
      <x:c r="B245" s="13" t="s">
        <x:v>118</x:v>
      </x:c>
      <x:c r="C245" t="s">
        <x:v>1330</x:v>
      </x:c>
      <x:c r="D245" t="str">
        <x:f t="shared" si="16"/>
        <x:v>U Usabilidad real / Fricción diaria</x:v>
      </x:c>
      <x:c r="E245" s="4">
        <x:v>2</x:v>
      </x:c>
      <x:c r="G245" s="17" t="str">
        <x:f t="shared" si="13"/>
        <x:v>2. </x:v>
      </x:c>
      <x:c r="H245"/>
      <x:c r="I245"/>
    </x:row>
    <x:row r="246">
      <x:c r="A246" t="s">
        <x:v>1353</x:v>
      </x:c>
      <x:c r="B246" t="s">
        <x:v>83</x:v>
      </x:c>
      <x:c r="C246" t="s">
        <x:v>1171</x:v>
      </x:c>
      <x:c r="D246" t="str">
        <x:f t="shared" si="16"/>
        <x:v>I Integración e Interoperabilidad</x:v>
      </x:c>
      <x:c r="E246" s="4">
        <x:v>9</x:v>
      </x:c>
      <x:c r="G246" s="17" t="str">
        <x:f t="shared" si="13"/>
        <x:v>9. </x:v>
      </x:c>
      <x:c r="H246"/>
      <x:c r="I246"/>
    </x:row>
    <x:row r="247">
      <x:c r="A247" t="s">
        <x:v>1150</x:v>
      </x:c>
      <x:c r="B247" s="13" t="s">
        <x:v>1354</x:v>
      </x:c>
      <x:c r="C247" t="s">
        <x:v>1096</x:v>
      </x:c>
      <x:c r="D247" s="63" t="str">
        <x:f t="shared" si="16"/>
        <x:v>C Implementación y Soporte</x:v>
      </x:c>
      <x:c r="E247" s="4">
        <x:v>3</x:v>
      </x:c>
      <x:c r="G247" s="17" t="str">
        <x:f t="shared" si="13"/>
        <x:v>3. </x:v>
      </x:c>
    </x:row>
    <x:row r="248">
      <x:c r="A248" t="s">
        <x:v>1168</x:v>
      </x:c>
      <x:c r="B248" s="40" t="s">
        <x:v>1355</x:v>
      </x:c>
      <x:c r="C248" t="s">
        <x:v>1356</x:v>
      </x:c>
      <x:c r="D248" t="str">
        <x:f t="shared" si="16"/>
        <x:v>$ Modelo Comercial / TCO</x:v>
      </x:c>
      <x:c r="E248" s="4">
        <x:v>4</x:v>
      </x:c>
      <x:c r="G248" s="17" t="str">
        <x:f t="shared" si="13"/>
        <x:v>4. </x:v>
      </x:c>
    </x:row>
    <x:row r="249">
      <x:c r="A249" t="s">
        <x:v>1357</x:v>
      </x:c>
      <x:c r="B249" s="40" t="s">
        <x:v>1201</x:v>
      </x:c>
      <x:c r="C249" t="s">
        <x:v>1200</x:v>
      </x:c>
      <x:c r="D249" t="str">
        <x:f t="shared" si="16"/>
        <x:v>L Curva de aprendizaje [meses]</x:v>
      </x:c>
      <x:c r="E249" s="4">
        <x:v>2</x:v>
      </x:c>
      <x:c r="G249" s="17" t="str">
        <x:f t="shared" si="13"/>
        <x:v>2. </x:v>
      </x:c>
    </x:row>
    <x:row r="250">
      <x:c r="A250" t="s">
        <x:v>1358</x:v>
      </x:c>
      <x:c r="B250" s="40" t="s">
        <x:v>1328</x:v>
      </x:c>
      <x:c r="C250" t="s">
        <x:v>1327</x:v>
      </x:c>
      <x:c r="D250" t="str">
        <x:f t="shared" si="16"/>
        <x:v>T Tiempo de implementación</x:v>
      </x:c>
      <x:c r="E250" s="4">
        <x:v>2</x:v>
      </x:c>
      <x:c r="F250" s="4" t="s">
        <x:v>1359</x:v>
      </x:c>
      <x:c r="G250" s="17" t="str">
        <x:f t="shared" si="13"/>
        <x:v>2. Eliminar</x:v>
      </x:c>
    </x:row>
    <x:row r="251">
      <x:c r="A251" t="s">
        <x:v>1252</x:v>
      </x:c>
      <x:c r="B251" s="13" t="s">
        <x:v>217</x:v>
      </x:c>
      <x:c r="C251" t="s">
        <x:v>1252</x:v>
      </x:c>
      <x:c r="D251" t="str">
        <x:f t="shared" si="16"/>
        <x:v>Q Normas de Calidad</x:v>
      </x:c>
      <x:c r="G251" s="17" t="str">
        <x:f t="shared" si="13"/>
        <x:v>. </x:v>
      </x:c>
    </x:row>
    <x:row r="252">
      <x:c r="A252" t="s">
        <x:v>1360</x:v>
      </x:c>
      <x:c r="B252" s="40" t="s">
        <x:v>455</x:v>
      </x:c>
      <x:c r="C252" t="s">
        <x:v>1168</x:v>
      </x:c>
      <x:c r="D252" t="str">
        <x:f t="shared" si="16"/>
        <x:v>F Forma de pago año/mes</x:v>
      </x:c>
      <x:c r="E252" s="4">
        <x:v>4</x:v>
      </x:c>
      <x:c r="G252" s="17" t="str">
        <x:f t="shared" si="13"/>
        <x:v>4. </x:v>
      </x:c>
    </x:row>
    <x:row r="253">
      <x:c r="A253" s="4" t="s">
        <x:v>872</x:v>
      </x:c>
      <x:c r="B253" s="13" t="s">
        <x:v>1235</x:v>
      </x:c>
      <x:c r="C253" t="s">
        <x:v>872</x:v>
      </x:c>
      <x:c r="D253" t="str">
        <x:f t="shared" si="16"/>
        <x:v>N No/Sí</x:v>
      </x:c>
      <x:c r="G253" s="17" t="str">
        <x:f t="shared" si="13"/>
        <x:v>. </x:v>
      </x:c>
    </x:row>
    <x:row r="254">
      <x:c r="A254" s="4" t="s">
        <x:v>1250</x:v>
      </x:c>
      <x:c r="B254" s="13" t="s">
        <x:v>1361</x:v>
      </x:c>
      <x:c r="C254" t="s">
        <x:v>1250</x:v>
      </x:c>
      <x:c r="D254" t="str">
        <x:f t="shared" si="16"/>
        <x:v>P P Pendiente determinar</x:v>
      </x:c>
      <x:c r="E254" s="4">
        <x:v>2</x:v>
      </x:c>
    </x:row>
    <x:row r="255">
      <x:c r="A255" s="4" t="s">
        <x:v>1281</x:v>
      </x:c>
      <x:c r="B255" s="13" t="s">
        <x:v>155</x:v>
      </x:c>
      <x:c r="C255" t="s">
        <x:v>1281</x:v>
      </x:c>
      <x:c r="D255" t="str">
        <x:f t="shared" si="16"/>
        <x:v>S Sí/No</x:v>
      </x:c>
    </x:row>
    <x:row r="256" ht="22.5">
      <x:c r="A256" s="4" t="s">
        <x:v>1345</x:v>
      </x:c>
      <x:c r="B256" s="40" t="s">
        <x:v>108</x:v>
      </x:c>
      <x:c r="C256" t="s">
        <x:v>1095</x:v>
      </x:c>
      <x:c r="D256" s="63" t="str">
        <x:f t="shared" si="16"/>
        <x:v>A Costos y tiempos mínimos - Fórmula</x:v>
      </x:c>
      <x:c r="E256" s="4">
        <x:v>30</x:v>
      </x:c>
    </x:row>
    <x:row r="257">
      <x:c r="A257" s="4" t="s">
        <x:v>1346</x:v>
      </x:c>
      <x:c r="B257" s="40" t="s">
        <x:v>67</x:v>
      </x:c>
      <x:c r="C257" t="s">
        <x:v>1346</x:v>
      </x:c>
      <x:c r="D257" t="str">
        <x:f t="shared" si="16"/>
        <x:v>Z Tiempos y capacidad máxima</x:v>
      </x:c>
    </x:row>
    <x:row r="258">
      <x:c r="B258" t="s">
        <x:v>1362</x:v>
      </x:c>
      <x:c r="C258" t="s">
        <x:v>1150</x:v>
      </x:c>
      <x:c r="D258" s="63" t="str">
        <x:f t="shared" si="16"/>
        <x:v>E Estabilidad y robustez del sistema</x:v>
      </x:c>
    </x:row>
    <x:row r="261">
      <x:c r="B261" s="13" t="s">
        <x:v>1095</x:v>
      </x:c>
      <x:c r="C261" t="s">
        <x:v>1363</x:v>
      </x:c>
    </x:row>
    <x:row r="262">
      <x:c r="B262" s="13" t="s">
        <x:v>1346</x:v>
      </x:c>
      <x:c r="C262" t="s">
        <x:v>1364</x:v>
      </x:c>
    </x:row>
    <x:row r="263">
      <x:c r="B263" s="13" t="s">
        <x:v>1365</x:v>
      </x:c>
      <x:c r="C263" t="s">
        <x:v>1366</x:v>
      </x:c>
    </x:row>
    <x:row r="264">
      <x:c r="B264" s="13" t="s">
        <x:v>1282</x:v>
      </x:c>
      <x:c r="C264" t="s">
        <x:v>1367</x:v>
      </x:c>
    </x:row>
    <x:row r="265">
      <x:c r="B265" s="13" t="s">
        <x:v>1345</x:v>
      </x:c>
      <x:c r="C265" t="s">
        <x:v>1368</x:v>
      </x:c>
    </x:row>
  </x:sheetData>
  <x:mergeCells>
    <x:mergeCell ref="H108:H109"/>
    <x:mergeCell ref="H110:H111"/>
    <x:mergeCell ref="H112:H113"/>
    <x:mergeCell ref="H114:H115"/>
    <x:mergeCell ref="H116:H117"/>
  </x:mergeCells>
  <x:pageMargins left="0.7" right="0.7" top="0.75" bottom="0.75" header="0.3" footer="0.3"/>
  <x:drawing xmlns:r="http://schemas.openxmlformats.org/officeDocument/2006/relationships" r:id="R0fa2472cd7af4770"/>
  <x:legacyDrawing xmlns:r="http://schemas.openxmlformats.org/officeDocument/2006/relationships" r:id="R47dc0c5f6c414386"/>
</x:worksheet>
</file>

<file path=xl/worksheets/sheet8.xml><?xml version="1.0" encoding="utf-8"?>
<x:worksheet xmlns:x="http://schemas.openxmlformats.org/spreadsheetml/2006/main">
  <x:sheetFormatPr defaultColWidth="12" defaultRowHeight="11.25"/>
  <x:cols>
    <x:col min="10" max="10" width="23" customWidth="1"/>
    <x:col min="16" max="16" width="22.33203125" customWidth="1"/>
    <x:col min="17" max="17" width="8.1640625" customWidth="1"/>
    <x:col min="18" max="18" width="3" customWidth="1"/>
    <x:col min="19" max="22" width="10.1640625" customWidth="1"/>
    <x:col min="23" max="23" width="7.6640625" customWidth="1"/>
    <x:col min="24" max="24" width="4.83203125" customWidth="1"/>
    <x:col min="25" max="25" width="5.6640625" customWidth="1"/>
    <x:col min="26" max="26" width="34.1640625" customWidth="1"/>
    <x:col min="27" max="27" width="33.83203125" customWidth="1"/>
    <x:col min="28" max="28" width="21.6640625" customWidth="1"/>
    <x:col min="29" max="29" width="20.1640625" customWidth="1"/>
    <x:col min="30" max="33" width="4.6640625" customWidth="1"/>
    <x:col min="34" max="34" width="35.6640625" customWidth="1"/>
  </x:cols>
  <x:sheetData>
    <x:row r="1" ht="15.75">
      <x:c r="S1" s="150" t="s">
        <x:v>1369</x:v>
      </x:c>
      <x:c r="T1" s="151"/>
      <x:c r="U1" s="151"/>
      <x:c r="V1" s="152"/>
      <x:c r="AB1" s="43">
        <x:v>6</x:v>
      </x:c>
      <x:c r="AC1" s="43">
        <x:v>10</x:v>
      </x:c>
    </x:row>
    <x:row r="2" s="18" customFormat="1" ht="22.5">
      <x:c r="A2" s="18" t="s">
        <x:v>1370</x:v>
      </x:c>
      <x:c r="S2" s="153" t="s">
        <x:v>1371</x:v>
      </x:c>
      <x:c r="T2" s="154" t="s">
        <x:v>1372</x:v>
      </x:c>
      <x:c r="U2" s="154" t="s">
        <x:v>1373</x:v>
      </x:c>
      <x:c r="V2" s="155" t="s">
        <x:v>1374</x:v>
      </x:c>
      <x:c r="W2" s="18" t="s">
        <x:v>1375</x:v>
      </x:c>
      <x:c r="X2" s="18" t="s">
        <x:v>1376</x:v>
      </x:c>
      <x:c r="Y2" s="18" t="s">
        <x:v>1377</x:v>
      </x:c>
      <x:c r="Z2" s="42" t="s">
        <x:v>1378</x:v>
      </x:c>
      <x:c r="AA2" s="42" t="s">
        <x:v>1379</x:v>
      </x:c>
      <x:c r="AB2" s="18" t="s">
        <x:v>1380</x:v>
      </x:c>
      <x:c r="AC2" s="18" t="s">
        <x:v>1381</x:v>
      </x:c>
      <x:c r="AD2" s="18" t="s">
        <x:v>1382</x:v>
      </x:c>
      <x:c r="AE2" s="18" t="s">
        <x:v>1383</x:v>
      </x:c>
      <x:c r="AF2" s="18" t="s">
        <x:v>1384</x:v>
      </x:c>
      <x:c r="AG2" s="18" t="s">
        <x:v>1385</x:v>
      </x:c>
    </x:row>
    <x:row r="3">
      <x:c r="A3" s="4"/>
      <x:c r="B3" s="4"/>
      <x:c r="C3" s="4"/>
      <x:c r="D3" s="4"/>
      <x:c r="E3" s="4"/>
      <x:c r="F3" s="4"/>
      <x:c r="G3" s="4"/>
      <x:c r="H3" s="4"/>
      <x:c r="I3" s="4"/>
      <x:c r="J3" s="4" t="s">
        <x:v>1386</x:v>
      </x:c>
      <x:c r="K3" s="4">
        <x:v>6</x:v>
      </x:c>
      <x:c r="L3" s="4"/>
      <x:c r="M3">
        <x:v>7</x:v>
      </x:c>
      <x:c r="P3" t="s">
        <x:v>158</x:v>
      </x:c>
      <x:c r="Q3" t="s">
        <x:v>1387</x:v>
      </x:c>
      <x:c r="R3">
        <x:v>4</x:v>
      </x:c>
      <x:c r="S3" s="156">
        <x:v>4.5</x:v>
      </x:c>
      <x:c r="T3">
        <x:v>2.5</x:v>
      </x:c>
      <x:c r="U3">
        <x:v>3.5</x:v>
      </x:c>
      <x:c r="V3" s="157">
        <x:v>2</x:v>
      </x:c>
      <x:c r="W3" t="s">
        <x:v>1388</x:v>
      </x:c>
      <x:c r="X3" s="44" t="s">
        <x:v>109</x:v>
      </x:c>
      <x:c r="Y3" s="43">
        <x:v>4.5</x:v>
      </x:c>
      <x:c r="Z3" s="45" t="n">
        <x:f>IF(X3="≤",MIN(Y3,MAX($S3:$V3)),MAX($S3:$V3))</x:f>
        <x:v>4.5</x:v>
      </x:c>
      <x:c r="AA3" s="49" t="n">
        <x:f>IF(X3="≥",MAX(Y3,MIN($S3:$V3)),MIN($S3:$V3))</x:f>
        <x:v>2</x:v>
      </x:c>
      <x:c r="AB3" s="48" t="n">
        <x:f>IF($X3="≤",AB$1,AC$1)</x:f>
        <x:v>6</x:v>
      </x:c>
      <x:c r="AC3" s="50" t="n">
        <x:f>IF($X3="≤",AC$1,AB$1)</x:f>
        <x:v>10</x:v>
      </x:c>
      <x:c r="AD3" t="n">
        <x:f t="shared" ref="AD3:AG4" si="0">($AC3-$AB3)/($AA3-$Z3)*(S3-$AA3)+$AC3</x:f>
        <x:v>6</x:v>
      </x:c>
      <x:c r="AE3">
        <x:f t="shared" si="0"/>
        <x:v>9.1999999999999993</x:v>
      </x:c>
      <x:c r="AF3">
        <x:f t="shared" si="0"/>
        <x:v>7.6</x:v>
      </x:c>
      <x:c r="AG3">
        <x:f t="shared" si="0"/>
        <x:v>10</x:v>
      </x:c>
      <x:c r="AH3" t="s">
        <x:v>1389</x:v>
      </x:c>
    </x:row>
    <x:row r="4">
      <x:c r="A4" s="4"/>
      <x:c r="B4" s="4"/>
      <x:c r="C4" s="4"/>
      <x:c r="D4" s="4"/>
      <x:c r="E4" s="4"/>
      <x:c r="F4" s="4"/>
      <x:c r="G4" s="4"/>
      <x:c r="H4" s="4"/>
      <x:c r="I4" s="4"/>
      <x:c r="J4" s="4" t="s">
        <x:v>1390</x:v>
      </x:c>
      <x:c r="K4" s="4">
        <x:v>2.5</x:v>
      </x:c>
      <x:c r="L4" s="4"/>
      <x:c r="M4">
        <x:v>8</x:v>
      </x:c>
      <x:c r="P4" t="s">
        <x:v>1391</x:v>
      </x:c>
      <x:c r="Q4" t="s">
        <x:v>1392</x:v>
      </x:c>
      <x:c r="R4">
        <x:v>40</x:v>
      </x:c>
      <x:c r="S4" s="158">
        <x:v>20</x:v>
      </x:c>
      <x:c r="T4" s="159">
        <x:v>40</x:v>
      </x:c>
      <x:c r="U4" s="159">
        <x:v>45</x:v>
      </x:c>
      <x:c r="V4" s="160">
        <x:v>50</x:v>
      </x:c>
      <x:c r="W4" t="s">
        <x:v>1393</x:v>
      </x:c>
      <x:c r="X4" s="44" t="s">
        <x:v>39</x:v>
      </x:c>
      <x:c r="Y4" s="43">
        <x:v>20</x:v>
      </x:c>
      <x:c r="Z4" s="49" t="n">
        <x:f>IF(X4="≤",MIN(Y4,MAX($S4:$V4)),MAX($S4:$V4))</x:f>
        <x:v>50</x:v>
      </x:c>
      <x:c r="AA4" s="45" t="n">
        <x:f>IF(X4="≥",MAX(Y4,MIN($S4:$V4)),MIN($S4:$V4))</x:f>
        <x:v>20</x:v>
      </x:c>
      <x:c r="AB4" s="50" t="n">
        <x:f>IF($X4="≤",AB$1,AC$1)</x:f>
        <x:v>10</x:v>
      </x:c>
      <x:c r="AC4" s="48" t="n">
        <x:f>IF($X4="≤",AC$1,AB$1)</x:f>
        <x:v>6</x:v>
      </x:c>
      <x:c r="AD4">
        <x:f t="shared" si="0"/>
        <x:v>6</x:v>
      </x:c>
      <x:c r="AE4">
        <x:f t="shared" si="0"/>
        <x:v>8.6666666666666661</x:v>
      </x:c>
      <x:c r="AF4">
        <x:f t="shared" si="0"/>
        <x:v>9.3333333333333339</x:v>
      </x:c>
      <x:c r="AG4">
        <x:f t="shared" si="0"/>
        <x:v>10</x:v>
      </x:c>
      <x:c r="AH4" s="103" t="s">
        <x:v>1394</x:v>
      </x:c>
    </x:row>
    <x:row r="5">
      <x:c r="A5" s="4"/>
      <x:c r="B5" s="4"/>
      <x:c r="C5" s="4"/>
      <x:c r="D5" s="4"/>
      <x:c r="E5" s="4"/>
      <x:c r="F5" s="4"/>
      <x:c r="G5" s="4"/>
      <x:c r="H5" s="4"/>
      <x:c r="I5" s="4"/>
      <x:c r="J5" s="4" t="s">
        <x:v>1395</x:v>
      </x:c>
      <x:c r="K5" s="4">
        <x:v>2</x:v>
      </x:c>
      <x:c r="L5" s="4"/>
      <x:c r="M5">
        <x:v>9</x:v>
      </x:c>
      <x:c r="X5" s="44" t="s">
        <x:v>1396</x:v>
      </x:c>
      <x:c r="Z5" s="93" t="s">
        <x:v>1397</x:v>
      </x:c>
      <x:c r="AA5" s="93" t="s">
        <x:v>1398</x:v>
      </x:c>
      <x:c r="AB5" s="93" t="s">
        <x:v>1399</x:v>
      </x:c>
      <x:c r="AC5" s="93" t="s">
        <x:v>1400</x:v>
      </x:c>
    </x:row>
    <x:row r="6">
      <x:c r="A6" s="4"/>
      <x:c r="B6" s="4"/>
      <x:c r="C6" s="4"/>
      <x:c r="D6" s="4"/>
      <x:c r="E6" s="4"/>
      <x:c r="F6" s="4"/>
      <x:c r="G6" s="4"/>
      <x:c r="H6" s="4"/>
      <x:c r="I6" s="4"/>
      <x:c r="J6" s="4" t="s">
        <x:v>1401</x:v>
      </x:c>
      <x:c r="K6" s="4">
        <x:v>1</x:v>
      </x:c>
      <x:c r="L6" s="4"/>
      <x:c r="M6">
        <x:v>10</x:v>
      </x:c>
      <x:c r="Z6" s="93" t="s">
        <x:v>1402</x:v>
      </x:c>
      <x:c r="AA6" s="93" t="s">
        <x:v>1403</x:v>
      </x:c>
      <x:c r="AB6" s="93" t="s">
        <x:v>1404</x:v>
      </x:c>
      <x:c r="AC6" s="93" t="s">
        <x:v>1405</x:v>
      </x:c>
      <x:c r="AG6" s="47" t="s">
        <x:v>1406</x:v>
      </x:c>
      <x:c r="AH6" t="s">
        <x:v>1407</x:v>
      </x:c>
    </x:row>
    <x:row r="7">
      <x:c r="A7" s="4"/>
      <x:c r="B7" s="4"/>
      <x:c r="C7" s="4"/>
      <x:c r="D7" s="4"/>
      <x:c r="E7" s="4"/>
      <x:c r="F7" s="4"/>
      <x:c r="G7" s="4"/>
      <x:c r="H7" s="4"/>
      <x:c r="I7" s="4"/>
      <x:c r="J7" s="4"/>
      <x:c r="AH7" t="s">
        <x:v>1408</x:v>
      </x:c>
    </x:row>
    <x:row r="8">
      <x:c r="A8" s="4"/>
      <x:c r="B8" s="4"/>
      <x:c r="C8" s="4"/>
      <x:c r="D8" s="4"/>
      <x:c r="E8" s="4"/>
      <x:c r="F8" s="4"/>
      <x:c r="G8" s="4"/>
      <x:c r="H8" s="4"/>
      <x:c r="I8" s="4"/>
      <x:c r="J8" s="4"/>
      <x:c r="AH8" t="s">
        <x:v>1409</x:v>
      </x:c>
    </x:row>
    <x:row r="9">
      <x:c r="A9" s="4"/>
      <x:c r="B9" s="4"/>
      <x:c r="C9" s="4"/>
      <x:c r="D9" s="4"/>
      <x:c r="E9" s="4"/>
      <x:c r="F9" s="4"/>
      <x:c r="G9" s="4"/>
      <x:c r="H9" s="4"/>
      <x:c r="I9" s="4"/>
      <x:c r="J9" s="4"/>
      <x:c r="AH9" t="s">
        <x:v>1410</x:v>
      </x:c>
    </x:row>
    <x:row r="10">
      <x:c r="A10" s="4"/>
      <x:c r="B10" s="4"/>
      <x:c r="C10" s="4"/>
      <x:c r="D10" s="4"/>
      <x:c r="E10" s="4"/>
      <x:c r="F10" s="4"/>
      <x:c r="G10" s="4"/>
      <x:c r="H10" s="4"/>
      <x:c r="I10" s="4"/>
      <x:c r="J10" s="4" t="s">
        <x:v>1386</x:v>
      </x:c>
      <x:c r="K10" s="4">
        <x:v>6</x:v>
      </x:c>
      <x:c r="L10" s="4" t="s">
        <x:v>1204</x:v>
      </x:c>
      <x:c r="M10" t="s">
        <x:v>1411</x:v>
      </x:c>
      <x:c r="N10">
        <x:v>6</x:v>
      </x:c>
      <x:c r="AH10" t="s">
        <x:v>1412</x:v>
      </x:c>
    </x:row>
    <x:row r="11">
      <x:c r="A11" s="4"/>
      <x:c r="B11" s="4"/>
      <x:c r="C11" s="4"/>
      <x:c r="D11" s="4"/>
      <x:c r="E11" s="4"/>
      <x:c r="F11" s="4"/>
      <x:c r="G11" s="4"/>
      <x:c r="H11" s="4"/>
      <x:c r="I11" s="4"/>
      <x:c r="J11" s="4" t="s">
        <x:v>1390</x:v>
      </x:c>
      <x:c r="K11" s="4">
        <x:v>2.5</x:v>
      </x:c>
      <x:c r="L11" s="4" t="s">
        <x:v>1204</x:v>
      </x:c>
      <x:c r="AH11" t="s">
        <x:v>1413</x:v>
      </x:c>
    </x:row>
    <x:row r="12">
      <x:c r="A12" s="4"/>
      <x:c r="B12" s="4"/>
      <x:c r="C12" s="4"/>
      <x:c r="D12" s="4"/>
      <x:c r="E12" s="4"/>
      <x:c r="F12" s="4"/>
      <x:c r="G12" s="4"/>
      <x:c r="H12" s="4"/>
      <x:c r="I12" s="4"/>
      <x:c r="J12" s="4" t="s">
        <x:v>1395</x:v>
      </x:c>
      <x:c r="K12" s="4">
        <x:v>2</x:v>
      </x:c>
      <x:c r="L12" s="4" t="s">
        <x:v>1204</x:v>
      </x:c>
    </x:row>
    <x:row r="13">
      <x:c r="A13" s="4"/>
      <x:c r="B13" s="4"/>
      <x:c r="C13" s="4"/>
      <x:c r="D13" s="4"/>
      <x:c r="E13" s="4"/>
      <x:c r="F13" s="4"/>
      <x:c r="G13" s="4"/>
      <x:c r="H13" s="4"/>
      <x:c r="I13" s="4"/>
      <x:c r="J13" s="4" t="s">
        <x:v>1401</x:v>
      </x:c>
      <x:c r="K13" s="4">
        <x:v>1</x:v>
      </x:c>
      <x:c r="L13" s="4" t="s">
        <x:v>1204</x:v>
      </x:c>
      <x:c r="M13" t="s">
        <x:v>1414</x:v>
      </x:c>
      <x:c r="N13">
        <x:v>10</x:v>
      </x:c>
    </x:row>
    <x:row r="14">
      <x:c r="A14" s="4"/>
      <x:c r="B14" s="4"/>
      <x:c r="C14" s="4"/>
      <x:c r="D14" s="4"/>
      <x:c r="E14" s="4"/>
      <x:c r="F14" s="4"/>
      <x:c r="G14" s="4"/>
      <x:c r="H14" s="4"/>
      <x:c r="I14" s="4"/>
      <x:c r="J14" s="38" t="s">
        <x:v>786</x:v>
      </x:c>
      <x:c r="K14" s="38">
        <x:v>4</x:v>
      </x:c>
      <x:c r="L14" s="38" t="s">
        <x:v>1204</x:v>
      </x:c>
    </x:row>
    <x:row r="15">
      <x:c r="A15" s="4"/>
      <x:c r="B15" s="4"/>
      <x:c r="C15" s="4"/>
      <x:c r="D15" s="4"/>
      <x:c r="E15" s="4"/>
      <x:c r="F15" s="4"/>
      <x:c r="G15" s="4"/>
      <x:c r="H15" s="4"/>
      <x:c r="I15" s="4"/>
      <x:c r="J15" s="31" t="s">
        <x:v>1415</x:v>
      </x:c>
      <x:c r="K15" s="31">
        <x:v>5</x:v>
      </x:c>
      <x:c r="L15" s="31" t="s">
        <x:v>1204</x:v>
      </x:c>
    </x:row>
    <x:row r="16">
      <x:c r="A16" s="4"/>
      <x:c r="B16" s="4"/>
      <x:c r="C16" s="4"/>
      <x:c r="D16" s="4"/>
      <x:c r="E16" s="4"/>
      <x:c r="F16" s="4"/>
      <x:c r="G16" s="4"/>
      <x:c r="H16" s="4"/>
      <x:c r="I16" s="4"/>
      <x:c r="J16" s="4"/>
    </x:row>
    <x:row r="17">
      <x:c r="A17" s="4" t="s">
        <x:v>1416</x:v>
      </x:c>
      <x:c r="B17" s="4"/>
      <x:c r="C17" s="4"/>
      <x:c r="D17" s="4"/>
      <x:c r="E17" s="4"/>
      <x:c r="F17" s="4"/>
      <x:c r="G17" s="4"/>
      <x:c r="H17" s="4"/>
      <x:c r="I17" s="4"/>
      <x:c r="J17" s="4"/>
      <x:c r="K17" s="12" t="s">
        <x:v>1369</x:v>
      </x:c>
      <x:c r="L17" s="12"/>
      <x:c r="N17" s="12" t="s">
        <x:v>1345</x:v>
      </x:c>
    </x:row>
    <x:row r="18">
      <x:c r="A18" s="4"/>
      <x:c r="B18" s="4"/>
      <x:c r="C18" s="4"/>
      <x:c r="D18" s="4"/>
      <x:c r="E18" s="4"/>
      <x:c r="F18" s="4"/>
      <x:c r="G18" s="4"/>
      <x:c r="H18" s="4"/>
      <x:c r="I18" s="4"/>
      <x:c r="J18" s="41" t="s">
        <x:v>1417</x:v>
      </x:c>
      <x:c r="K18" s="4">
        <x:v>1</x:v>
      </x:c>
      <x:c r="L18" s="4" t="s">
        <x:v>1204</x:v>
      </x:c>
      <x:c r="M18" t="s">
        <x:v>1414</x:v>
      </x:c>
      <x:c r="N18">
        <x:v>10</x:v>
      </x:c>
    </x:row>
    <x:row r="19">
      <x:c r="A19" s="4"/>
      <x:c r="B19" s="4"/>
      <x:c r="C19" s="4"/>
      <x:c r="D19" s="4"/>
      <x:c r="E19" s="4"/>
      <x:c r="F19" s="4"/>
      <x:c r="G19" s="4"/>
      <x:c r="H19" s="4"/>
      <x:c r="I19" s="4"/>
      <x:c r="J19" s="41" t="s">
        <x:v>1418</x:v>
      </x:c>
      <x:c r="K19" s="4">
        <x:v>6</x:v>
      </x:c>
      <x:c r="L19" s="4" t="s">
        <x:v>1204</x:v>
      </x:c>
      <x:c r="M19" t="s">
        <x:v>1411</x:v>
      </x:c>
      <x:c r="N19">
        <x:v>6</x:v>
      </x:c>
    </x:row>
    <x:row r="20">
      <x:c r="A20" s="4"/>
      <x:c r="B20" s="4"/>
      <x:c r="C20" s="4"/>
      <x:c r="D20" s="4"/>
      <x:c r="E20" s="4"/>
      <x:c r="F20" s="4"/>
      <x:c r="G20" s="4"/>
      <x:c r="H20" s="4"/>
      <x:c r="I20" s="4"/>
      <x:c r="J20" s="4" t="s">
        <x:v>1419</x:v>
      </x:c>
    </x:row>
    <x:row r="21">
      <x:c r="A21" s="4"/>
      <x:c r="B21" s="4"/>
      <x:c r="C21" s="4"/>
      <x:c r="D21" s="4"/>
      <x:c r="E21" s="4"/>
      <x:c r="F21" s="4"/>
      <x:c r="G21" s="4"/>
      <x:c r="H21" s="4"/>
      <x:c r="I21" s="4"/>
      <x:c r="J21" s="4" t="s">
        <x:v>1420</x:v>
      </x:c>
      <x:c r="M21" t="s">
        <x:v>1421</x:v>
      </x:c>
      <x:c r="N21" t="n">
        <x:f>(N19-N18)</x:f>
        <x:v>-4</x:v>
      </x:c>
    </x:row>
    <x:row r="22">
      <x:c r="A22" s="4"/>
      <x:c r="B22" s="4"/>
      <x:c r="C22" s="4"/>
      <x:c r="D22" s="4"/>
      <x:c r="E22" s="4"/>
      <x:c r="F22" s="4"/>
      <x:c r="G22" s="4"/>
      <x:c r="H22" s="4"/>
      <x:c r="I22" s="4"/>
      <x:c r="J22" s="4"/>
      <x:c r="M22" t="s">
        <x:v>1422</x:v>
      </x:c>
      <x:c r="N22" t="n">
        <x:f>K19-K18</x:f>
        <x:v>5</x:v>
      </x:c>
    </x:row>
    <x:row r="23">
      <x:c r="A23" s="4"/>
      <x:c r="B23" s="4"/>
      <x:c r="C23" s="4"/>
      <x:c r="D23" s="4"/>
      <x:c r="E23" s="4"/>
      <x:c r="F23" s="4"/>
      <x:c r="G23" s="4"/>
      <x:c r="H23" s="4"/>
      <x:c r="I23" s="4"/>
      <x:c r="J23" s="4"/>
      <x:c r="M23" t="s">
        <x:v>1423</x:v>
      </x:c>
      <x:c r="N23" t="n">
        <x:f>N21/N22</x:f>
        <x:v>-0.8</x:v>
      </x:c>
    </x:row>
    <x:row r="24">
      <x:c r="A24" s="4"/>
      <x:c r="B24" s="4"/>
      <x:c r="C24" s="4"/>
      <x:c r="D24" s="4"/>
      <x:c r="E24" s="4"/>
      <x:c r="F24" s="4"/>
      <x:c r="G24" s="4"/>
      <x:c r="H24" s="4"/>
      <x:c r="I24" s="4"/>
      <x:c r="J24" s="4" t="s">
        <x:v>1424</x:v>
      </x:c>
      <x:c r="M24" t="s">
        <x:v>1425</x:v>
      </x:c>
      <x:c r="N24" t="n">
        <x:f>N18-N23*K18</x:f>
        <x:v>10.8</x:v>
      </x:c>
    </x:row>
    <x:row r="25">
      <x:c r="A25" s="4"/>
      <x:c r="B25" s="4"/>
      <x:c r="C25" s="4"/>
      <x:c r="D25" s="4"/>
      <x:c r="E25" s="4"/>
      <x:c r="F25" s="4"/>
      <x:c r="G25" s="4"/>
      <x:c r="H25" s="4"/>
      <x:c r="I25" s="4"/>
      <x:c r="J25" s="4"/>
      <x:c r="M25" t="s">
        <x:v>1426</x:v>
      </x:c>
      <x:c r="N25" t="n">
        <x:f>N19-N23*K19</x:f>
        <x:v>10.8</x:v>
      </x:c>
    </x:row>
    <x:row r="26">
      <x:c r="A26" s="4"/>
      <x:c r="B26" s="4"/>
      <x:c r="C26" s="4"/>
      <x:c r="D26" s="4"/>
      <x:c r="E26" s="4"/>
      <x:c r="F26" s="4"/>
      <x:c r="G26" s="4"/>
      <x:c r="H26" s="4"/>
      <x:c r="I26" s="4"/>
      <x:c r="J26" s="4"/>
      <x:c r="N26" t="n">
        <x:f>N24-N25</x:f>
        <x:v>0</x:v>
      </x:c>
    </x:row>
    <x:row r="27">
      <x:c r="A27" s="4"/>
      <x:c r="B27" s="4"/>
      <x:c r="C27" s="4"/>
      <x:c r="D27" s="4"/>
      <x:c r="E27" s="4"/>
      <x:c r="F27" s="4"/>
      <x:c r="G27" s="4"/>
      <x:c r="H27" s="4"/>
      <x:c r="I27" s="4"/>
      <x:c r="J27" s="4" t="s">
        <x:v>1386</x:v>
      </x:c>
      <x:c r="K27" s="4" t="n">
        <x:f>K10</x:f>
        <x:v>6</x:v>
      </x:c>
      <x:c r="L27" s="4" t="s">
        <x:v>1204</x:v>
      </x:c>
      <x:c r="M27" t="s">
        <x:v>1411</x:v>
      </x:c>
      <x:c r="N27" t="n">
        <x:f>$N$23*K27+$N$24</x:f>
        <x:v>6</x:v>
      </x:c>
    </x:row>
    <x:row r="28">
      <x:c r="A28" s="4"/>
      <x:c r="B28" s="4"/>
      <x:c r="C28" s="4"/>
      <x:c r="D28" s="4"/>
      <x:c r="E28" s="4"/>
      <x:c r="F28" s="4"/>
      <x:c r="G28" s="4"/>
      <x:c r="H28" s="4"/>
      <x:c r="I28" s="4"/>
      <x:c r="J28" s="4" t="s">
        <x:v>1390</x:v>
      </x:c>
      <x:c r="K28" s="4" t="n">
        <x:f>K11</x:f>
        <x:v>2.5</x:v>
      </x:c>
      <x:c r="L28" s="4" t="s">
        <x:v>1204</x:v>
      </x:c>
      <x:c r="N28" t="n">
        <x:f>$N$23*K28+$N$24</x:f>
        <x:v>8.8</x:v>
      </x:c>
    </x:row>
    <x:row r="29">
      <x:c r="A29" s="4"/>
      <x:c r="B29" s="4"/>
      <x:c r="C29" s="4"/>
      <x:c r="D29" s="4"/>
      <x:c r="E29" s="4"/>
      <x:c r="F29" s="4"/>
      <x:c r="G29" s="4"/>
      <x:c r="H29" s="4"/>
      <x:c r="I29" s="4"/>
      <x:c r="J29" s="4" t="s">
        <x:v>1395</x:v>
      </x:c>
      <x:c r="K29" s="4" t="n">
        <x:f>K12</x:f>
        <x:v>2</x:v>
      </x:c>
      <x:c r="L29" s="4" t="s">
        <x:v>1204</x:v>
      </x:c>
      <x:c r="N29" t="n">
        <x:f>$N$23*K29+$N$24</x:f>
        <x:v>9.200000000000001</x:v>
      </x:c>
    </x:row>
    <x:row r="30">
      <x:c r="A30" s="4"/>
      <x:c r="B30" s="4"/>
      <x:c r="C30" s="4"/>
      <x:c r="D30" s="4"/>
      <x:c r="E30" s="4"/>
      <x:c r="F30" s="4"/>
      <x:c r="G30" s="4"/>
      <x:c r="H30" s="4"/>
      <x:c r="I30" s="4"/>
      <x:c r="J30" s="4" t="s">
        <x:v>1401</x:v>
      </x:c>
      <x:c r="K30" s="4" t="n">
        <x:f>K13</x:f>
        <x:v>1</x:v>
      </x:c>
      <x:c r="L30" s="4" t="s">
        <x:v>1204</x:v>
      </x:c>
      <x:c r="M30" t="s">
        <x:v>1414</x:v>
      </x:c>
      <x:c r="N30" t="n">
        <x:f>$N$23*K30+$N$24</x:f>
        <x:v>10</x:v>
      </x:c>
    </x:row>
    <x:row r="31">
      <x:c r="A31" s="4"/>
      <x:c r="B31" s="4"/>
      <x:c r="C31" s="4"/>
      <x:c r="D31" s="4"/>
      <x:c r="E31" s="4"/>
      <x:c r="F31" s="4"/>
      <x:c r="G31" s="4"/>
      <x:c r="H31" s="4"/>
      <x:c r="I31" s="4"/>
      <x:c r="J31" s="4"/>
    </x:row>
    <x:row r="32">
      <x:c r="A32" s="4"/>
      <x:c r="B32" s="4"/>
      <x:c r="C32" s="4"/>
      <x:c r="D32" s="4"/>
      <x:c r="E32" s="4"/>
      <x:c r="F32" s="4"/>
      <x:c r="G32" s="4"/>
      <x:c r="H32" s="4"/>
      <x:c r="I32" s="4"/>
      <x:c r="J32" s="31" t="s">
        <x:v>1427</x:v>
      </x:c>
      <x:c r="K32" s="31" t="n">
        <x:f>K15</x:f>
        <x:v>5</x:v>
      </x:c>
      <x:c r="L32" s="31" t="s">
        <x:v>1204</x:v>
      </x:c>
      <x:c r="N32">
        <x:v>0</x:v>
      </x:c>
    </x:row>
    <x:row r="33">
      <x:c r="A33" s="4"/>
      <x:c r="B33" s="4"/>
      <x:c r="C33" s="4"/>
      <x:c r="D33" s="4"/>
      <x:c r="E33" s="4"/>
      <x:c r="F33" s="4"/>
      <x:c r="G33" s="4"/>
      <x:c r="H33" s="4"/>
      <x:c r="I33" s="4"/>
      <x:c r="J33" s="4"/>
      <x:c r="K33" t="n">
        <x:f>K32</x:f>
        <x:v>5</x:v>
      </x:c>
      <x:c r="N33">
        <x:v>10</x:v>
      </x:c>
    </x:row>
    <x:row r="34">
      <x:c r="A34" s="4"/>
      <x:c r="B34" s="4"/>
      <x:c r="C34" s="4"/>
      <x:c r="D34" s="4"/>
      <x:c r="E34" s="4"/>
      <x:c r="F34" s="4"/>
      <x:c r="G34" s="4"/>
      <x:c r="H34" s="4"/>
      <x:c r="I34" s="4"/>
      <x:c r="J34" s="4"/>
    </x:row>
    <x:row r="35">
      <x:c r="A35" s="4"/>
      <x:c r="B35" s="4"/>
      <x:c r="C35" s="4"/>
      <x:c r="D35" s="4"/>
      <x:c r="E35" s="4"/>
      <x:c r="F35" s="4"/>
      <x:c r="G35" s="4"/>
      <x:c r="H35" s="4"/>
      <x:c r="I35" s="4"/>
      <x:c r="J35" s="4" t="s">
        <x:v>1428</x:v>
      </x:c>
    </x:row>
    <x:row r="36">
      <x:c r="A36" s="4"/>
      <x:c r="B36" s="4"/>
      <x:c r="C36" s="4"/>
      <x:c r="D36" s="4"/>
      <x:c r="E36" s="4"/>
      <x:c r="F36" s="4"/>
      <x:c r="G36" s="4"/>
      <x:c r="H36" s="4"/>
      <x:c r="I36" s="4"/>
      <x:c r="J36" s="4" t="s">
        <x:v>1429</x:v>
      </x:c>
    </x:row>
    <x:row r="37">
      <x:c r="A37" s="4"/>
      <x:c r="B37" s="4"/>
      <x:c r="C37" s="4"/>
      <x:c r="D37" s="4" t="s">
        <x:v>1430</x:v>
      </x:c>
      <x:c r="E37" s="4"/>
      <x:c r="F37" s="4"/>
      <x:c r="G37" s="4"/>
      <x:c r="H37" s="4"/>
      <x:c r="I37" s="4"/>
      <x:c r="J37" s="23" t="s">
        <x:v>1431</x:v>
      </x:c>
      <x:c r="K37" s="4" t="n">
        <x:f>K27</x:f>
        <x:v>6</x:v>
      </x:c>
      <x:c r="L37" s="4" t="s">
        <x:v>1204</x:v>
      </x:c>
      <x:c r="N37" t="n">
        <x:f>($N$19-$N$18)/($K$19-$K$18)*(K37-$K$18)+$N$18</x:f>
        <x:v>6</x:v>
      </x:c>
    </x:row>
    <x:row r="38">
      <x:c r="A38" s="4"/>
      <x:c r="B38" s="4"/>
      <x:c r="C38" s="4"/>
      <x:c r="D38" s="4"/>
      <x:c r="E38" s="4"/>
      <x:c r="F38" s="4"/>
      <x:c r="G38" s="4"/>
      <x:c r="H38" s="4"/>
      <x:c r="I38" s="4"/>
      <x:c r="J38" s="4" t="s">
        <x:v>1432</x:v>
      </x:c>
      <x:c r="K38" s="4" t="n">
        <x:f>K28</x:f>
        <x:v>2.5</x:v>
      </x:c>
      <x:c r="L38" s="4" t="s">
        <x:v>1204</x:v>
      </x:c>
      <x:c r="N38" t="n">
        <x:f>($N$19-$N$18)/($K$19-$K$18)*(K38-$K$18)+$N$18</x:f>
        <x:v>8.8</x:v>
      </x:c>
    </x:row>
    <x:row r="39">
      <x:c r="A39" s="4"/>
      <x:c r="B39" s="4"/>
      <x:c r="C39" s="4"/>
      <x:c r="D39" s="4"/>
      <x:c r="E39" s="4"/>
      <x:c r="F39" s="4"/>
      <x:c r="G39" s="4"/>
      <x:c r="H39" s="4"/>
      <x:c r="I39" s="4"/>
      <x:c r="J39" s="4"/>
      <x:c r="K39" s="4" t="n">
        <x:f>K29</x:f>
        <x:v>2</x:v>
      </x:c>
      <x:c r="L39" s="4" t="s">
        <x:v>1204</x:v>
      </x:c>
      <x:c r="N39" t="n">
        <x:f>($N$19-$N$18)/($K$19-$K$18)*(K39-$K$18)+$N$18</x:f>
        <x:v>9.2</x:v>
      </x:c>
    </x:row>
    <x:row r="40">
      <x:c r="A40" s="4"/>
      <x:c r="B40" s="4"/>
      <x:c r="C40" s="4"/>
      <x:c r="D40" s="4"/>
      <x:c r="E40" s="4"/>
      <x:c r="F40" s="4"/>
      <x:c r="G40" s="4"/>
      <x:c r="H40" s="4"/>
      <x:c r="I40" s="4"/>
      <x:c r="J40" s="4"/>
      <x:c r="K40" s="4" t="n">
        <x:f>K30</x:f>
        <x:v>1</x:v>
      </x:c>
      <x:c r="L40" s="4" t="s">
        <x:v>1204</x:v>
      </x:c>
      <x:c r="N40" t="n">
        <x:f>($N$19-$N$18)/($K$19-$K$18)*(K40-$K$18)+$N$18</x:f>
        <x:v>10</x:v>
      </x:c>
    </x:row>
  </x:sheetData>
  <x:pageMargins left="0.7" right="0.7" top="0.75" bottom="0.75" header="0.3" footer="0.3"/>
  <x:drawing xmlns:r="http://schemas.openxmlformats.org/officeDocument/2006/relationships" r:id="Ra7a22efad82b4f0f"/>
</x:worksheet>
</file>

<file path=xl/worksheets/sheet9.xml><?xml version="1.0" encoding="utf-8"?>
<x:worksheet xmlns:x14="http://schemas.microsoft.com/office/spreadsheetml/2009/9/main" xmlns:xm="http://schemas.microsoft.com/office/excel/2006/main" xmlns:mc="http://schemas.openxmlformats.org/markup-compatibility/2006" xmlns:xr2="http://schemas.microsoft.com/office/spreadsheetml/2015/revision2" xmlns:x="http://schemas.openxmlformats.org/spreadsheetml/2006/main" mc:Ignorable="xr2">
  <x:sheetFormatPr defaultColWidth="12" defaultRowHeight="11.25"/>
  <x:cols>
    <x:col min="1" max="1" width="55.1640625" customWidth="1"/>
    <x:col min="2" max="2" width="9.6640625" customWidth="1"/>
    <x:col min="3" max="4" width="9.6640625" customWidth="1"/>
    <x:col min="5" max="5" width="14.1640625" customWidth="1"/>
    <x:col min="6" max="6" width="21.6640625" customWidth="1"/>
    <x:col min="7" max="44" width="9.6640625" customWidth="1"/>
    <x:col min="45" max="69" width="7.1640625" customWidth="1"/>
  </x:cols>
  <x:sheetData>
    <x:row r="1">
      <x:c r="F1" t="s">
        <x:v>1433</x:v>
      </x:c>
      <x:c r="G1" s="102">
        <x:v>46234</x:v>
      </x:c>
      <x:c r="H1" s="102">
        <x:v>46265</x:v>
      </x:c>
      <x:c r="I1" s="102">
        <x:v>46295</x:v>
      </x:c>
      <x:c r="J1" s="102">
        <x:v>46326</x:v>
      </x:c>
      <x:c r="K1" s="102">
        <x:v>46356</x:v>
      </x:c>
      <x:c r="L1" s="102">
        <x:v>46387</x:v>
      </x:c>
      <x:c r="M1" s="102">
        <x:v>46418</x:v>
      </x:c>
      <x:c r="N1" s="102">
        <x:v>46446</x:v>
      </x:c>
      <x:c r="O1" s="102">
        <x:v>46477</x:v>
      </x:c>
      <x:c r="P1" s="102">
        <x:v>46507</x:v>
      </x:c>
      <x:c r="Q1" s="102">
        <x:v>46538</x:v>
      </x:c>
      <x:c r="R1" s="102">
        <x:v>46568</x:v>
      </x:c>
      <x:c r="S1" s="102">
        <x:v>46599</x:v>
      </x:c>
      <x:c r="T1" s="102">
        <x:v>46630</x:v>
      </x:c>
      <x:c r="U1" s="102">
        <x:v>46660</x:v>
      </x:c>
      <x:c r="V1" s="102">
        <x:v>46691</x:v>
      </x:c>
      <x:c r="W1" s="102">
        <x:v>46721</x:v>
      </x:c>
      <x:c r="X1" s="102">
        <x:v>46752</x:v>
      </x:c>
      <x:c r="Y1" s="102">
        <x:v>46783</x:v>
      </x:c>
      <x:c r="Z1" s="102">
        <x:v>46812</x:v>
      </x:c>
      <x:c r="AA1" s="102">
        <x:v>46843</x:v>
      </x:c>
      <x:c r="AB1" s="102">
        <x:v>46873</x:v>
      </x:c>
      <x:c r="AC1" s="102">
        <x:v>46904</x:v>
      </x:c>
      <x:c r="AD1" s="102">
        <x:v>46934</x:v>
      </x:c>
      <x:c r="AE1" s="102">
        <x:v>46965</x:v>
      </x:c>
      <x:c r="AF1" s="102">
        <x:v>46996</x:v>
      </x:c>
      <x:c r="AG1" s="102">
        <x:v>47026</x:v>
      </x:c>
      <x:c r="AH1" s="102">
        <x:v>47057</x:v>
      </x:c>
      <x:c r="AI1" s="102">
        <x:v>47087</x:v>
      </x:c>
      <x:c r="AJ1" s="102">
        <x:v>47118</x:v>
      </x:c>
      <x:c r="AK1" s="102">
        <x:v>47149</x:v>
      </x:c>
      <x:c r="AL1" s="102">
        <x:v>47177</x:v>
      </x:c>
      <x:c r="AM1" s="102">
        <x:v>47208</x:v>
      </x:c>
      <x:c r="AN1" s="102">
        <x:v>47238</x:v>
      </x:c>
      <x:c r="AO1" s="102">
        <x:v>47269</x:v>
      </x:c>
      <x:c r="AP1" s="102">
        <x:v>47299</x:v>
      </x:c>
      <x:c r="AQ1" s="102"/>
      <x:c r="AR1" s="102"/>
    </x:row>
    <x:row r="2" ht="22.5">
      <x:c r="A2" s="117" t="s">
        <x:v>619</x:v>
      </x:c>
      <x:c r="B2" s="118" t="s">
        <x:v>10</x:v>
      </x:c>
      <x:c r="C2" s="118" t="s">
        <x:v>1434</x:v>
      </x:c>
      <x:c r="D2" s="118" t="s">
        <x:v>1435</x:v>
      </x:c>
      <x:c r="E2" s="118" t="s">
        <x:v>1436</x:v>
      </x:c>
      <x:c r="F2" s="118" t="s">
        <x:v>14</x:v>
      </x:c>
      <x:c r="G2" s="118" t="s">
        <x:v>1437</x:v>
      </x:c>
      <x:c r="H2" s="118" t="s">
        <x:v>1438</x:v>
      </x:c>
      <x:c r="I2" s="118" t="s">
        <x:v>1439</x:v>
      </x:c>
      <x:c r="J2" s="118" t="s">
        <x:v>1440</x:v>
      </x:c>
      <x:c r="K2" s="118" t="s">
        <x:v>1441</x:v>
      </x:c>
      <x:c r="L2" s="118" t="s">
        <x:v>1442</x:v>
      </x:c>
      <x:c r="M2" s="118" t="s">
        <x:v>1443</x:v>
      </x:c>
      <x:c r="N2" s="118" t="s">
        <x:v>1444</x:v>
      </x:c>
      <x:c r="O2" s="118" t="s">
        <x:v>1445</x:v>
      </x:c>
      <x:c r="P2" s="118" t="s">
        <x:v>1446</x:v>
      </x:c>
      <x:c r="Q2" s="118" t="s">
        <x:v>1447</x:v>
      </x:c>
      <x:c r="R2" s="118" t="s">
        <x:v>1448</x:v>
      </x:c>
      <x:c r="S2" s="118" t="s">
        <x:v>1449</x:v>
      </x:c>
      <x:c r="T2" s="118" t="s">
        <x:v>1450</x:v>
      </x:c>
      <x:c r="U2" s="118" t="s">
        <x:v>1451</x:v>
      </x:c>
      <x:c r="V2" s="118" t="s">
        <x:v>1452</x:v>
      </x:c>
      <x:c r="W2" s="118" t="s">
        <x:v>1453</x:v>
      </x:c>
      <x:c r="X2" s="118" t="s">
        <x:v>1454</x:v>
      </x:c>
      <x:c r="Y2" s="118" t="s">
        <x:v>1455</x:v>
      </x:c>
      <x:c r="Z2" s="118" t="s">
        <x:v>1456</x:v>
      </x:c>
      <x:c r="AA2" s="118" t="s">
        <x:v>1457</x:v>
      </x:c>
      <x:c r="AB2" s="118" t="s">
        <x:v>1458</x:v>
      </x:c>
      <x:c r="AC2" s="118" t="s">
        <x:v>1459</x:v>
      </x:c>
      <x:c r="AD2" s="118" t="s">
        <x:v>1460</x:v>
      </x:c>
      <x:c r="AE2" s="118" t="s">
        <x:v>1461</x:v>
      </x:c>
      <x:c r="AF2" s="118" t="s">
        <x:v>1462</x:v>
      </x:c>
      <x:c r="AG2" s="118" t="s">
        <x:v>1463</x:v>
      </x:c>
      <x:c r="AH2" s="118" t="s">
        <x:v>1464</x:v>
      </x:c>
      <x:c r="AI2" s="118" t="s">
        <x:v>1465</x:v>
      </x:c>
      <x:c r="AJ2" s="118" t="s">
        <x:v>1466</x:v>
      </x:c>
      <x:c r="AK2" s="118" t="s">
        <x:v>1467</x:v>
      </x:c>
      <x:c r="AL2" s="118" t="s">
        <x:v>1468</x:v>
      </x:c>
      <x:c r="AM2" s="118" t="s">
        <x:v>1469</x:v>
      </x:c>
      <x:c r="AN2" s="118" t="s">
        <x:v>1470</x:v>
      </x:c>
      <x:c r="AO2" s="118" t="s">
        <x:v>1471</x:v>
      </x:c>
      <x:c r="AP2" s="118" t="s">
        <x:v>1472</x:v>
      </x:c>
      <x:c r="AQ2" s="171"/>
      <x:c r="AR2" s="171"/>
    </x:row>
    <x:row r="3">
      <x:c r="A3" s="24" t="s">
        <x:v>1473</x:v>
      </x:c>
      <x:c r="F3" s="100"/>
    </x:row>
    <x:row r="4">
      <x:c r="A4" t="s">
        <x:v>1474</x:v>
      </x:c>
      <x:c r="F4" s="106" t="s">
        <x:v>1475</x:v>
      </x:c>
    </x:row>
    <x:row r="5">
      <x:c r="A5" s="24" t="s">
        <x:v>1476</x:v>
      </x:c>
      <x:c r="B5" s="43"/>
      <x:c r="D5" s="47"/>
      <x:c r="E5" s="25"/>
      <x:c r="F5" s="47" t="s">
        <x:v>1477</x:v>
      </x:c>
      <x:c r="G5" s="25"/>
      <x:c r="H5" s="25"/>
      <x:c r="I5" s="25"/>
      <x:c r="J5" s="25"/>
      <x:c r="K5" s="25"/>
      <x:c r="L5" s="25"/>
      <x:c r="M5" s="25"/>
      <x:c r="N5" s="25"/>
      <x:c r="O5" s="25"/>
      <x:c r="P5" s="25"/>
      <x:c r="Q5" s="25"/>
      <x:c r="R5" s="25"/>
      <x:c r="S5" s="25"/>
      <x:c r="T5" s="25"/>
      <x:c r="U5" s="25"/>
      <x:c r="V5" s="25"/>
      <x:c r="W5" s="25"/>
      <x:c r="X5" s="25"/>
      <x:c r="Y5" s="25"/>
      <x:c r="Z5" s="25"/>
      <x:c r="AA5" s="25"/>
      <x:c r="AB5" s="25"/>
      <x:c r="AC5" s="25"/>
      <x:c r="AD5" s="25"/>
      <x:c r="AE5" s="25"/>
      <x:c r="AF5" s="25"/>
      <x:c r="AG5" s="25"/>
      <x:c r="AH5" s="25"/>
      <x:c r="AI5" s="25"/>
      <x:c r="AJ5" s="25"/>
      <x:c r="AK5" s="25"/>
      <x:c r="AL5" s="25"/>
      <x:c r="AM5" s="25"/>
      <x:c r="AN5" s="25"/>
      <x:c r="AO5" s="25"/>
      <x:c r="AP5" s="25"/>
      <x:c r="AQ5" s="25"/>
      <x:c r="AR5" s="25"/>
    </x:row>
    <x:row r="6">
      <x:c r="A6" s="1" t="s">
        <x:v>1478</x:v>
      </x:c>
      <x:c r="B6" s="43" t="s">
        <x:v>547</x:v>
      </x:c>
      <x:c r="C6">
        <x:v>900</x:v>
      </x:c>
      <x:c r="D6" s="47">
        <x:v>1800</x:v>
      </x:c>
      <x:c r="E6" s="111" t="n">
        <x:f>ROUND(AVERAGE(C6:D6)/12,2)</x:f>
        <x:v>112.5</x:v>
      </x:c>
      <x:c r="F6" s="47" t="s">
        <x:v>1479</x:v>
      </x:c>
      <x:c r="G6" s="25">
        <x:v>1</x:v>
      </x:c>
      <x:c r="H6" s="25">
        <x:v>2</x:v>
      </x:c>
      <x:c r="I6" s="25"/>
      <x:c r="J6" s="25"/>
      <x:c r="K6" s="25"/>
      <x:c r="L6" s="25"/>
      <x:c r="M6" s="25"/>
      <x:c r="N6" s="25" t="n">
        <x:f>G6</x:f>
        <x:v>1</x:v>
      </x:c>
      <x:c r="O6" s="25" t="n">
        <x:f t="shared" ref="O6:T9" si="0">H6</x:f>
        <x:v>2</x:v>
      </x:c>
      <x:c r="P6" s="25">
        <x:f t="shared" si="0"/>
        <x:v>0</x:v>
      </x:c>
      <x:c r="Q6" s="25">
        <x:f t="shared" si="0"/>
        <x:v>0</x:v>
      </x:c>
      <x:c r="R6" s="25">
        <x:f t="shared" si="0"/>
        <x:v>0</x:v>
      </x:c>
      <x:c r="S6" s="25">
        <x:f t="shared" si="0"/>
        <x:v>0</x:v>
      </x:c>
      <x:c r="T6" s="25">
        <x:f t="shared" si="0"/>
        <x:v>0</x:v>
      </x:c>
      <x:c r="U6" s="25" t="n">
        <x:f>N6*2</x:f>
        <x:v>2</x:v>
      </x:c>
      <x:c r="V6" s="25" t="n">
        <x:f t="shared" ref="V6:AK9" si="1">O6*2</x:f>
        <x:v>4</x:v>
      </x:c>
      <x:c r="W6" s="25">
        <x:f t="shared" si="1"/>
        <x:v>0</x:v>
      </x:c>
      <x:c r="X6" s="25">
        <x:f t="shared" si="1"/>
        <x:v>0</x:v>
      </x:c>
      <x:c r="Y6" s="25">
        <x:f t="shared" si="1"/>
        <x:v>0</x:v>
      </x:c>
      <x:c r="Z6" s="25">
        <x:f t="shared" si="1"/>
        <x:v>0</x:v>
      </x:c>
      <x:c r="AA6" s="25">
        <x:f t="shared" si="1"/>
        <x:v>0</x:v>
      </x:c>
      <x:c r="AB6" s="25">
        <x:f t="shared" si="1"/>
        <x:v>4</x:v>
      </x:c>
      <x:c r="AC6" s="25">
        <x:f t="shared" si="1"/>
        <x:v>8</x:v>
      </x:c>
      <x:c r="AD6" s="25">
        <x:f t="shared" si="1"/>
        <x:v>0</x:v>
      </x:c>
      <x:c r="AE6" s="25">
        <x:f t="shared" si="1"/>
        <x:v>0</x:v>
      </x:c>
      <x:c r="AF6" s="25">
        <x:f t="shared" si="1"/>
        <x:v>0</x:v>
      </x:c>
      <x:c r="AG6" s="25">
        <x:f t="shared" si="1"/>
        <x:v>0</x:v>
      </x:c>
      <x:c r="AH6" s="25">
        <x:f t="shared" si="1"/>
        <x:v>0</x:v>
      </x:c>
      <x:c r="AI6" s="25">
        <x:f t="shared" si="1"/>
        <x:v>8</x:v>
      </x:c>
      <x:c r="AJ6" s="25">
        <x:f t="shared" si="1"/>
        <x:v>16</x:v>
      </x:c>
      <x:c r="AK6" s="25">
        <x:f t="shared" si="1"/>
        <x:v>0</x:v>
      </x:c>
      <x:c r="AL6" s="25" t="n">
        <x:f t="shared" ref="AL6:AP9" si="2">AE6*2</x:f>
        <x:v>0</x:v>
      </x:c>
      <x:c r="AM6" s="25">
        <x:f t="shared" si="2"/>
        <x:v>0</x:v>
      </x:c>
      <x:c r="AN6" s="25">
        <x:f t="shared" si="2"/>
        <x:v>0</x:v>
      </x:c>
      <x:c r="AO6" s="25">
        <x:f t="shared" si="2"/>
        <x:v>0</x:v>
      </x:c>
      <x:c r="AP6" s="25">
        <x:f t="shared" si="2"/>
        <x:v>16</x:v>
      </x:c>
      <x:c r="AQ6" s="25"/>
      <x:c r="AR6" s="25"/>
    </x:row>
    <x:row r="7">
      <x:c r="A7" s="1" t="s">
        <x:v>1480</x:v>
      </x:c>
      <x:c r="B7" t="str">
        <x:f>B$6</x:f>
        <x:v>EUR</x:v>
      </x:c>
      <x:c r="C7">
        <x:v>600</x:v>
      </x:c>
      <x:c r="D7">
        <x:v>1200</x:v>
      </x:c>
      <x:c r="E7" s="111" t="n">
        <x:f t="shared" ref="E7:E9" si="3">ROUND(AVERAGE(C7:D7)/12,2)</x:f>
        <x:v>75</x:v>
      </x:c>
      <x:c r="F7" t="s">
        <x:v>1477</x:v>
      </x:c>
      <x:c r="G7" s="25"/>
      <x:c r="H7" s="25"/>
      <x:c r="I7" s="25">
        <x:v>1</x:v>
      </x:c>
      <x:c r="J7" s="25">
        <x:v>2</x:v>
      </x:c>
      <x:c r="K7" s="25">
        <x:v>2</x:v>
      </x:c>
      <x:c r="L7" s="25"/>
      <x:c r="M7" s="25"/>
      <x:c r="N7" s="25" t="n">
        <x:f t="shared" ref="N7:N9" si="4">G7</x:f>
        <x:v>0</x:v>
      </x:c>
      <x:c r="O7" s="25">
        <x:f t="shared" si="0"/>
        <x:v>0</x:v>
      </x:c>
      <x:c r="P7" s="25">
        <x:f t="shared" si="0"/>
        <x:v>1</x:v>
      </x:c>
      <x:c r="Q7" s="25">
        <x:f t="shared" si="0"/>
        <x:v>2</x:v>
      </x:c>
      <x:c r="R7" s="25">
        <x:f t="shared" si="0"/>
        <x:v>2</x:v>
      </x:c>
      <x:c r="S7" s="25">
        <x:f t="shared" si="0"/>
        <x:v>0</x:v>
      </x:c>
      <x:c r="T7" s="25">
        <x:f t="shared" si="0"/>
        <x:v>0</x:v>
      </x:c>
      <x:c r="U7" s="25" t="n">
        <x:f t="shared" ref="U7:U9" si="5">N7*2</x:f>
        <x:v>0</x:v>
      </x:c>
      <x:c r="V7" s="25">
        <x:f t="shared" si="1"/>
        <x:v>0</x:v>
      </x:c>
      <x:c r="W7" s="25">
        <x:f t="shared" si="1"/>
        <x:v>2</x:v>
      </x:c>
      <x:c r="X7" s="25">
        <x:f t="shared" si="1"/>
        <x:v>4</x:v>
      </x:c>
      <x:c r="Y7" s="25">
        <x:f t="shared" si="1"/>
        <x:v>4</x:v>
      </x:c>
      <x:c r="Z7" s="25">
        <x:f t="shared" si="1"/>
        <x:v>0</x:v>
      </x:c>
      <x:c r="AA7" s="25">
        <x:f t="shared" si="1"/>
        <x:v>0</x:v>
      </x:c>
      <x:c r="AB7" s="25">
        <x:f t="shared" si="1"/>
        <x:v>0</x:v>
      </x:c>
      <x:c r="AC7" s="25">
        <x:f t="shared" si="1"/>
        <x:v>0</x:v>
      </x:c>
      <x:c r="AD7" s="25">
        <x:f t="shared" si="1"/>
        <x:v>4</x:v>
      </x:c>
      <x:c r="AE7" s="25">
        <x:f t="shared" si="1"/>
        <x:v>8</x:v>
      </x:c>
      <x:c r="AF7" s="25">
        <x:f t="shared" si="1"/>
        <x:v>8</x:v>
      </x:c>
      <x:c r="AG7" s="25">
        <x:f t="shared" si="1"/>
        <x:v>0</x:v>
      </x:c>
      <x:c r="AH7" s="25">
        <x:f t="shared" si="1"/>
        <x:v>0</x:v>
      </x:c>
      <x:c r="AI7" s="25">
        <x:f t="shared" si="1"/>
        <x:v>0</x:v>
      </x:c>
      <x:c r="AJ7" s="25">
        <x:f t="shared" si="1"/>
        <x:v>0</x:v>
      </x:c>
      <x:c r="AK7" s="25">
        <x:f t="shared" si="1"/>
        <x:v>8</x:v>
      </x:c>
      <x:c r="AL7" s="25">
        <x:f t="shared" si="2"/>
        <x:v>16</x:v>
      </x:c>
      <x:c r="AM7" s="25">
        <x:f t="shared" si="2"/>
        <x:v>16</x:v>
      </x:c>
      <x:c r="AN7" s="25">
        <x:f t="shared" si="2"/>
        <x:v>0</x:v>
      </x:c>
      <x:c r="AO7" s="25">
        <x:f t="shared" si="2"/>
        <x:v>0</x:v>
      </x:c>
      <x:c r="AP7" s="25">
        <x:f t="shared" si="2"/>
        <x:v>0</x:v>
      </x:c>
      <x:c r="AQ7" s="25"/>
      <x:c r="AR7" s="25"/>
    </x:row>
    <x:row r="8">
      <x:c r="A8" s="1" t="s">
        <x:v>1481</x:v>
      </x:c>
      <x:c r="B8" t="str">
        <x:f>B$6</x:f>
        <x:v>EUR</x:v>
      </x:c>
      <x:c r="C8">
        <x:v>200</x:v>
      </x:c>
      <x:c r="D8">
        <x:v>600</x:v>
      </x:c>
      <x:c r="E8" s="111">
        <x:f t="shared" si="3"/>
        <x:v>33.33</x:v>
      </x:c>
      <x:c r="G8" s="25"/>
      <x:c r="H8" s="25"/>
      <x:c r="I8" s="25"/>
      <x:c r="J8" s="25">
        <x:v>1</x:v>
      </x:c>
      <x:c r="K8" s="25">
        <x:v>2</x:v>
      </x:c>
      <x:c r="L8" s="25">
        <x:v>2</x:v>
      </x:c>
      <x:c r="M8" s="25"/>
      <x:c r="N8" s="25">
        <x:f t="shared" si="4"/>
        <x:v>0</x:v>
      </x:c>
      <x:c r="O8" s="25">
        <x:f t="shared" si="0"/>
        <x:v>0</x:v>
      </x:c>
      <x:c r="P8" s="25">
        <x:f t="shared" si="0"/>
        <x:v>0</x:v>
      </x:c>
      <x:c r="Q8" s="25">
        <x:f t="shared" si="0"/>
        <x:v>1</x:v>
      </x:c>
      <x:c r="R8" s="25">
        <x:f t="shared" si="0"/>
        <x:v>2</x:v>
      </x:c>
      <x:c r="S8" s="25">
        <x:f t="shared" si="0"/>
        <x:v>2</x:v>
      </x:c>
      <x:c r="T8" s="25">
        <x:f t="shared" si="0"/>
        <x:v>0</x:v>
      </x:c>
      <x:c r="U8" s="25">
        <x:f t="shared" si="5"/>
        <x:v>0</x:v>
      </x:c>
      <x:c r="V8" s="25">
        <x:f t="shared" si="1"/>
        <x:v>0</x:v>
      </x:c>
      <x:c r="W8" s="25">
        <x:f t="shared" si="1"/>
        <x:v>0</x:v>
      </x:c>
      <x:c r="X8" s="25">
        <x:f t="shared" si="1"/>
        <x:v>2</x:v>
      </x:c>
      <x:c r="Y8" s="25">
        <x:f t="shared" si="1"/>
        <x:v>4</x:v>
      </x:c>
      <x:c r="Z8" s="25">
        <x:f t="shared" si="1"/>
        <x:v>4</x:v>
      </x:c>
      <x:c r="AA8" s="25">
        <x:f t="shared" si="1"/>
        <x:v>0</x:v>
      </x:c>
      <x:c r="AB8" s="25">
        <x:f t="shared" si="1"/>
        <x:v>0</x:v>
      </x:c>
      <x:c r="AC8" s="25">
        <x:f t="shared" si="1"/>
        <x:v>0</x:v>
      </x:c>
      <x:c r="AD8" s="25">
        <x:f t="shared" si="1"/>
        <x:v>0</x:v>
      </x:c>
      <x:c r="AE8" s="25">
        <x:f t="shared" si="1"/>
        <x:v>4</x:v>
      </x:c>
      <x:c r="AF8" s="25">
        <x:f t="shared" si="1"/>
        <x:v>8</x:v>
      </x:c>
      <x:c r="AG8" s="25">
        <x:f t="shared" si="1"/>
        <x:v>8</x:v>
      </x:c>
      <x:c r="AH8" s="25">
        <x:f t="shared" si="1"/>
        <x:v>0</x:v>
      </x:c>
      <x:c r="AI8" s="25">
        <x:f t="shared" si="1"/>
        <x:v>0</x:v>
      </x:c>
      <x:c r="AJ8" s="25">
        <x:f t="shared" si="1"/>
        <x:v>0</x:v>
      </x:c>
      <x:c r="AK8" s="25">
        <x:f t="shared" si="1"/>
        <x:v>0</x:v>
      </x:c>
      <x:c r="AL8" s="25">
        <x:f t="shared" si="2"/>
        <x:v>8</x:v>
      </x:c>
      <x:c r="AM8" s="25">
        <x:f t="shared" si="2"/>
        <x:v>16</x:v>
      </x:c>
      <x:c r="AN8" s="25">
        <x:f t="shared" si="2"/>
        <x:v>16</x:v>
      </x:c>
      <x:c r="AO8" s="25">
        <x:f t="shared" si="2"/>
        <x:v>0</x:v>
      </x:c>
      <x:c r="AP8" s="25">
        <x:f t="shared" si="2"/>
        <x:v>0</x:v>
      </x:c>
      <x:c r="AQ8" s="25"/>
      <x:c r="AR8" s="25"/>
    </x:row>
    <x:row r="9">
      <x:c r="A9" s="1" t="s">
        <x:v>1482</x:v>
      </x:c>
      <x:c r="B9" t="str">
        <x:f>B$6</x:f>
        <x:v>EUR</x:v>
      </x:c>
      <x:c r="C9">
        <x:v>0</x:v>
      </x:c>
      <x:c r="D9">
        <x:v>300</x:v>
      </x:c>
      <x:c r="E9" s="111">
        <x:f t="shared" si="3"/>
        <x:v>12.5</x:v>
      </x:c>
      <x:c r="G9" s="25"/>
      <x:c r="H9" s="25"/>
      <x:c r="I9" s="25"/>
      <x:c r="J9" s="25"/>
      <x:c r="K9" s="25">
        <x:v>1</x:v>
      </x:c>
      <x:c r="L9" s="25">
        <x:v>2</x:v>
      </x:c>
      <x:c r="M9" s="25">
        <x:v>2</x:v>
      </x:c>
      <x:c r="N9" s="25">
        <x:f t="shared" si="4"/>
        <x:v>0</x:v>
      </x:c>
      <x:c r="O9" s="25">
        <x:f t="shared" si="0"/>
        <x:v>0</x:v>
      </x:c>
      <x:c r="P9" s="25">
        <x:f t="shared" si="0"/>
        <x:v>0</x:v>
      </x:c>
      <x:c r="Q9" s="25">
        <x:f t="shared" si="0"/>
        <x:v>0</x:v>
      </x:c>
      <x:c r="R9" s="25">
        <x:f t="shared" si="0"/>
        <x:v>1</x:v>
      </x:c>
      <x:c r="S9" s="25">
        <x:f t="shared" si="0"/>
        <x:v>2</x:v>
      </x:c>
      <x:c r="T9" s="25">
        <x:f t="shared" si="0"/>
        <x:v>2</x:v>
      </x:c>
      <x:c r="U9" s="25">
        <x:f t="shared" si="5"/>
        <x:v>0</x:v>
      </x:c>
      <x:c r="V9" s="25">
        <x:f t="shared" si="1"/>
        <x:v>0</x:v>
      </x:c>
      <x:c r="W9" s="25">
        <x:f t="shared" si="1"/>
        <x:v>0</x:v>
      </x:c>
      <x:c r="X9" s="25">
        <x:f t="shared" si="1"/>
        <x:v>0</x:v>
      </x:c>
      <x:c r="Y9" s="25">
        <x:f t="shared" si="1"/>
        <x:v>2</x:v>
      </x:c>
      <x:c r="Z9" s="25">
        <x:f t="shared" si="1"/>
        <x:v>4</x:v>
      </x:c>
      <x:c r="AA9" s="25">
        <x:f t="shared" si="1"/>
        <x:v>4</x:v>
      </x:c>
      <x:c r="AB9" s="25">
        <x:f t="shared" si="1"/>
        <x:v>0</x:v>
      </x:c>
      <x:c r="AC9" s="25">
        <x:f t="shared" si="1"/>
        <x:v>0</x:v>
      </x:c>
      <x:c r="AD9" s="25">
        <x:f t="shared" si="1"/>
        <x:v>0</x:v>
      </x:c>
      <x:c r="AE9" s="25">
        <x:f t="shared" si="1"/>
        <x:v>0</x:v>
      </x:c>
      <x:c r="AF9" s="25">
        <x:f t="shared" si="1"/>
        <x:v>4</x:v>
      </x:c>
      <x:c r="AG9" s="25">
        <x:f t="shared" si="1"/>
        <x:v>8</x:v>
      </x:c>
      <x:c r="AH9" s="25">
        <x:f t="shared" si="1"/>
        <x:v>8</x:v>
      </x:c>
      <x:c r="AI9" s="25">
        <x:f t="shared" si="1"/>
        <x:v>0</x:v>
      </x:c>
      <x:c r="AJ9" s="25">
        <x:f t="shared" si="1"/>
        <x:v>0</x:v>
      </x:c>
      <x:c r="AK9" s="25">
        <x:f t="shared" si="1"/>
        <x:v>0</x:v>
      </x:c>
      <x:c r="AL9" s="25">
        <x:f t="shared" si="2"/>
        <x:v>0</x:v>
      </x:c>
      <x:c r="AM9" s="25">
        <x:f t="shared" si="2"/>
        <x:v>8</x:v>
      </x:c>
      <x:c r="AN9" s="25">
        <x:f t="shared" si="2"/>
        <x:v>16</x:v>
      </x:c>
      <x:c r="AO9" s="25">
        <x:f t="shared" si="2"/>
        <x:v>16</x:v>
      </x:c>
      <x:c r="AP9" s="25">
        <x:f t="shared" si="2"/>
        <x:v>0</x:v>
      </x:c>
      <x:c r="AQ9" s="25"/>
      <x:c r="AR9" s="25"/>
    </x:row>
    <x:row r="10">
      <x:c r="A10" s="24" t="s">
        <x:v>152</x:v>
      </x:c>
      <x:c r="E10" s="25"/>
      <x:c r="G10" s="25"/>
      <x:c r="H10" s="25"/>
      <x:c r="I10" s="25"/>
      <x:c r="J10" s="25"/>
      <x:c r="K10" s="25"/>
      <x:c r="L10" s="25"/>
      <x:c r="M10" s="25"/>
      <x:c r="N10" s="25"/>
      <x:c r="O10" s="25"/>
      <x:c r="P10" s="25"/>
      <x:c r="Q10" s="25"/>
      <x:c r="R10" s="25"/>
      <x:c r="S10" s="25"/>
      <x:c r="T10" s="25"/>
      <x:c r="U10" s="25"/>
      <x:c r="V10" s="25"/>
      <x:c r="W10" s="25"/>
      <x:c r="X10" s="25"/>
      <x:c r="Y10" s="25"/>
      <x:c r="Z10" s="25"/>
      <x:c r="AA10" s="25"/>
      <x:c r="AB10" s="25"/>
      <x:c r="AC10" s="25"/>
      <x:c r="AD10" s="25"/>
      <x:c r="AE10" s="25"/>
      <x:c r="AF10" s="25"/>
      <x:c r="AG10" s="25"/>
      <x:c r="AH10" s="25"/>
      <x:c r="AI10" s="25"/>
      <x:c r="AJ10" s="25"/>
      <x:c r="AK10" s="25"/>
      <x:c r="AL10" s="25"/>
      <x:c r="AM10" s="25"/>
      <x:c r="AN10" s="25"/>
      <x:c r="AO10" s="25"/>
      <x:c r="AP10" s="25"/>
      <x:c r="AQ10" s="25"/>
      <x:c r="AR10" s="25"/>
    </x:row>
    <x:row r="11">
      <x:c r="A11" s="1" t="s">
        <x:v>158</x:v>
      </x:c>
      <x:c r="B11" t="s">
        <x:v>105</x:v>
      </x:c>
      <x:c r="C11">
        <x:v>3</x:v>
      </x:c>
      <x:c r="D11" s="47">
        <x:v>5</x:v>
      </x:c>
      <x:c r="E11" s="112" t="n">
        <x:f>SUM(G11:M11)</x:f>
        <x:v>4.741935483870968</x:v>
      </x:c>
      <x:c r="F11" s="47" t="s">
        <x:v>1483</x:v>
      </x:c>
      <x:c r="G11" s="103" t="n">
        <x:f>7/31</x:f>
        <x:v>0.22580645161290322</x:v>
      </x:c>
      <x:c r="H11" s="103">
        <x:v>1</x:v>
      </x:c>
      <x:c r="I11" s="103">
        <x:v>1</x:v>
      </x:c>
      <x:c r="J11" s="103">
        <x:v>1</x:v>
      </x:c>
      <x:c r="K11" s="103">
        <x:v>1</x:v>
      </x:c>
      <x:c r="L11" s="103" t="n">
        <x:f>16/31</x:f>
        <x:v>0.5161290322580645</x:v>
      </x:c>
      <x:c r="M11" s="103"/>
      <x:c r="N11" s="103"/>
      <x:c r="O11" s="103"/>
      <x:c r="P11" s="103"/>
      <x:c r="Q11" s="103"/>
      <x:c r="R11" s="103"/>
      <x:c r="S11" s="103"/>
      <x:c r="T11" s="103"/>
      <x:c r="U11" s="103"/>
      <x:c r="V11" s="103"/>
      <x:c r="W11" s="103"/>
      <x:c r="X11" s="103"/>
      <x:c r="Y11" s="103"/>
      <x:c r="Z11" s="103"/>
      <x:c r="AA11" s="103"/>
      <x:c r="AB11" s="103"/>
      <x:c r="AC11" s="103"/>
      <x:c r="AD11" s="103"/>
      <x:c r="AE11" s="103"/>
      <x:c r="AF11" s="103"/>
      <x:c r="AG11" s="103"/>
      <x:c r="AH11" s="103"/>
      <x:c r="AI11" s="103"/>
      <x:c r="AJ11" s="103"/>
      <x:c r="AK11" s="103"/>
      <x:c r="AL11" s="103"/>
      <x:c r="AM11" s="103"/>
      <x:c r="AN11" s="103"/>
      <x:c r="AO11" s="103"/>
      <x:c r="AP11" s="103"/>
      <x:c r="AQ11" s="103"/>
      <x:c r="AR11" s="103"/>
    </x:row>
    <x:row r="12" s="25" customFormat="1">
      <x:c r="A12" s="115" t="s">
        <x:v>1484</x:v>
      </x:c>
      <x:c r="D12" s="116"/>
      <x:c r="F12" s="116"/>
      <x:c r="G12" s="25">
        <x:v>0</x:v>
      </x:c>
      <x:c r="H12" s="25">
        <x:v>1</x:v>
      </x:c>
      <x:c r="I12" s="25">
        <x:v>2</x:v>
      </x:c>
      <x:c r="J12" s="25">
        <x:v>3</x:v>
      </x:c>
      <x:c r="K12" s="25">
        <x:v>4</x:v>
      </x:c>
      <x:c r="L12" s="25">
        <x:v>5</x:v>
      </x:c>
      <x:c r="M12" s="25">
        <x:v>6</x:v>
      </x:c>
      <x:c r="N12" s="25">
        <x:v>0</x:v>
      </x:c>
      <x:c r="O12" s="25">
        <x:v>1</x:v>
      </x:c>
      <x:c r="P12" s="25">
        <x:v>2</x:v>
      </x:c>
      <x:c r="Q12" s="25">
        <x:v>3</x:v>
      </x:c>
      <x:c r="R12" s="25">
        <x:v>4</x:v>
      </x:c>
      <x:c r="S12" s="25">
        <x:v>5</x:v>
      </x:c>
      <x:c r="T12" s="25">
        <x:v>6</x:v>
      </x:c>
      <x:c r="U12" s="25">
        <x:v>0</x:v>
      </x:c>
      <x:c r="V12" s="25">
        <x:v>1</x:v>
      </x:c>
      <x:c r="W12" s="25">
        <x:v>2</x:v>
      </x:c>
      <x:c r="X12" s="25">
        <x:v>3</x:v>
      </x:c>
      <x:c r="Y12" s="25">
        <x:v>4</x:v>
      </x:c>
      <x:c r="Z12" s="25">
        <x:v>5</x:v>
      </x:c>
      <x:c r="AA12" s="25">
        <x:v>6</x:v>
      </x:c>
      <x:c r="AB12" s="25">
        <x:v>0</x:v>
      </x:c>
      <x:c r="AC12" s="25">
        <x:v>1</x:v>
      </x:c>
      <x:c r="AD12" s="25">
        <x:v>2</x:v>
      </x:c>
      <x:c r="AE12" s="25">
        <x:v>3</x:v>
      </x:c>
      <x:c r="AF12" s="25">
        <x:v>4</x:v>
      </x:c>
      <x:c r="AG12" s="25">
        <x:v>5</x:v>
      </x:c>
      <x:c r="AH12" s="25">
        <x:v>6</x:v>
      </x:c>
    </x:row>
    <x:row r="13" s="120" customFormat="1" ht="12.75">
      <x:c r="A13" s="128" t="s">
        <x:v>1485</x:v>
      </x:c>
      <x:c r="C13" s="121">
        <x:v>1</x:v>
      </x:c>
      <x:c r="D13" s="122">
        <x:v>4</x:v>
      </x:c>
      <x:c r="F13" s="123"/>
      <x:c r="G13" s="124"/>
      <x:c r="H13" s="127" t="s">
        <x:v>1486</x:v>
      </x:c>
      <x:c r="I13" s="124"/>
      <x:c r="J13" s="124"/>
      <x:c r="K13" s="124"/>
      <x:c r="L13" s="124"/>
      <x:c r="M13" s="121">
        <x:v>1</x:v>
      </x:c>
      <x:c r="N13" s="125"/>
      <x:c r="O13" s="125"/>
      <x:c r="P13" s="125"/>
      <x:c r="Q13" s="125"/>
      <x:c r="R13" s="125"/>
      <x:c r="S13" s="125"/>
      <x:c r="T13" s="126" t="n">
        <x:f>M13+1</x:f>
        <x:v>2</x:v>
      </x:c>
      <x:c r="U13" s="124"/>
      <x:c r="V13" s="124"/>
      <x:c r="W13" s="124"/>
      <x:c r="X13" s="124"/>
      <x:c r="Y13" s="124"/>
      <x:c r="Z13" s="124"/>
      <x:c r="AA13" s="121" t="n">
        <x:f>T13+1</x:f>
        <x:v>3</x:v>
      </x:c>
      <x:c r="AB13" s="125"/>
      <x:c r="AC13" s="125"/>
      <x:c r="AD13" s="125"/>
      <x:c r="AE13" s="125"/>
      <x:c r="AF13" s="125"/>
      <x:c r="AG13" s="125"/>
      <x:c r="AH13" s="126" t="n">
        <x:f>AA13+1</x:f>
        <x:v>4</x:v>
      </x:c>
    </x:row>
    <x:row r="14" s="120" customFormat="1" ht="12.75">
      <x:c r="A14" s="128"/>
      <x:c r="C14" s="131"/>
      <x:c r="D14" s="132"/>
      <x:c r="F14" s="123"/>
      <x:c r="G14" s="133" t="s">
        <x:v>1487</x:v>
      </x:c>
      <x:c r="H14" s="133"/>
      <x:c r="I14" s="133"/>
      <x:c r="J14" s="133"/>
      <x:c r="K14" s="133"/>
      <x:c r="L14" s="133"/>
      <x:c r="M14" s="134"/>
      <x:c r="N14" s="135" t="s">
        <x:v>1488</x:v>
      </x:c>
      <x:c r="O14" s="135"/>
      <x:c r="P14" s="135"/>
      <x:c r="Q14" s="135"/>
      <x:c r="R14" s="135"/>
      <x:c r="S14" s="135"/>
      <x:c r="T14" s="136"/>
      <x:c r="U14" s="133" t="s">
        <x:v>1489</x:v>
      </x:c>
      <x:c r="V14" s="133"/>
      <x:c r="W14" s="133"/>
      <x:c r="X14" s="133"/>
      <x:c r="Y14" s="133"/>
      <x:c r="Z14" s="133"/>
      <x:c r="AA14" s="134"/>
      <x:c r="AB14" s="135" t="s">
        <x:v>1490</x:v>
      </x:c>
      <x:c r="AC14" s="135"/>
      <x:c r="AD14" s="135"/>
      <x:c r="AE14" s="135"/>
      <x:c r="AF14" s="135"/>
      <x:c r="AG14" s="135"/>
      <x:c r="AH14" s="136"/>
    </x:row>
    <x:row r="15">
      <x:c r="A15" s="1" t="s">
        <x:v>1491</x:v>
      </x:c>
      <x:c r="D15" s="47"/>
      <x:c r="E15" s="112"/>
      <x:c r="F15" s="47"/>
      <x:c r="G15" s="113"/>
      <x:c r="H15" s="113"/>
      <x:c r="I15" s="113"/>
      <x:c r="J15" s="113"/>
      <x:c r="K15" s="103"/>
      <x:c r="L15" s="103"/>
      <x:c r="M15" s="103"/>
      <x:c r="N15" s="103"/>
      <x:c r="O15" s="103"/>
      <x:c r="P15" s="103"/>
      <x:c r="Q15" s="103"/>
      <x:c r="R15" s="103"/>
      <x:c r="S15" s="103"/>
      <x:c r="T15" s="103"/>
      <x:c r="U15" s="103"/>
      <x:c r="V15" s="103"/>
      <x:c r="W15" s="103"/>
      <x:c r="X15" s="103"/>
      <x:c r="Y15" s="103"/>
      <x:c r="Z15" s="103"/>
      <x:c r="AA15" s="103"/>
      <x:c r="AB15" s="103"/>
      <x:c r="AC15" s="103"/>
      <x:c r="AD15" s="103"/>
      <x:c r="AE15" s="103"/>
      <x:c r="AF15" s="103"/>
      <x:c r="AG15" s="103"/>
      <x:c r="AH15" s="103"/>
      <x:c r="AI15" s="103"/>
      <x:c r="AJ15" s="103"/>
      <x:c r="AK15" s="103"/>
      <x:c r="AL15" s="103"/>
      <x:c r="AM15" s="103"/>
      <x:c r="AN15" s="103"/>
      <x:c r="AO15" s="103"/>
      <x:c r="AP15" s="103"/>
      <x:c r="AQ15" s="103"/>
      <x:c r="AR15" s="103"/>
    </x:row>
    <x:row r="16">
      <x:c r="A16" s="1" t="s">
        <x:v>1492</x:v>
      </x:c>
      <x:c r="D16" s="47"/>
      <x:c r="F16" s="47"/>
      <x:c r="G16" s="113" t="n">
        <x:f>G11/$E11</x:f>
        <x:v>0.047619047619047616</x:v>
      </x:c>
      <x:c r="H16" s="113" t="n">
        <x:f>H11/$E11</x:f>
        <x:v>0.21088435374149658</x:v>
      </x:c>
      <x:c r="I16" s="113" t="n">
        <x:f>I11/$E11</x:f>
        <x:v>0.21088435374149658</x:v>
      </x:c>
      <x:c r="J16" s="113" t="n">
        <x:f>J11/$E11</x:f>
        <x:v>0.21088435374149658</x:v>
      </x:c>
      <x:c r="K16" s="113" t="n">
        <x:f t="shared" ref="K16:L16" si="6">K11/$E11</x:f>
        <x:v>0.21088435374149658</x:v>
      </x:c>
      <x:c r="L16" s="113">
        <x:f t="shared" si="6"/>
        <x:v>0.10884353741496598</x:v>
      </x:c>
      <x:c r="M16" s="113"/>
      <x:c r="N16" s="103"/>
      <x:c r="O16" s="103"/>
      <x:c r="P16" s="103"/>
      <x:c r="Q16" s="103"/>
      <x:c r="R16" s="103"/>
      <x:c r="S16" s="103"/>
      <x:c r="T16" s="103"/>
      <x:c r="U16" s="103"/>
      <x:c r="V16" s="103"/>
      <x:c r="W16" s="103"/>
      <x:c r="X16" s="103"/>
      <x:c r="Y16" s="103"/>
      <x:c r="Z16" s="103"/>
      <x:c r="AA16" s="103"/>
      <x:c r="AB16" s="103"/>
      <x:c r="AC16" s="103"/>
      <x:c r="AD16" s="103"/>
      <x:c r="AE16" s="103"/>
      <x:c r="AF16" s="103"/>
      <x:c r="AG16" s="103"/>
      <x:c r="AH16" s="103"/>
      <x:c r="AI16" s="103"/>
      <x:c r="AJ16" s="103"/>
      <x:c r="AK16" s="103"/>
      <x:c r="AL16" s="103"/>
      <x:c r="AM16" s="103"/>
      <x:c r="AN16" s="103"/>
      <x:c r="AO16" s="103"/>
      <x:c r="AP16" s="103"/>
      <x:c r="AQ16" s="103"/>
      <x:c r="AR16" s="103"/>
    </x:row>
    <x:row r="17">
      <x:c r="A17" s="1" t="s">
        <x:v>1493</x:v>
      </x:c>
      <x:c r="D17" s="47"/>
      <x:c r="E17" s="112"/>
      <x:c r="F17" s="47"/>
      <x:c r="G17" s="113" t="n">
        <x:f>SUM($G16:G16)</x:f>
        <x:v>0.047619047619047616</x:v>
      </x:c>
      <x:c r="H17" s="113" t="n">
        <x:f>SUM($G16:H16)</x:f>
        <x:v>0.25850340136054417</x:v>
      </x:c>
      <x:c r="I17" s="113" t="n">
        <x:f>SUM($G16:I16)</x:f>
        <x:v>0.4693877551020408</x:v>
      </x:c>
      <x:c r="J17" s="113" t="n">
        <x:f>SUM($G16:J16)</x:f>
        <x:v>0.6802721088435374</x:v>
      </x:c>
      <x:c r="K17" s="113" t="n">
        <x:f>SUM($G16:K16)</x:f>
        <x:v>0.891156462585034</x:v>
      </x:c>
      <x:c r="L17" s="113" t="n">
        <x:f>SUM($G16:L16)</x:f>
        <x:v>1</x:v>
      </x:c>
      <x:c r="M17" s="113"/>
      <x:c r="N17" s="103"/>
      <x:c r="O17" s="103"/>
      <x:c r="P17" s="103"/>
      <x:c r="Q17" s="103"/>
      <x:c r="R17" s="103"/>
      <x:c r="S17" s="103"/>
      <x:c r="T17" s="103"/>
      <x:c r="U17" s="103"/>
      <x:c r="V17" s="103"/>
      <x:c r="W17" s="103"/>
      <x:c r="X17" s="103"/>
      <x:c r="Y17" s="103"/>
      <x:c r="Z17" s="103"/>
      <x:c r="AA17" s="103"/>
      <x:c r="AB17" s="103"/>
      <x:c r="AC17" s="103"/>
      <x:c r="AD17" s="103"/>
      <x:c r="AE17" s="103"/>
      <x:c r="AF17" s="103"/>
      <x:c r="AG17" s="103"/>
      <x:c r="AH17" s="103"/>
      <x:c r="AI17" s="103"/>
      <x:c r="AJ17" s="103"/>
      <x:c r="AK17" s="103"/>
      <x:c r="AL17" s="103"/>
      <x:c r="AM17" s="103"/>
      <x:c r="AN17" s="103"/>
      <x:c r="AO17" s="103"/>
      <x:c r="AP17" s="103"/>
      <x:c r="AQ17" s="103"/>
      <x:c r="AR17" s="103"/>
    </x:row>
    <x:row r="18">
      <x:c r="A18" s="1" t="s">
        <x:v>1494</x:v>
      </x:c>
      <x:c r="D18" s="47"/>
      <x:c r="E18" s="112"/>
      <x:c r="F18" s="47"/>
      <x:c r="G18" s="113" t="n">
        <x:f>$E$27</x:f>
        <x:v>0.4</x:v>
      </x:c>
      <x:c r="H18" s="113" t="n">
        <x:f>H17*(100%-$E$27)</x:f>
        <x:v>0.1551020408163265</x:v>
      </x:c>
      <x:c r="I18" s="113" t="n">
        <x:f>I16*(100%-$E$27)</x:f>
        <x:v>0.12653061224489795</x:v>
      </x:c>
      <x:c r="J18" s="113" t="n">
        <x:f>J16*(100%-$E$27)</x:f>
        <x:v>0.12653061224489795</x:v>
      </x:c>
      <x:c r="K18" s="113" t="n">
        <x:f t="shared" ref="K18:L18" si="7">K16*(100%-$E$27)</x:f>
        <x:v>0.12653061224489795</x:v>
      </x:c>
      <x:c r="L18" s="113">
        <x:f t="shared" si="7"/>
        <x:v>6.5306122448979584E-2</x:v>
      </x:c>
      <x:c r="M18" s="113"/>
      <x:c r="N18" s="103"/>
      <x:c r="O18" s="103"/>
      <x:c r="P18" s="103"/>
      <x:c r="Q18" s="103"/>
      <x:c r="R18" s="103"/>
      <x:c r="S18" s="103"/>
      <x:c r="T18" s="103"/>
      <x:c r="U18" s="103"/>
      <x:c r="V18" s="103"/>
      <x:c r="W18" s="103"/>
      <x:c r="X18" s="103"/>
      <x:c r="Y18" s="103"/>
      <x:c r="Z18" s="103"/>
      <x:c r="AA18" s="103"/>
      <x:c r="AB18" s="103"/>
      <x:c r="AC18" s="103"/>
      <x:c r="AD18" s="103"/>
      <x:c r="AE18" s="103"/>
      <x:c r="AF18" s="103"/>
      <x:c r="AG18" s="103"/>
      <x:c r="AH18" s="103"/>
      <x:c r="AI18" s="103"/>
      <x:c r="AJ18" s="103"/>
      <x:c r="AK18" s="103"/>
      <x:c r="AL18" s="103"/>
      <x:c r="AM18" s="103"/>
      <x:c r="AN18" s="103"/>
      <x:c r="AO18" s="103"/>
      <x:c r="AP18" s="103"/>
      <x:c r="AQ18" s="103"/>
      <x:c r="AR18" s="103"/>
    </x:row>
    <x:row r="19" s="24" customFormat="1">
      <x:c r="A19" s="24" t="s">
        <x:v>1495</x:v>
      </x:c>
      <x:c r="B19" s="43" t="s">
        <x:v>590</x:v>
      </x:c>
      <x:c r="C19" s="138">
        <x:v>40000</x:v>
      </x:c>
      <x:c r="D19" s="138">
        <x:v>90000</x:v>
      </x:c>
      <x:c r="E19" s="105" t="n">
        <x:f>ROUNDUP(60000000*1.05^6,-1)</x:f>
        <x:v>80405740</x:v>
      </x:c>
    </x:row>
    <x:row r="20">
      <x:c r="A20" s="1" t="s">
        <x:v>1496</x:v>
      </x:c>
      <x:c r="B20" t="s">
        <x:v>1497</x:v>
      </x:c>
      <x:c r="E20" s="108">
        <x:v>42</x:v>
      </x:c>
      <x:c r="K20" t="s">
        <x:v>1496</x:v>
      </x:c>
    </x:row>
    <x:row r="21">
      <x:c r="A21" s="1" t="s">
        <x:v>1498</x:v>
      </x:c>
      <x:c r="B21" t="s">
        <x:v>1497</x:v>
      </x:c>
      <x:c r="E21" s="108" t="n">
        <x:f>8*5</x:f>
        <x:v>40</x:v>
      </x:c>
      <x:c r="K21" t="s">
        <x:v>1498</x:v>
      </x:c>
    </x:row>
    <x:row r="22">
      <x:c r="A22" s="1" t="s">
        <x:v>1499</x:v>
      </x:c>
      <x:c r="B22" t="s">
        <x:v>1497</x:v>
      </x:c>
      <x:c r="E22" s="108">
        <x:v>212</x:v>
      </x:c>
      <x:c r="K22" t="s">
        <x:v>1499</x:v>
      </x:c>
    </x:row>
    <x:row r="23">
      <x:c r="A23" s="1" t="s">
        <x:v>1500</x:v>
      </x:c>
      <x:c r="B23" t="s">
        <x:v>1497</x:v>
      </x:c>
      <x:c r="E23" s="108">
        <x:v>40</x:v>
      </x:c>
      <x:c r="K23" t="s">
        <x:v>1500</x:v>
      </x:c>
    </x:row>
    <x:row r="24">
      <x:c r="A24" s="1" t="s">
        <x:v>1501</x:v>
      </x:c>
      <x:c r="B24" t="s">
        <x:v>1497</x:v>
      </x:c>
      <x:c r="E24" s="108">
        <x:v>57</x:v>
      </x:c>
      <x:c r="K24" t="s">
        <x:v>1501</x:v>
      </x:c>
    </x:row>
    <x:row r="25" s="24" customFormat="1">
      <x:c r="A25" s="101" t="s">
        <x:v>1502</x:v>
      </x:c>
      <x:c r="B25" s="24" t="s">
        <x:v>1497</x:v>
      </x:c>
      <x:c r="E25" s="109" t="n">
        <x:f>SUM(E20:E24)</x:f>
        <x:v>391</x:v>
      </x:c>
    </x:row>
    <x:row r="26">
      <x:c r="A26" s="1" t="s">
        <x:v>1503</x:v>
      </x:c>
      <x:c r="E26" s="107"/>
      <x:c r="G26" s="139" t="n">
        <x:f>4*4*3</x:f>
        <x:v>48</x:v>
      </x:c>
      <x:c r="H26" s="139" t="n">
        <x:f t="shared" ref="H26:T26" si="8">4*4*3</x:f>
        <x:v>48</x:v>
      </x:c>
      <x:c r="I26" s="139">
        <x:f t="shared" si="8"/>
        <x:v>48</x:v>
      </x:c>
      <x:c r="J26" s="139">
        <x:f t="shared" si="8"/>
        <x:v>48</x:v>
      </x:c>
      <x:c r="K26" s="139">
        <x:f t="shared" si="8"/>
        <x:v>48</x:v>
      </x:c>
      <x:c r="L26" s="139">
        <x:f t="shared" si="8"/>
        <x:v>48</x:v>
      </x:c>
      <x:c r="M26" s="139">
        <x:f t="shared" si="8"/>
        <x:v>48</x:v>
      </x:c>
      <x:c r="N26" s="139">
        <x:f t="shared" si="8"/>
        <x:v>48</x:v>
      </x:c>
      <x:c r="O26" s="139">
        <x:f t="shared" si="8"/>
        <x:v>48</x:v>
      </x:c>
      <x:c r="P26" s="139">
        <x:f t="shared" si="8"/>
        <x:v>48</x:v>
      </x:c>
      <x:c r="Q26" s="139">
        <x:f t="shared" si="8"/>
        <x:v>48</x:v>
      </x:c>
      <x:c r="R26" s="139">
        <x:f t="shared" si="8"/>
        <x:v>48</x:v>
      </x:c>
      <x:c r="S26" s="139">
        <x:f t="shared" si="8"/>
        <x:v>48</x:v>
      </x:c>
      <x:c r="T26" s="139">
        <x:f t="shared" si="8"/>
        <x:v>48</x:v>
      </x:c>
      <x:c r="U26" s="139" t="n">
        <x:f>4*4*2</x:f>
        <x:v>32</x:v>
      </x:c>
      <x:c r="V26" s="139" t="n">
        <x:f t="shared" ref="V26:AH26" si="9">4*4*2</x:f>
        <x:v>32</x:v>
      </x:c>
      <x:c r="W26" s="139">
        <x:f t="shared" si="9"/>
        <x:v>32</x:v>
      </x:c>
      <x:c r="X26" s="139">
        <x:f t="shared" si="9"/>
        <x:v>32</x:v>
      </x:c>
      <x:c r="Y26" s="139">
        <x:f t="shared" si="9"/>
        <x:v>32</x:v>
      </x:c>
      <x:c r="Z26" s="139">
        <x:f t="shared" si="9"/>
        <x:v>32</x:v>
      </x:c>
      <x:c r="AA26" s="139">
        <x:f t="shared" si="9"/>
        <x:v>32</x:v>
      </x:c>
      <x:c r="AB26" s="139">
        <x:f t="shared" si="9"/>
        <x:v>32</x:v>
      </x:c>
      <x:c r="AC26" s="139">
        <x:f t="shared" si="9"/>
        <x:v>32</x:v>
      </x:c>
      <x:c r="AD26" s="139">
        <x:f t="shared" si="9"/>
        <x:v>32</x:v>
      </x:c>
      <x:c r="AE26" s="139">
        <x:f t="shared" si="9"/>
        <x:v>32</x:v>
      </x:c>
      <x:c r="AF26" s="139">
        <x:f t="shared" si="9"/>
        <x:v>32</x:v>
      </x:c>
      <x:c r="AG26" s="139">
        <x:f t="shared" si="9"/>
        <x:v>32</x:v>
      </x:c>
      <x:c r="AH26" s="139">
        <x:f t="shared" si="9"/>
        <x:v>32</x:v>
      </x:c>
      <x:c r="AI26" s="139" t="n">
        <x:f>4*4*2</x:f>
        <x:v>32</x:v>
      </x:c>
      <x:c r="AJ26" s="139" t="n">
        <x:f t="shared" ref="AJ26:AP26" si="10">4*4*2</x:f>
        <x:v>32</x:v>
      </x:c>
      <x:c r="AK26" s="139">
        <x:f t="shared" si="10"/>
        <x:v>32</x:v>
      </x:c>
      <x:c r="AL26" s="139">
        <x:f t="shared" si="10"/>
        <x:v>32</x:v>
      </x:c>
      <x:c r="AM26" s="139">
        <x:f t="shared" si="10"/>
        <x:v>32</x:v>
      </x:c>
      <x:c r="AN26" s="139">
        <x:f t="shared" si="10"/>
        <x:v>32</x:v>
      </x:c>
      <x:c r="AO26" s="139">
        <x:f t="shared" si="10"/>
        <x:v>32</x:v>
      </x:c>
      <x:c r="AP26" s="139">
        <x:f t="shared" si="10"/>
        <x:v>32</x:v>
      </x:c>
      <x:c r="AQ26" s="172"/>
      <x:c r="AR26" s="172"/>
    </x:row>
    <x:row r="27">
      <x:c r="A27" t="s">
        <x:v>1504</x:v>
      </x:c>
      <x:c r="B27" t="s">
        <x:v>134</x:v>
      </x:c>
      <x:c r="E27" s="107">
        <x:v>0.4</x:v>
      </x:c>
    </x:row>
    <x:row r="28">
      <x:c r="A28" t="s">
        <x:v>446</x:v>
      </x:c>
      <x:c r="E28" s="25"/>
    </x:row>
    <x:row r="29">
      <x:c r="A29" t="s">
        <x:v>449</x:v>
      </x:c>
      <x:c r="E29" s="25"/>
    </x:row>
    <x:row r="30">
      <x:c r="A30" t="s">
        <x:v>443</x:v>
      </x:c>
      <x:c r="C30">
        <x:v>2</x:v>
      </x:c>
      <x:c r="D30">
        <x:v>6</x:v>
      </x:c>
      <x:c r="E30" s="105" t="n">
        <x:f>AVERAGE(C30:D30)</x:f>
        <x:v>4</x:v>
      </x:c>
    </x:row>
    <x:row r="31">
      <x:c r="A31" t="s">
        <x:v>451</x:v>
      </x:c>
      <x:c r="C31" s="137">
        <x:v>0.18</x:v>
      </x:c>
      <x:c r="D31" s="137">
        <x:v>0.25</x:v>
      </x:c>
      <x:c r="E31" s="130" t="n">
        <x:f>AVERAGE(C31:D31)</x:f>
        <x:v>0.215</x:v>
      </x:c>
      <x:c r="F31" t="s">
        <x:v>1505</x:v>
      </x:c>
    </x:row>
    <x:row r="32">
      <x:c r="A32" t="s">
        <x:v>1506</x:v>
      </x:c>
      <x:c r="E32" s="25"/>
    </x:row>
    <x:row r="33">
      <x:c r="A33" t="s">
        <x:v>1507</x:v>
      </x:c>
      <x:c r="E33" s="25"/>
    </x:row>
    <x:row r="34">
      <x:c r="A34" t="s">
        <x:v>459</x:v>
      </x:c>
      <x:c r="E34" s="25"/>
    </x:row>
    <x:row r="35">
      <x:c r="A35" t="s">
        <x:v>1508</x:v>
      </x:c>
      <x:c r="E35" s="111" t="n">
        <x:f>E6</x:f>
        <x:v>112.5</x:v>
      </x:c>
      <x:c r="G35" s="96" t="n">
        <x:f>SUM($G6:G6)</x:f>
        <x:v>1</x:v>
      </x:c>
      <x:c r="H35" s="96" t="n">
        <x:f>SUM($G6:H6)</x:f>
        <x:v>3</x:v>
      </x:c>
      <x:c r="I35" s="96" t="n">
        <x:f>SUM($G6:I6)</x:f>
        <x:v>3</x:v>
      </x:c>
      <x:c r="J35" s="96" t="n">
        <x:f>SUM($G6:J6)</x:f>
        <x:v>3</x:v>
      </x:c>
      <x:c r="K35" s="96" t="n">
        <x:f>SUM($G6:K6)</x:f>
        <x:v>3</x:v>
      </x:c>
      <x:c r="L35" s="96" t="n">
        <x:f>SUM($G6:L6)</x:f>
        <x:v>3</x:v>
      </x:c>
      <x:c r="M35" s="96" t="n">
        <x:f>SUM($G6:M6)</x:f>
        <x:v>3</x:v>
      </x:c>
      <x:c r="N35" s="96" t="n">
        <x:f>SUM($G6:N6)</x:f>
        <x:v>4</x:v>
      </x:c>
      <x:c r="O35" s="96" t="n">
        <x:f>SUM($G6:O6)</x:f>
        <x:v>6</x:v>
      </x:c>
      <x:c r="P35" s="96" t="n">
        <x:f>SUM($G6:P6)</x:f>
        <x:v>6</x:v>
      </x:c>
      <x:c r="Q35" s="96" t="n">
        <x:f>SUM($G6:Q6)</x:f>
        <x:v>6</x:v>
      </x:c>
      <x:c r="R35" s="96" t="n">
        <x:f>SUM($G6:R6)</x:f>
        <x:v>6</x:v>
      </x:c>
      <x:c r="S35" s="96" t="n">
        <x:f>SUM($G6:S6)</x:f>
        <x:v>6</x:v>
      </x:c>
      <x:c r="T35" s="96" t="n">
        <x:f>SUM($G6:T6)</x:f>
        <x:v>6</x:v>
      </x:c>
      <x:c r="U35" s="96" t="n">
        <x:f>SUM($G6:U6)</x:f>
        <x:v>8</x:v>
      </x:c>
      <x:c r="V35" s="96" t="n">
        <x:f>SUM($G6:V6)</x:f>
        <x:v>12</x:v>
      </x:c>
      <x:c r="W35" s="96" t="n">
        <x:f>SUM($G6:W6)</x:f>
        <x:v>12</x:v>
      </x:c>
      <x:c r="X35" s="96" t="n">
        <x:f>SUM($G6:X6)</x:f>
        <x:v>12</x:v>
      </x:c>
      <x:c r="Y35" s="96" t="n">
        <x:f>SUM($G6:Y6)</x:f>
        <x:v>12</x:v>
      </x:c>
      <x:c r="Z35" s="96" t="n">
        <x:f>SUM($G6:Z6)</x:f>
        <x:v>12</x:v>
      </x:c>
      <x:c r="AA35" s="96" t="n">
        <x:f>SUM($G6:AA6)</x:f>
        <x:v>12</x:v>
      </x:c>
      <x:c r="AB35" s="96" t="n">
        <x:f>SUM($G6:AB6)</x:f>
        <x:v>16</x:v>
      </x:c>
      <x:c r="AC35" s="96" t="n">
        <x:f>SUM($G6:AC6)</x:f>
        <x:v>24</x:v>
      </x:c>
      <x:c r="AD35" s="96" t="n">
        <x:f>SUM($G6:AD6)</x:f>
        <x:v>24</x:v>
      </x:c>
      <x:c r="AE35" s="96" t="n">
        <x:f>SUM($G6:AE6)</x:f>
        <x:v>24</x:v>
      </x:c>
      <x:c r="AF35" s="96" t="n">
        <x:f>SUM($G6:AF6)</x:f>
        <x:v>24</x:v>
      </x:c>
      <x:c r="AG35" s="96" t="n">
        <x:f>SUM($G6:AG6)</x:f>
        <x:v>24</x:v>
      </x:c>
      <x:c r="AH35" s="96" t="n">
        <x:f>SUM($G6:AH6)</x:f>
        <x:v>24</x:v>
      </x:c>
      <x:c r="AI35" s="96" t="n">
        <x:f>SUM($G6:AI6)</x:f>
        <x:v>32</x:v>
      </x:c>
      <x:c r="AJ35" s="96" t="n">
        <x:f>SUM($G6:AJ6)</x:f>
        <x:v>48</x:v>
      </x:c>
      <x:c r="AK35" s="96" t="n">
        <x:f>SUM($G6:AK6)</x:f>
        <x:v>48</x:v>
      </x:c>
      <x:c r="AL35" s="96" t="n">
        <x:f>SUM($G6:AL6)</x:f>
        <x:v>48</x:v>
      </x:c>
      <x:c r="AM35" s="96" t="n">
        <x:f>SUM($G6:AM6)</x:f>
        <x:v>48</x:v>
      </x:c>
      <x:c r="AN35" s="96" t="n">
        <x:f>SUM($G6:AN6)</x:f>
        <x:v>48</x:v>
      </x:c>
      <x:c r="AO35" s="96" t="n">
        <x:f>SUM($G6:AO6)</x:f>
        <x:v>48</x:v>
      </x:c>
      <x:c r="AP35" s="96" t="n">
        <x:f>SUM($G6:AP6)</x:f>
        <x:v>64</x:v>
      </x:c>
      <x:c r="AQ35" s="96"/>
      <x:c r="AR35" s="96"/>
    </x:row>
    <x:row r="36">
      <x:c r="A36" t="s">
        <x:v>1509</x:v>
      </x:c>
      <x:c r="E36" s="111" t="n">
        <x:f>E7</x:f>
        <x:v>75</x:v>
      </x:c>
      <x:c r="G36" s="96" t="n">
        <x:f>SUM($G7:G7)</x:f>
        <x:v>0</x:v>
      </x:c>
      <x:c r="H36" s="96" t="n">
        <x:f>SUM($G7:H7)</x:f>
        <x:v>0</x:v>
      </x:c>
      <x:c r="I36" s="96" t="n">
        <x:f>SUM($G7:I7)</x:f>
        <x:v>1</x:v>
      </x:c>
      <x:c r="J36" s="96" t="n">
        <x:f>SUM($G7:J7)</x:f>
        <x:v>3</x:v>
      </x:c>
      <x:c r="K36" s="96" t="n">
        <x:f>SUM($G7:K7)</x:f>
        <x:v>5</x:v>
      </x:c>
      <x:c r="L36" s="96" t="n">
        <x:f>SUM($G7:L7)</x:f>
        <x:v>5</x:v>
      </x:c>
      <x:c r="M36" s="96" t="n">
        <x:f>SUM($G7:M7)</x:f>
        <x:v>5</x:v>
      </x:c>
      <x:c r="N36" s="96" t="n">
        <x:f>SUM($G7:N7)</x:f>
        <x:v>5</x:v>
      </x:c>
      <x:c r="O36" s="96" t="n">
        <x:f>SUM($G7:O7)</x:f>
        <x:v>5</x:v>
      </x:c>
      <x:c r="P36" s="96" t="n">
        <x:f>SUM($G7:P7)</x:f>
        <x:v>6</x:v>
      </x:c>
      <x:c r="Q36" s="96" t="n">
        <x:f>SUM($G7:Q7)</x:f>
        <x:v>8</x:v>
      </x:c>
      <x:c r="R36" s="96" t="n">
        <x:f>SUM($G7:R7)</x:f>
        <x:v>10</x:v>
      </x:c>
      <x:c r="S36" s="96" t="n">
        <x:f>SUM($G7:S7)</x:f>
        <x:v>10</x:v>
      </x:c>
      <x:c r="T36" s="96" t="n">
        <x:f>SUM($G7:T7)</x:f>
        <x:v>10</x:v>
      </x:c>
      <x:c r="U36" s="96" t="n">
        <x:f>SUM($G7:U7)</x:f>
        <x:v>10</x:v>
      </x:c>
      <x:c r="V36" s="96" t="n">
        <x:f>SUM($G7:V7)</x:f>
        <x:v>10</x:v>
      </x:c>
      <x:c r="W36" s="96" t="n">
        <x:f>SUM($G7:W7)</x:f>
        <x:v>12</x:v>
      </x:c>
      <x:c r="X36" s="96" t="n">
        <x:f>SUM($G7:X7)</x:f>
        <x:v>16</x:v>
      </x:c>
      <x:c r="Y36" s="96" t="n">
        <x:f>SUM($G7:Y7)</x:f>
        <x:v>20</x:v>
      </x:c>
      <x:c r="Z36" s="96" t="n">
        <x:f>SUM($G7:Z7)</x:f>
        <x:v>20</x:v>
      </x:c>
      <x:c r="AA36" s="96" t="n">
        <x:f>SUM($G7:AA7)</x:f>
        <x:v>20</x:v>
      </x:c>
      <x:c r="AB36" s="96" t="n">
        <x:f>SUM($G7:AB7)</x:f>
        <x:v>20</x:v>
      </x:c>
      <x:c r="AC36" s="96" t="n">
        <x:f>SUM($G7:AC7)</x:f>
        <x:v>20</x:v>
      </x:c>
      <x:c r="AD36" s="96" t="n">
        <x:f>SUM($G7:AD7)</x:f>
        <x:v>24</x:v>
      </x:c>
      <x:c r="AE36" s="96" t="n">
        <x:f>SUM($G7:AE7)</x:f>
        <x:v>32</x:v>
      </x:c>
      <x:c r="AF36" s="96" t="n">
        <x:f>SUM($G7:AF7)</x:f>
        <x:v>40</x:v>
      </x:c>
      <x:c r="AG36" s="96" t="n">
        <x:f>SUM($G7:AG7)</x:f>
        <x:v>40</x:v>
      </x:c>
      <x:c r="AH36" s="96" t="n">
        <x:f>SUM($G7:AH7)</x:f>
        <x:v>40</x:v>
      </x:c>
      <x:c r="AI36" s="96" t="n">
        <x:f>SUM($G7:AI7)</x:f>
        <x:v>40</x:v>
      </x:c>
      <x:c r="AJ36" s="96" t="n">
        <x:f>SUM($G7:AJ7)</x:f>
        <x:v>40</x:v>
      </x:c>
      <x:c r="AK36" s="96" t="n">
        <x:f>SUM($G7:AK7)</x:f>
        <x:v>48</x:v>
      </x:c>
      <x:c r="AL36" s="96" t="n">
        <x:f>SUM($G7:AL7)</x:f>
        <x:v>64</x:v>
      </x:c>
      <x:c r="AM36" s="96" t="n">
        <x:f>SUM($G7:AM7)</x:f>
        <x:v>80</x:v>
      </x:c>
      <x:c r="AN36" s="96" t="n">
        <x:f>SUM($G7:AN7)</x:f>
        <x:v>80</x:v>
      </x:c>
      <x:c r="AO36" s="96" t="n">
        <x:f>SUM($G7:AO7)</x:f>
        <x:v>80</x:v>
      </x:c>
      <x:c r="AP36" s="96" t="n">
        <x:f>SUM($G7:AP7)</x:f>
        <x:v>80</x:v>
      </x:c>
      <x:c r="AQ36" s="96"/>
      <x:c r="AR36" s="96"/>
    </x:row>
    <x:row r="37">
      <x:c r="A37" t="s">
        <x:v>1510</x:v>
      </x:c>
      <x:c r="E37" s="111" t="n">
        <x:f>E8</x:f>
        <x:v>33.33</x:v>
      </x:c>
      <x:c r="G37" s="96" t="n">
        <x:f>SUM($G8:G8)</x:f>
        <x:v>0</x:v>
      </x:c>
      <x:c r="H37" s="96" t="n">
        <x:f>SUM($G8:H8)</x:f>
        <x:v>0</x:v>
      </x:c>
      <x:c r="I37" s="96" t="n">
        <x:f>SUM($G8:I8)</x:f>
        <x:v>0</x:v>
      </x:c>
      <x:c r="J37" s="96" t="n">
        <x:f>SUM($G8:J8)</x:f>
        <x:v>1</x:v>
      </x:c>
      <x:c r="K37" s="96" t="n">
        <x:f>SUM($G8:K8)</x:f>
        <x:v>3</x:v>
      </x:c>
      <x:c r="L37" s="96" t="n">
        <x:f>SUM($G8:L8)</x:f>
        <x:v>5</x:v>
      </x:c>
      <x:c r="M37" s="96" t="n">
        <x:f>SUM($G8:M8)</x:f>
        <x:v>5</x:v>
      </x:c>
      <x:c r="N37" s="96" t="n">
        <x:f>SUM($G8:N8)</x:f>
        <x:v>5</x:v>
      </x:c>
      <x:c r="O37" s="96" t="n">
        <x:f>SUM($G8:O8)</x:f>
        <x:v>5</x:v>
      </x:c>
      <x:c r="P37" s="96" t="n">
        <x:f>SUM($G8:P8)</x:f>
        <x:v>5</x:v>
      </x:c>
      <x:c r="Q37" s="96" t="n">
        <x:f>SUM($G8:Q8)</x:f>
        <x:v>6</x:v>
      </x:c>
      <x:c r="R37" s="96" t="n">
        <x:f>SUM($G8:R8)</x:f>
        <x:v>8</x:v>
      </x:c>
      <x:c r="S37" s="96" t="n">
        <x:f>SUM($G8:S8)</x:f>
        <x:v>10</x:v>
      </x:c>
      <x:c r="T37" s="96" t="n">
        <x:f>SUM($G8:T8)</x:f>
        <x:v>10</x:v>
      </x:c>
      <x:c r="U37" s="96" t="n">
        <x:f>SUM($G8:U8)</x:f>
        <x:v>10</x:v>
      </x:c>
      <x:c r="V37" s="96" t="n">
        <x:f>SUM($G8:V8)</x:f>
        <x:v>10</x:v>
      </x:c>
      <x:c r="W37" s="96" t="n">
        <x:f>SUM($G8:W8)</x:f>
        <x:v>10</x:v>
      </x:c>
      <x:c r="X37" s="96" t="n">
        <x:f>SUM($G8:X8)</x:f>
        <x:v>12</x:v>
      </x:c>
      <x:c r="Y37" s="96" t="n">
        <x:f>SUM($G8:Y8)</x:f>
        <x:v>16</x:v>
      </x:c>
      <x:c r="Z37" s="96" t="n">
        <x:f>SUM($G8:Z8)</x:f>
        <x:v>20</x:v>
      </x:c>
      <x:c r="AA37" s="96" t="n">
        <x:f>SUM($G8:AA8)</x:f>
        <x:v>20</x:v>
      </x:c>
      <x:c r="AB37" s="96" t="n">
        <x:f>SUM($G8:AB8)</x:f>
        <x:v>20</x:v>
      </x:c>
      <x:c r="AC37" s="96" t="n">
        <x:f>SUM($G8:AC8)</x:f>
        <x:v>20</x:v>
      </x:c>
      <x:c r="AD37" s="96" t="n">
        <x:f>SUM($G8:AD8)</x:f>
        <x:v>20</x:v>
      </x:c>
      <x:c r="AE37" s="96" t="n">
        <x:f>SUM($G8:AE8)</x:f>
        <x:v>24</x:v>
      </x:c>
      <x:c r="AF37" s="96" t="n">
        <x:f>SUM($G8:AF8)</x:f>
        <x:v>32</x:v>
      </x:c>
      <x:c r="AG37" s="96" t="n">
        <x:f>SUM($G8:AG8)</x:f>
        <x:v>40</x:v>
      </x:c>
      <x:c r="AH37" s="96" t="n">
        <x:f>SUM($G8:AH8)</x:f>
        <x:v>40</x:v>
      </x:c>
      <x:c r="AI37" s="96" t="n">
        <x:f>SUM($G8:AI8)</x:f>
        <x:v>40</x:v>
      </x:c>
      <x:c r="AJ37" s="96" t="n">
        <x:f>SUM($G8:AJ8)</x:f>
        <x:v>40</x:v>
      </x:c>
      <x:c r="AK37" s="96" t="n">
        <x:f>SUM($G8:AK8)</x:f>
        <x:v>40</x:v>
      </x:c>
      <x:c r="AL37" s="96" t="n">
        <x:f>SUM($G8:AL8)</x:f>
        <x:v>48</x:v>
      </x:c>
      <x:c r="AM37" s="96" t="n">
        <x:f>SUM($G8:AM8)</x:f>
        <x:v>64</x:v>
      </x:c>
      <x:c r="AN37" s="96" t="n">
        <x:f>SUM($G8:AN8)</x:f>
        <x:v>80</x:v>
      </x:c>
      <x:c r="AO37" s="96" t="n">
        <x:f>SUM($G8:AO8)</x:f>
        <x:v>80</x:v>
      </x:c>
      <x:c r="AP37" s="96" t="n">
        <x:f>SUM($G8:AP8)</x:f>
        <x:v>80</x:v>
      </x:c>
      <x:c r="AQ37" s="96"/>
      <x:c r="AR37" s="96"/>
    </x:row>
    <x:row r="38">
      <x:c r="A38" t="s">
        <x:v>1511</x:v>
      </x:c>
      <x:c r="E38" s="111" t="n">
        <x:f>E9</x:f>
        <x:v>12.5</x:v>
      </x:c>
      <x:c r="G38" s="96" t="n">
        <x:f>SUM($G9:G9)</x:f>
        <x:v>0</x:v>
      </x:c>
      <x:c r="H38" s="96" t="n">
        <x:f>SUM($G9:H9)</x:f>
        <x:v>0</x:v>
      </x:c>
      <x:c r="I38" s="96" t="n">
        <x:f>SUM($G9:I9)</x:f>
        <x:v>0</x:v>
      </x:c>
      <x:c r="J38" s="96" t="n">
        <x:f>SUM($G9:J9)</x:f>
        <x:v>0</x:v>
      </x:c>
      <x:c r="K38" s="96" t="n">
        <x:f>SUM($G9:K9)</x:f>
        <x:v>1</x:v>
      </x:c>
      <x:c r="L38" s="96" t="n">
        <x:f>SUM($G9:L9)</x:f>
        <x:v>3</x:v>
      </x:c>
      <x:c r="M38" s="96" t="n">
        <x:f>SUM($G9:M9)</x:f>
        <x:v>5</x:v>
      </x:c>
      <x:c r="N38" s="96" t="n">
        <x:f>SUM($G9:N9)</x:f>
        <x:v>5</x:v>
      </x:c>
      <x:c r="O38" s="96" t="n">
        <x:f>SUM($G9:O9)</x:f>
        <x:v>5</x:v>
      </x:c>
      <x:c r="P38" s="96" t="n">
        <x:f>SUM($G9:P9)</x:f>
        <x:v>5</x:v>
      </x:c>
      <x:c r="Q38" s="96" t="n">
        <x:f>SUM($G9:Q9)</x:f>
        <x:v>5</x:v>
      </x:c>
      <x:c r="R38" s="96" t="n">
        <x:f>SUM($G9:R9)</x:f>
        <x:v>6</x:v>
      </x:c>
      <x:c r="S38" s="96" t="n">
        <x:f>SUM($G9:S9)</x:f>
        <x:v>8</x:v>
      </x:c>
      <x:c r="T38" s="96" t="n">
        <x:f>SUM($G9:T9)</x:f>
        <x:v>10</x:v>
      </x:c>
      <x:c r="U38" s="96" t="n">
        <x:f>SUM($G9:U9)</x:f>
        <x:v>10</x:v>
      </x:c>
      <x:c r="V38" s="96" t="n">
        <x:f>SUM($G9:V9)</x:f>
        <x:v>10</x:v>
      </x:c>
      <x:c r="W38" s="96" t="n">
        <x:f>SUM($G9:W9)</x:f>
        <x:v>10</x:v>
      </x:c>
      <x:c r="X38" s="96" t="n">
        <x:f>SUM($G9:X9)</x:f>
        <x:v>10</x:v>
      </x:c>
      <x:c r="Y38" s="96" t="n">
        <x:f>SUM($G9:Y9)</x:f>
        <x:v>12</x:v>
      </x:c>
      <x:c r="Z38" s="96" t="n">
        <x:f>SUM($G9:Z9)</x:f>
        <x:v>16</x:v>
      </x:c>
      <x:c r="AA38" s="96" t="n">
        <x:f>SUM($G9:AA9)</x:f>
        <x:v>20</x:v>
      </x:c>
      <x:c r="AB38" s="96" t="n">
        <x:f>SUM($G9:AB9)</x:f>
        <x:v>20</x:v>
      </x:c>
      <x:c r="AC38" s="96" t="n">
        <x:f>SUM($G9:AC9)</x:f>
        <x:v>20</x:v>
      </x:c>
      <x:c r="AD38" s="96" t="n">
        <x:f>SUM($G9:AD9)</x:f>
        <x:v>20</x:v>
      </x:c>
      <x:c r="AE38" s="96" t="n">
        <x:f>SUM($G9:AE9)</x:f>
        <x:v>20</x:v>
      </x:c>
      <x:c r="AF38" s="96" t="n">
        <x:f>SUM($G9:AF9)</x:f>
        <x:v>24</x:v>
      </x:c>
      <x:c r="AG38" s="96" t="n">
        <x:f>SUM($G9:AG9)</x:f>
        <x:v>32</x:v>
      </x:c>
      <x:c r="AH38" s="96" t="n">
        <x:f>SUM($G9:AH9)</x:f>
        <x:v>40</x:v>
      </x:c>
      <x:c r="AI38" s="96" t="n">
        <x:f>SUM($G9:AI9)</x:f>
        <x:v>40</x:v>
      </x:c>
      <x:c r="AJ38" s="96" t="n">
        <x:f>SUM($G9:AJ9)</x:f>
        <x:v>40</x:v>
      </x:c>
      <x:c r="AK38" s="96" t="n">
        <x:f>SUM($G9:AK9)</x:f>
        <x:v>40</x:v>
      </x:c>
      <x:c r="AL38" s="96" t="n">
        <x:f>SUM($G9:AL9)</x:f>
        <x:v>40</x:v>
      </x:c>
      <x:c r="AM38" s="96" t="n">
        <x:f>SUM($G9:AM9)</x:f>
        <x:v>48</x:v>
      </x:c>
      <x:c r="AN38" s="96" t="n">
        <x:f>SUM($G9:AN9)</x:f>
        <x:v>64</x:v>
      </x:c>
      <x:c r="AO38" s="96" t="n">
        <x:f>SUM($G9:AO9)</x:f>
        <x:v>80</x:v>
      </x:c>
      <x:c r="AP38" s="96" t="n">
        <x:f>SUM($G9:AP9)</x:f>
        <x:v>80</x:v>
      </x:c>
      <x:c r="AQ38" s="96"/>
      <x:c r="AR38" s="96"/>
    </x:row>
    <x:row r="39">
      <x:c r="A39" t="s">
        <x:v>1512</x:v>
      </x:c>
      <x:c r="E39" s="111">
        <x:v>16.57</x:v>
      </x:c>
    </x:row>
    <x:row r="40">
      <x:c r="A40" t="s">
        <x:v>1513</x:v>
      </x:c>
      <x:c r="E40" s="111">
        <x:v>30.38</x:v>
      </x:c>
    </x:row>
    <x:row r="41">
      <x:c r="A41" t="s">
        <x:v>1514</x:v>
      </x:c>
      <x:c r="E41" s="111">
        <x:v>18.600000000000001</x:v>
      </x:c>
    </x:row>
    <x:row r="42">
      <x:c r="A42" t="s">
        <x:v>1515</x:v>
      </x:c>
      <x:c r="E42" s="111">
        <x:v>31</x:v>
      </x:c>
    </x:row>
    <x:row r="43">
      <x:c r="E43" s="25"/>
    </x:row>
    <x:row r="44">
      <x:c r="E44" s="25"/>
    </x:row>
    <x:row r="45" s="5" customFormat="1" ht="22.5">
      <x:c r="A45" s="119" t="s">
        <x:v>1516</x:v>
      </x:c>
      <x:c r="B45" s="119" t="s">
        <x:v>537</x:v>
      </x:c>
      <x:c r="C45" s="119" t="s">
        <x:v>1517</x:v>
      </x:c>
      <x:c r="D45" s="119" t="s">
        <x:v>533</x:v>
      </x:c>
      <x:c r="E45" s="118" t="s">
        <x:v>1436</x:v>
      </x:c>
      <x:c r="F45" s="119" t="s">
        <x:v>14</x:v>
      </x:c>
      <x:c r="G45" s="119" t="s">
        <x:v>1518</x:v>
      </x:c>
      <x:c r="H45" s="119" t="s">
        <x:v>1519</x:v>
      </x:c>
      <x:c r="I45" s="119" t="s">
        <x:v>1520</x:v>
      </x:c>
      <x:c r="J45" s="119" t="s">
        <x:v>1521</x:v>
      </x:c>
      <x:c r="K45" s="119" t="s">
        <x:v>1522</x:v>
      </x:c>
      <x:c r="L45" s="119" t="s">
        <x:v>1523</x:v>
      </x:c>
      <x:c r="M45" s="119" t="s">
        <x:v>1524</x:v>
      </x:c>
      <x:c r="N45" s="119" t="s">
        <x:v>1525</x:v>
      </x:c>
      <x:c r="O45" s="119" t="s">
        <x:v>1526</x:v>
      </x:c>
      <x:c r="P45" s="119" t="s">
        <x:v>1527</x:v>
      </x:c>
      <x:c r="Q45" s="119" t="s">
        <x:v>1528</x:v>
      </x:c>
      <x:c r="R45" s="119" t="s">
        <x:v>1529</x:v>
      </x:c>
      <x:c r="S45" s="119" t="s">
        <x:v>1530</x:v>
      </x:c>
      <x:c r="T45" s="119" t="s">
        <x:v>1531</x:v>
      </x:c>
      <x:c r="U45" s="119" t="s">
        <x:v>1532</x:v>
      </x:c>
      <x:c r="V45" s="119" t="s">
        <x:v>1533</x:v>
      </x:c>
      <x:c r="W45" s="119" t="s">
        <x:v>1534</x:v>
      </x:c>
      <x:c r="X45" s="119" t="s">
        <x:v>1535</x:v>
      </x:c>
      <x:c r="Y45" s="119" t="s">
        <x:v>1536</x:v>
      </x:c>
      <x:c r="Z45" s="119" t="s">
        <x:v>1537</x:v>
      </x:c>
      <x:c r="AA45" s="119" t="s">
        <x:v>1538</x:v>
      </x:c>
      <x:c r="AB45" s="119" t="s">
        <x:v>1539</x:v>
      </x:c>
      <x:c r="AC45" s="119" t="s">
        <x:v>1540</x:v>
      </x:c>
      <x:c r="AD45" s="119" t="s">
        <x:v>1541</x:v>
      </x:c>
      <x:c r="AE45" s="119" t="s">
        <x:v>1542</x:v>
      </x:c>
      <x:c r="AF45" s="119" t="s">
        <x:v>1543</x:v>
      </x:c>
      <x:c r="AG45" s="119" t="s">
        <x:v>1544</x:v>
      </x:c>
      <x:c r="AH45" s="119" t="s">
        <x:v>1545</x:v>
      </x:c>
      <x:c r="AI45" s="119" t="s">
        <x:v>1546</x:v>
      </x:c>
      <x:c r="AJ45" s="119" t="s">
        <x:v>1547</x:v>
      </x:c>
      <x:c r="AK45" s="119" t="s">
        <x:v>1548</x:v>
      </x:c>
      <x:c r="AL45" s="119" t="s">
        <x:v>1549</x:v>
      </x:c>
      <x:c r="AM45" s="119" t="s">
        <x:v>1550</x:v>
      </x:c>
      <x:c r="AN45" s="119" t="s">
        <x:v>1551</x:v>
      </x:c>
      <x:c r="AO45" s="119" t="s">
        <x:v>1552</x:v>
      </x:c>
      <x:c r="AP45" s="119" t="s">
        <x:v>1553</x:v>
      </x:c>
      <x:c r="AQ45" s="119" t="s">
        <x:v>29</x:v>
      </x:c>
      <x:c r="AR45" s="119" t="s">
        <x:v>1554</x:v>
      </x:c>
      <x:c r="AS45" s="5" t="s">
        <x:v>1555</x:v>
      </x:c>
      <x:c r="AT45" s="5" t="s">
        <x:v>1556</x:v>
      </x:c>
      <x:c r="AU45" s="5" t="s">
        <x:v>1557</x:v>
      </x:c>
      <x:c r="AV45" s="5" t="s">
        <x:v>1558</x:v>
      </x:c>
      <x:c r="AW45" s="5" t="s">
        <x:v>1559</x:v>
      </x:c>
      <x:c r="AX45" s="5" t="s">
        <x:v>1560</x:v>
      </x:c>
      <x:c r="AY45" s="5" t="s">
        <x:v>1561</x:v>
      </x:c>
      <x:c r="AZ45" s="5" t="s">
        <x:v>1562</x:v>
      </x:c>
      <x:c r="BA45" s="5" t="s">
        <x:v>1563</x:v>
      </x:c>
      <x:c r="BB45" s="5" t="s">
        <x:v>1564</x:v>
      </x:c>
      <x:c r="BC45" s="5" t="s">
        <x:v>1565</x:v>
      </x:c>
      <x:c r="BD45" s="5" t="s">
        <x:v>1566</x:v>
      </x:c>
      <x:c r="BE45" s="5" t="s">
        <x:v>1567</x:v>
      </x:c>
      <x:c r="BF45" s="5" t="s">
        <x:v>1568</x:v>
      </x:c>
      <x:c r="BG45" s="5" t="s">
        <x:v>1569</x:v>
      </x:c>
      <x:c r="BH45" s="5" t="s">
        <x:v>1570</x:v>
      </x:c>
      <x:c r="BI45" s="5" t="s">
        <x:v>1571</x:v>
      </x:c>
      <x:c r="BJ45" s="5" t="s">
        <x:v>1572</x:v>
      </x:c>
      <x:c r="BK45" s="5" t="s">
        <x:v>1573</x:v>
      </x:c>
      <x:c r="BL45" s="5" t="s">
        <x:v>1574</x:v>
      </x:c>
      <x:c r="BM45" s="5" t="s">
        <x:v>1575</x:v>
      </x:c>
      <x:c r="BN45" s="5" t="s">
        <x:v>1576</x:v>
      </x:c>
      <x:c r="BO45" s="5" t="s">
        <x:v>1577</x:v>
      </x:c>
      <x:c r="BP45" s="5" t="s">
        <x:v>1578</x:v>
      </x:c>
    </x:row>
    <x:row r="46">
      <x:c r="A46" t="s">
        <x:v>1579</x:v>
      </x:c>
      <x:c r="B46" s="24"/>
      <x:c r="C46" s="24" t="s">
        <x:v>585</x:v>
      </x:c>
      <x:c r="D46" s="110" t="e">
        <x:f>IFERROR(1/_xlfn.XLOOKUP(TCO_15[[#This Row],[MON Report]]&amp;"/"&amp;TCO_15[[#This Row],[MON]],TRM[Estándar financiero],TRM[Tasa ≥1],0,0),0)+_xlfn.XLOOKUP(TCO_15[[#This Row],[MON]]&amp;"/"&amp;TCO_15[[#This Row],[MON Report]],TRM[Estándar financiero],TRM[Tasa ≥1],0,0)</x:f>
        <x:v>#VALUE!</x:v>
      </x:c>
      <x:c r="E46" s="25"/>
      <x:c r="H46" s="96" t="e">
        <x:f>$E17*H16*TCO_15[[#This Row],[TRM]]</x:f>
        <x:v>#VALUE!</x:v>
      </x:c>
      <x:c r="I46" s="96" t="e">
        <x:f>$E17*I16*TCO_15[[#This Row],[TRM]]</x:f>
        <x:v>#VALUE!</x:v>
      </x:c>
      <x:c r="J46" s="96" t="e">
        <x:f>$E17*J16*TCO_15[[#This Row],[TRM]]</x:f>
        <x:v>#VALUE!</x:v>
      </x:c>
      <x:c r="K46" s="96" t="e">
        <x:f>$E17*K16*TCO_15[[#This Row],[TRM]]</x:f>
        <x:v>#VALUE!</x:v>
      </x:c>
      <x:c r="L46" s="96" t="e">
        <x:f>$E17*L16*TCO_15[[#This Row],[TRM]]</x:f>
        <x:v>#VALUE!</x:v>
      </x:c>
      <x:c r="M46" s="96" t="e">
        <x:f>$E17*M16*TCO_15[[#This Row],[TRM]]</x:f>
        <x:v>#VALUE!</x:v>
      </x:c>
      <x:c r="N46" s="96" t="e">
        <x:f>$E17*N16*TCO_15[[#This Row],[TRM]]</x:f>
        <x:v>#VALUE!</x:v>
      </x:c>
      <x:c r="O46" s="96" t="e">
        <x:f>$E17*O16*TCO_15[[#This Row],[TRM]]</x:f>
        <x:v>#VALUE!</x:v>
      </x:c>
      <x:c r="P46" s="96" t="e">
        <x:f>$E17*P16*TCO_15[[#This Row],[TRM]]</x:f>
        <x:v>#VALUE!</x:v>
      </x:c>
      <x:c r="Q46" s="96" t="e">
        <x:f>$E17*Q16*TCO_15[[#This Row],[TRM]]</x:f>
        <x:v>#VALUE!</x:v>
      </x:c>
      <x:c r="R46" s="96" t="e">
        <x:f>$E17*R16*TCO_15[[#This Row],[TRM]]</x:f>
        <x:v>#VALUE!</x:v>
      </x:c>
      <x:c r="S46" s="96" t="e">
        <x:f>$E17*S16*TCO_15[[#This Row],[TRM]]</x:f>
        <x:v>#VALUE!</x:v>
      </x:c>
      <x:c r="T46" s="96" t="e">
        <x:f>$E17*T16*TCO_15[[#This Row],[TRM]]</x:f>
        <x:v>#VALUE!</x:v>
      </x:c>
      <x:c r="U46" s="96" t="e">
        <x:f>$E17*U16*TCO_15[[#This Row],[TRM]]</x:f>
        <x:v>#VALUE!</x:v>
      </x:c>
      <x:c r="V46" s="96" t="e">
        <x:f>$E17*V16*TCO_15[[#This Row],[TRM]]</x:f>
        <x:v>#VALUE!</x:v>
      </x:c>
      <x:c r="W46" s="96" t="e">
        <x:f>$E17*W16*TCO_15[[#This Row],[TRM]]</x:f>
        <x:v>#VALUE!</x:v>
      </x:c>
      <x:c r="X46" s="96" t="e">
        <x:f>$E17*X16*TCO_15[[#This Row],[TRM]]</x:f>
        <x:v>#VALUE!</x:v>
      </x:c>
      <x:c r="Y46" s="96" t="e">
        <x:f>$E17*Y16*TCO_15[[#This Row],[TRM]]</x:f>
        <x:v>#VALUE!</x:v>
      </x:c>
      <x:c r="Z46" s="96" t="e">
        <x:f>$E17*Z16*TCO_15[[#This Row],[TRM]]</x:f>
        <x:v>#VALUE!</x:v>
      </x:c>
      <x:c r="AA46" s="96" t="e">
        <x:f>$E17*AA16*TCO_15[[#This Row],[TRM]]</x:f>
        <x:v>#VALUE!</x:v>
      </x:c>
      <x:c r="AB46" s="96" t="e">
        <x:f>$E17*AB16*TCO_15[[#This Row],[TRM]]</x:f>
        <x:v>#VALUE!</x:v>
      </x:c>
      <x:c r="AC46" s="96" t="e">
        <x:f>$E17*AC16*TCO_15[[#This Row],[TRM]]</x:f>
        <x:v>#VALUE!</x:v>
      </x:c>
      <x:c r="AD46" s="96" t="e">
        <x:f>$E17*AD16*TCO_15[[#This Row],[TRM]]</x:f>
        <x:v>#VALUE!</x:v>
      </x:c>
      <x:c r="AE46" s="96" t="e">
        <x:f>$E17*AE16*TCO_15[[#This Row],[TRM]]</x:f>
        <x:v>#VALUE!</x:v>
      </x:c>
      <x:c r="AF46" s="96" t="e">
        <x:f>$E17*AF16*TCO_15[[#This Row],[TRM]]</x:f>
        <x:v>#VALUE!</x:v>
      </x:c>
      <x:c r="AG46" s="96" t="e">
        <x:f>$E17*AG16*TCO_15[[#This Row],[TRM]]</x:f>
        <x:v>#VALUE!</x:v>
      </x:c>
      <x:c r="AH46" s="96" t="e">
        <x:f>$E17*AH16*TCO_15[[#This Row],[TRM]]</x:f>
        <x:v>#VALUE!</x:v>
      </x:c>
      <x:c r="AI46" s="96" t="e">
        <x:f>$E17*AI16*TCO_15[[#This Row],[TRM]]</x:f>
        <x:v>#VALUE!</x:v>
      </x:c>
      <x:c r="AJ46" s="96" t="e">
        <x:f>$E17*AJ16*TCO_15[[#This Row],[TRM]]</x:f>
        <x:v>#VALUE!</x:v>
      </x:c>
      <x:c r="AK46" s="96" t="e">
        <x:f>$E17*AK16*TCO_15[[#This Row],[TRM]]</x:f>
        <x:v>#VALUE!</x:v>
      </x:c>
      <x:c r="AL46" s="96" t="e">
        <x:f>$E17*AL16*TCO_15[[#This Row],[TRM]]</x:f>
        <x:v>#VALUE!</x:v>
      </x:c>
      <x:c r="AM46" s="96" t="e">
        <x:f>$E17*AM16*TCO_15[[#This Row],[TRM]]</x:f>
        <x:v>#VALUE!</x:v>
      </x:c>
      <x:c r="AN46" s="96" t="e">
        <x:f>$E17*AN16*TCO_15[[#This Row],[TRM]]</x:f>
        <x:v>#VALUE!</x:v>
      </x:c>
      <x:c r="AO46" s="96" t="e">
        <x:f>$E17*AO16*TCO_15[[#This Row],[TRM]]</x:f>
        <x:v>#VALUE!</x:v>
      </x:c>
      <x:c r="AP46" s="96" t="e">
        <x:f>$E17*AP16*TCO_15[[#This Row],[TRM]]</x:f>
        <x:v>#VALUE!</x:v>
      </x:c>
      <x:c r="AQ46" s="96" t="e">
        <x:f>SUM(TCO_15[[#This Row],[mes 01]:[mes 36]])</x:f>
        <x:v>#REF!</x:v>
      </x:c>
      <x:c r="AR46" s="96"/>
    </x:row>
    <x:row r="47">
      <x:c r="A47" s="2" t="s">
        <x:v>1580</x:v>
      </x:c>
      <x:c r="B47" t="str">
        <x:f>B6</x:f>
        <x:v>EUR</x:v>
      </x:c>
      <x:c r="C47" t="str">
        <x:f>MONREP</x:f>
        <x:v>USD</x:v>
      </x:c>
      <x:c r="D47" s="110" t="n">
        <x:f>IFERROR(1/_xlfn.XLOOKUP(TCO_15[[#This Row],[MON Report]]&amp;"/"&amp;TCO_15[[#This Row],[MON]],TRM[Estándar financiero],TRM[Tasa ≥1],0,0),0)+_xlfn.XLOOKUP(TCO_15[[#This Row],[MON]]&amp;"/"&amp;TCO_15[[#This Row],[MON Report]],TRM[Estándar financiero],TRM[Tasa ≥1],0,0)</x:f>
        <x:v>1.18</x:v>
      </x:c>
      <x:c r="E47" s="25"/>
      <x:c r="G47" s="114" t="n">
        <x:f>TCO_15[[#This Row],[TRM]]*SUMPRODUCT($E$35:$E$38,G$35:G$38)</x:f>
        <x:v>132.75</x:v>
      </x:c>
      <x:c r="H47" s="114" t="n">
        <x:f>TCO_15[[#This Row],[TRM]]*SUMPRODUCT($E$35:$E$38,H$35:H$38)</x:f>
        <x:v>398.25</x:v>
      </x:c>
      <x:c r="I47" s="114" t="n">
        <x:f>TCO_15[[#This Row],[TRM]]*SUMPRODUCT($E$35:$E$38,I$35:I$38)</x:f>
        <x:v>486.75</x:v>
      </x:c>
      <x:c r="J47" s="114" t="n">
        <x:f>TCO_15[[#This Row],[TRM]]*SUMPRODUCT($E$35:$E$38,J$35:J$38)</x:f>
        <x:v>703.0794</x:v>
      </x:c>
      <x:c r="K47" s="114" t="n">
        <x:f>TCO_15[[#This Row],[TRM]]*SUMPRODUCT($E$35:$E$38,K$35:K$38)</x:f>
        <x:v>973.4882</x:v>
      </x:c>
      <x:c r="L47" s="114" t="n">
        <x:f>TCO_15[[#This Row],[TRM]]*SUMPRODUCT($E$35:$E$38,L$35:L$38)</x:f>
        <x:v>1081.647</x:v>
      </x:c>
      <x:c r="M47" s="114" t="n">
        <x:f>TCO_15[[#This Row],[TRM]]*SUMPRODUCT($E$35:$E$38,M$35:M$38)</x:f>
        <x:v>1111.147</x:v>
      </x:c>
      <x:c r="N47" s="25"/>
      <x:c r="O47" s="25"/>
      <x:c r="P47" s="25"/>
      <x:c r="Q47" s="25"/>
      <x:c r="R47" s="25"/>
      <x:c r="S47" s="25"/>
      <x:c r="T47" s="25"/>
      <x:c r="U47" s="25"/>
      <x:c r="V47" s="25"/>
      <x:c r="W47" s="25"/>
      <x:c r="X47" s="25"/>
      <x:c r="Y47" s="25"/>
      <x:c r="Z47" s="25"/>
      <x:c r="AA47" s="25"/>
      <x:c r="AB47" s="25"/>
      <x:c r="AC47" s="25"/>
      <x:c r="AD47" s="25"/>
      <x:c r="AE47" s="25"/>
      <x:c r="AF47" s="25"/>
      <x:c r="AG47" s="25"/>
      <x:c r="AH47" s="25"/>
      <x:c r="AI47" s="25"/>
      <x:c r="AJ47" s="25"/>
      <x:c r="AK47" s="25"/>
      <x:c r="AL47" s="25"/>
      <x:c r="AM47" s="25"/>
      <x:c r="AN47" s="25"/>
      <x:c r="AO47" s="25"/>
      <x:c r="AP47" s="25"/>
      <x:c r="AQ47" s="25" t="e">
        <x:f>SUM(TCO_15[[#This Row],[mes 01]:[mes 36]])</x:f>
        <x:v>#REF!</x:v>
      </x:c>
      <x:c r="AR47" s="25" t="s">
        <x:v>1581</x:v>
      </x:c>
    </x:row>
    <x:row r="48">
      <x:c r="A48" s="2" t="s">
        <x:v>1582</x:v>
      </x:c>
      <x:c r="B48" t="str">
        <x:f>B19</x:f>
        <x:v>COP</x:v>
      </x:c>
      <x:c r="C48" t="str">
        <x:f>MONREP</x:f>
        <x:v>USD</x:v>
      </x:c>
      <x:c r="D48" s="110" t="n">
        <x:f>IFERROR(1/_xlfn.XLOOKUP(TCO_15[[#This Row],[MON Report]]&amp;"/"&amp;TCO_15[[#This Row],[MON]],TRM[Estándar financiero],TRM[Tasa ≥1],0,0),0)+_xlfn.XLOOKUP(TCO_15[[#This Row],[MON]]&amp;"/"&amp;TCO_15[[#This Row],[MON Report]],TRM[Estándar financiero],TRM[Tasa ≥1],0,0)</x:f>
        <x:v>0.00025</x:v>
      </x:c>
      <x:c r="E48" s="25" t="n">
        <x:f>E19*TCO_15[[#This Row],[TRM]]</x:f>
        <x:v>20101.435</x:v>
      </x:c>
      <x:c r="G48" s="25" t="n">
        <x:f>$E19*G18*TCO_15[[#This Row],[TRM]]</x:f>
        <x:v>8040.5740000000005</x:v>
      </x:c>
      <x:c r="H48" s="25" t="n">
        <x:f>$E19*H18*TCO_15[[#This Row],[TRM]]</x:f>
        <x:v>3117.7735918367343</x:v>
      </x:c>
      <x:c r="I48" s="25" t="n">
        <x:f>$E19*I18*TCO_15[[#This Row],[TRM]]</x:f>
        <x:v>2543.44687755102</x:v>
      </x:c>
      <x:c r="J48" s="25" t="n">
        <x:f>$E19*J18*TCO_15[[#This Row],[TRM]]</x:f>
        <x:v>2543.44687755102</x:v>
      </x:c>
      <x:c r="K48" s="25" t="n">
        <x:f>$E19*K18*TCO_15[[#This Row],[TRM]]</x:f>
        <x:v>2543.44687755102</x:v>
      </x:c>
      <x:c r="L48" s="25" t="n">
        <x:f>$E19*L18*TCO_15[[#This Row],[TRM]]</x:f>
        <x:v>1312.746775510204</x:v>
      </x:c>
      <x:c r="M48" s="25" t="n">
        <x:f>$E19*M18*TCO_15[[#This Row],[TRM]]</x:f>
        <x:v>0</x:v>
      </x:c>
      <x:c r="N48" s="25" t="n">
        <x:f>$E19*N18*TCO_15[[#This Row],[TRM]]</x:f>
        <x:v>0</x:v>
      </x:c>
      <x:c r="O48" s="25" t="n">
        <x:f>$E19*O18*TCO_15[[#This Row],[TRM]]</x:f>
        <x:v>0</x:v>
      </x:c>
      <x:c r="P48" s="25" t="n">
        <x:f>$E19*P18*TCO_15[[#This Row],[TRM]]</x:f>
        <x:v>0</x:v>
      </x:c>
      <x:c r="Q48" s="25" t="n">
        <x:f>$E19*Q18*TCO_15[[#This Row],[TRM]]</x:f>
        <x:v>0</x:v>
      </x:c>
      <x:c r="R48" s="25" t="n">
        <x:f>$E19*R18*TCO_15[[#This Row],[TRM]]</x:f>
        <x:v>0</x:v>
      </x:c>
      <x:c r="S48" s="25" t="n">
        <x:f>$E19*S18*TCO_15[[#This Row],[TRM]]</x:f>
        <x:v>0</x:v>
      </x:c>
      <x:c r="T48" s="25" t="n">
        <x:f>$E19*T18*TCO_15[[#This Row],[TRM]]</x:f>
        <x:v>0</x:v>
      </x:c>
      <x:c r="U48" s="25" t="n">
        <x:f>$E19*U18*TCO_15[[#This Row],[TRM]]</x:f>
        <x:v>0</x:v>
      </x:c>
      <x:c r="V48" s="25" t="n">
        <x:f>$E19*V18*TCO_15[[#This Row],[TRM]]</x:f>
        <x:v>0</x:v>
      </x:c>
      <x:c r="W48" s="25" t="n">
        <x:f>$E19*W18*TCO_15[[#This Row],[TRM]]</x:f>
        <x:v>0</x:v>
      </x:c>
      <x:c r="X48" s="25" t="n">
        <x:f>$E19*X18*TCO_15[[#This Row],[TRM]]</x:f>
        <x:v>0</x:v>
      </x:c>
      <x:c r="Y48" s="25" t="n">
        <x:f>$E19*Y18*TCO_15[[#This Row],[TRM]]</x:f>
        <x:v>0</x:v>
      </x:c>
      <x:c r="Z48" s="25" t="n">
        <x:f>$E19*Z18*TCO_15[[#This Row],[TRM]]</x:f>
        <x:v>0</x:v>
      </x:c>
      <x:c r="AA48" s="25" t="n">
        <x:f>$E19*AA18*TCO_15[[#This Row],[TRM]]</x:f>
        <x:v>0</x:v>
      </x:c>
      <x:c r="AB48" s="25" t="n">
        <x:f>$E19*AB18*TCO_15[[#This Row],[TRM]]</x:f>
        <x:v>0</x:v>
      </x:c>
      <x:c r="AC48" s="25" t="n">
        <x:f>$E19*AC18*TCO_15[[#This Row],[TRM]]</x:f>
        <x:v>0</x:v>
      </x:c>
      <x:c r="AD48" s="25" t="n">
        <x:f>$E19*AD18*TCO_15[[#This Row],[TRM]]</x:f>
        <x:v>0</x:v>
      </x:c>
      <x:c r="AE48" s="25" t="n">
        <x:f>$E19*AE18*TCO_15[[#This Row],[TRM]]</x:f>
        <x:v>0</x:v>
      </x:c>
      <x:c r="AF48" s="25" t="n">
        <x:f>$E19*AF18*TCO_15[[#This Row],[TRM]]</x:f>
        <x:v>0</x:v>
      </x:c>
      <x:c r="AG48" s="25" t="n">
        <x:f>$E19*AG18*TCO_15[[#This Row],[TRM]]</x:f>
        <x:v>0</x:v>
      </x:c>
      <x:c r="AH48" s="25" t="n">
        <x:f>$E19*AH18*TCO_15[[#This Row],[TRM]]</x:f>
        <x:v>0</x:v>
      </x:c>
      <x:c r="AI48" s="25" t="n">
        <x:f>$E19*AI18*TCO_15[[#This Row],[TRM]]</x:f>
        <x:v>0</x:v>
      </x:c>
      <x:c r="AJ48" s="25" t="n">
        <x:f>$E19*AJ18*TCO_15[[#This Row],[TRM]]</x:f>
        <x:v>0</x:v>
      </x:c>
      <x:c r="AK48" s="25" t="n">
        <x:f>$E19*AK18*TCO_15[[#This Row],[TRM]]</x:f>
        <x:v>0</x:v>
      </x:c>
      <x:c r="AL48" s="25" t="n">
        <x:f>$E19*AL18*TCO_15[[#This Row],[TRM]]</x:f>
        <x:v>0</x:v>
      </x:c>
      <x:c r="AM48" s="25" t="n">
        <x:f>$E19*AM18*TCO_15[[#This Row],[TRM]]</x:f>
        <x:v>0</x:v>
      </x:c>
      <x:c r="AN48" s="25" t="n">
        <x:f>$E19*AN18*TCO_15[[#This Row],[TRM]]</x:f>
        <x:v>0</x:v>
      </x:c>
      <x:c r="AO48" s="25" t="n">
        <x:f>$E19*AO18*TCO_15[[#This Row],[TRM]]</x:f>
        <x:v>0</x:v>
      </x:c>
      <x:c r="AP48" s="25" t="n">
        <x:f>$E19*AP18*TCO_15[[#This Row],[TRM]]</x:f>
        <x:v>0</x:v>
      </x:c>
      <x:c r="AQ48" s="25" t="e">
        <x:f>SUM(TCO_15[[#This Row],[mes 01]:[mes 36]])</x:f>
        <x:v>#REF!</x:v>
      </x:c>
      <x:c r="AR48" s="25" t="s">
        <x:v>1583</x:v>
      </x:c>
    </x:row>
    <x:row r="49">
      <x:c r="A49" s="2" t="s">
        <x:v>1584</x:v>
      </x:c>
      <x:c r="B49" t="str">
        <x:f>B48</x:f>
        <x:v>COP</x:v>
      </x:c>
      <x:c r="C49" t="s">
        <x:v>585</x:v>
      </x:c>
      <x:c r="D49" s="110" t="n">
        <x:f>IFERROR(1/_xlfn.XLOOKUP(TCO_15[[#This Row],[MON Report]]&amp;"/"&amp;TCO_15[[#This Row],[MON]],TRM[Estándar financiero],TRM[Tasa ≥1],0,0),0)+_xlfn.XLOOKUP(TCO_15[[#This Row],[MON]]&amp;"/"&amp;TCO_15[[#This Row],[MON Report]],TRM[Estándar financiero],TRM[Tasa ≥1],0,0)</x:f>
        <x:v>0.00025</x:v>
      </x:c>
      <x:c r="E49" s="25" t="n">
        <x:f>E48</x:f>
        <x:v>20101.435</x:v>
      </x:c>
      <x:c r="G49" s="25"/>
      <x:c r="H49" s="25" t="n">
        <x:f>$E20*H19*TCO_15[[#This Row],[TRM]]</x:f>
        <x:v>0</x:v>
      </x:c>
      <x:c r="I49" s="25" t="n">
        <x:f>$E20*I19*TCO_15[[#This Row],[TRM]]</x:f>
        <x:v>0</x:v>
      </x:c>
      <x:c r="J49" s="25" t="n">
        <x:f>$E20*J19*TCO_15[[#This Row],[TRM]]</x:f>
        <x:v>0</x:v>
      </x:c>
      <x:c r="K49" s="25" t="n">
        <x:f>$E20*K19*TCO_15[[#This Row],[TRM]]</x:f>
        <x:v>0</x:v>
      </x:c>
      <x:c r="L49" s="25" t="n">
        <x:f>$E20*L19*TCO_15[[#This Row],[TRM]]</x:f>
        <x:v>0</x:v>
      </x:c>
      <x:c r="M49" s="25" t="n">
        <x:f>$E20*M19*TCO_15[[#This Row],[TRM]]</x:f>
        <x:v>0</x:v>
      </x:c>
      <x:c r="N49" s="25" t="n">
        <x:f>G48</x:f>
        <x:v>8040.5740000000005</x:v>
      </x:c>
      <x:c r="O49" s="25" t="n">
        <x:f t="shared" ref="O49:T49" si="11">H48</x:f>
        <x:v>3117.7735918367343</x:v>
      </x:c>
      <x:c r="P49" s="25">
        <x:f t="shared" si="11"/>
        <x:v>2543.44687755102</x:v>
      </x:c>
      <x:c r="Q49" s="25">
        <x:f t="shared" si="11"/>
        <x:v>2543.44687755102</x:v>
      </x:c>
      <x:c r="R49" s="25">
        <x:f t="shared" si="11"/>
        <x:v>2543.44687755102</x:v>
      </x:c>
      <x:c r="S49" s="25">
        <x:f t="shared" si="11"/>
        <x:v>1312.7467755102041</x:v>
      </x:c>
      <x:c r="T49" s="25">
        <x:f t="shared" si="11"/>
        <x:v>0</x:v>
      </x:c>
      <x:c r="U49" s="25" t="n">
        <x:f>N49</x:f>
        <x:v>8040.5740000000005</x:v>
      </x:c>
      <x:c r="V49" s="25" t="n">
        <x:f t="shared" ref="V49:AP49" si="12">O49</x:f>
        <x:v>3117.7735918367343</x:v>
      </x:c>
      <x:c r="W49" s="25">
        <x:f t="shared" si="12"/>
        <x:v>2543.44687755102</x:v>
      </x:c>
      <x:c r="X49" s="25">
        <x:f t="shared" si="12"/>
        <x:v>2543.44687755102</x:v>
      </x:c>
      <x:c r="Y49" s="25">
        <x:f t="shared" si="12"/>
        <x:v>2543.44687755102</x:v>
      </x:c>
      <x:c r="Z49" s="25">
        <x:f t="shared" si="12"/>
        <x:v>1312.7467755102041</x:v>
      </x:c>
      <x:c r="AA49" s="25">
        <x:f t="shared" si="12"/>
        <x:v>0</x:v>
      </x:c>
      <x:c r="AB49" s="25">
        <x:f t="shared" si="12"/>
        <x:v>8040.5740000000005</x:v>
      </x:c>
      <x:c r="AC49" s="25">
        <x:f t="shared" si="12"/>
        <x:v>3117.7735918367343</x:v>
      </x:c>
      <x:c r="AD49" s="25">
        <x:f t="shared" si="12"/>
        <x:v>2543.44687755102</x:v>
      </x:c>
      <x:c r="AE49" s="25">
        <x:f t="shared" si="12"/>
        <x:v>2543.44687755102</x:v>
      </x:c>
      <x:c r="AF49" s="25">
        <x:f t="shared" si="12"/>
        <x:v>2543.44687755102</x:v>
      </x:c>
      <x:c r="AG49" s="25">
        <x:f t="shared" si="12"/>
        <x:v>1312.7467755102041</x:v>
      </x:c>
      <x:c r="AH49" s="25">
        <x:f t="shared" si="12"/>
        <x:v>0</x:v>
      </x:c>
      <x:c r="AI49" s="25">
        <x:f t="shared" si="12"/>
        <x:v>8040.5740000000005</x:v>
      </x:c>
      <x:c r="AJ49" s="25">
        <x:f t="shared" si="12"/>
        <x:v>3117.7735918367343</x:v>
      </x:c>
      <x:c r="AK49" s="25">
        <x:f t="shared" si="12"/>
        <x:v>2543.44687755102</x:v>
      </x:c>
      <x:c r="AL49" s="25">
        <x:f t="shared" si="12"/>
        <x:v>2543.44687755102</x:v>
      </x:c>
      <x:c r="AM49" s="25">
        <x:f t="shared" si="12"/>
        <x:v>2543.44687755102</x:v>
      </x:c>
      <x:c r="AN49" s="25">
        <x:f t="shared" si="12"/>
        <x:v>1312.7467755102041</x:v>
      </x:c>
      <x:c r="AO49" s="25">
        <x:f t="shared" si="12"/>
        <x:v>0</x:v>
      </x:c>
      <x:c r="AP49" s="25">
        <x:f t="shared" si="12"/>
        <x:v>8040.5740000000005</x:v>
      </x:c>
      <x:c r="AQ49" s="25" t="e">
        <x:f>SUM(TCO_15[[#This Row],[mes 01]:[mes 36]])</x:f>
        <x:v>#REF!</x:v>
      </x:c>
      <x:c r="AR49" s="25" t="s">
        <x:v>1583</x:v>
      </x:c>
    </x:row>
    <x:row r="50">
      <x:c r="A50" s="2" t="s">
        <x:v>451</x:v>
      </x:c>
      <x:c r="B50" t="s">
        <x:v>547</x:v>
      </x:c>
      <x:c r="C50" t="str">
        <x:f>MONREP</x:f>
        <x:v>USD</x:v>
      </x:c>
      <x:c r="D50" s="110" t="n">
        <x:f>IFERROR(1/_xlfn.XLOOKUP(TCO_15[[#This Row],[MON Report]]&amp;"/"&amp;TCO_15[[#This Row],[MON]],TRM[Estándar financiero],TRM[Tasa ≥1],0,0),0)+_xlfn.XLOOKUP(TCO_15[[#This Row],[MON]]&amp;"/"&amp;TCO_15[[#This Row],[MON Report]],TRM[Estándar financiero],TRM[Tasa ≥1],0,0)</x:f>
        <x:v>1.18</x:v>
      </x:c>
      <x:c r="E50" s="107">
        <x:v>0.1</x:v>
      </x:c>
      <x:c r="G50" s="25" t="n">
        <x:f>(MONTH(G$1)=1)*SUM(G47:R47)*TCO_15[[#This Row],[Valor básico]]</x:f>
        <x:v>0</x:v>
      </x:c>
      <x:c r="H50" s="25" t="n">
        <x:f>(MONTH(H$1)=1)*SUM(H47:S47)*TCO_15[[#This Row],[Valor básico]]</x:f>
        <x:v>0</x:v>
      </x:c>
      <x:c r="I50" s="25" t="n">
        <x:f>(MONTH(I$1)=1)*SUM(I47:T47)*TCO_15[[#This Row],[Valor básico]]</x:f>
        <x:v>0</x:v>
      </x:c>
      <x:c r="J50" s="25" t="n">
        <x:f>(MONTH(J$1)=1)*SUM(J47:U47)*TCO_15[[#This Row],[Valor básico]]</x:f>
        <x:v>0</x:v>
      </x:c>
      <x:c r="K50" s="25" t="n">
        <x:f>(MONTH(K$1)=1)*SUM(K47:V47)*TCO_15[[#This Row],[Valor básico]]</x:f>
        <x:v>0</x:v>
      </x:c>
      <x:c r="L50" s="25" t="n">
        <x:f>(MONTH(L$1)=1)*SUM(L47:W47)*TCO_15[[#This Row],[Valor básico]]</x:f>
        <x:v>0</x:v>
      </x:c>
      <x:c r="M50" s="25" t="n">
        <x:f>(MONTH(M$1)=1)*(SUM(M47:X47)+SUM(M52:X52))*TCO_15[[#This Row],[Valor básico]]</x:f>
        <x:v>2610.71224</x:v>
      </x:c>
      <x:c r="N50" s="25" t="n">
        <x:f>(MONTH(N$1)=1)*(SUM(N47:Y47)+SUM(N52:Y52))*TCO_15[[#This Row],[Valor básico]]</x:f>
        <x:v>0</x:v>
      </x:c>
      <x:c r="O50" s="25" t="n">
        <x:f>(MONTH(O$1)=1)*(SUM(O47:Z47)+SUM(O52:Z52))*TCO_15[[#This Row],[Valor básico]]</x:f>
        <x:v>0</x:v>
      </x:c>
      <x:c r="P50" s="25" t="n">
        <x:f>(MONTH(P$1)=1)*(SUM(P47:AA47)+SUM(P52:AA52))*TCO_15[[#This Row],[Valor básico]]</x:f>
        <x:v>0</x:v>
      </x:c>
      <x:c r="Q50" s="25" t="n">
        <x:f>(MONTH(Q$1)=1)*(SUM(Q47:AB47)+SUM(Q52:AB52))*TCO_15[[#This Row],[Valor básico]]</x:f>
        <x:v>0</x:v>
      </x:c>
      <x:c r="R50" s="25" t="n">
        <x:f>(MONTH(R$1)=1)*(SUM(R47:AC47)+SUM(R52:AC52))*TCO_15[[#This Row],[Valor básico]]</x:f>
        <x:v>0</x:v>
      </x:c>
      <x:c r="S50" s="25" t="n">
        <x:f>(MONTH(S$1)=1)*(SUM(S47:AD47)+SUM(S52:AD52))*TCO_15[[#This Row],[Valor básico]]</x:f>
        <x:v>0</x:v>
      </x:c>
      <x:c r="T50" s="25" t="n">
        <x:f>(MONTH(T$1)=1)*(SUM(T47:AE47)+SUM(T52:AE52))*TCO_15[[#This Row],[Valor básico]]</x:f>
        <x:v>0</x:v>
      </x:c>
      <x:c r="U50" s="25" t="n">
        <x:f>(MONTH(U$1)=1)*(SUM(U47:AF47)+SUM(U52:AF52))*TCO_15[[#This Row],[Valor básico]]</x:f>
        <x:v>0</x:v>
      </x:c>
      <x:c r="V50" s="25" t="n">
        <x:f>(MONTH(V$1)=1)*(SUM(V47:AG47)+SUM(V52:AG52))*TCO_15[[#This Row],[Valor básico]]</x:f>
        <x:v>0</x:v>
      </x:c>
      <x:c r="W50" s="25" t="n">
        <x:f>(MONTH(W$1)=1)*(SUM(W47:AH47)+SUM(W52:AH52))*TCO_15[[#This Row],[Valor básico]]</x:f>
        <x:v>0</x:v>
      </x:c>
      <x:c r="X50" s="25" t="n">
        <x:f>(MONTH(X$1)=1)*(SUM(X47:AI47)+SUM(X52:AI52))*TCO_15[[#This Row],[Valor básico]]</x:f>
        <x:v>0</x:v>
      </x:c>
      <x:c r="Y50" s="25" t="n">
        <x:f>(MONTH(Y$1)=1)*(SUM(Y47:AJ47)+SUM(Y52:AJ52))*TCO_15[[#This Row],[Valor básico]]</x:f>
        <x:v>8568.63608</x:v>
      </x:c>
      <x:c r="Z50" s="25" t="n">
        <x:f>(MONTH(Z$1)=1)*(SUM(Z47:AK47)+SUM(Z52:AK52))*TCO_15[[#This Row],[Valor básico]]</x:f>
        <x:v>0</x:v>
      </x:c>
      <x:c r="AA50" s="25" t="n">
        <x:f>(MONTH(AA$1)=1)*(SUM(AA47:AL47)+SUM(AA52:AL52))*TCO_15[[#This Row],[Valor básico]]</x:f>
        <x:v>0</x:v>
      </x:c>
      <x:c r="AB50" s="25" t="n">
        <x:f>(MONTH(AB$1)=1)*(SUM(AB47:AM47)+SUM(AB52:AM52))*TCO_15[[#This Row],[Valor básico]]</x:f>
        <x:v>0</x:v>
      </x:c>
      <x:c r="AC50" s="25" t="n">
        <x:f>(MONTH(AC$1)=1)*(SUM(AC47:AN47)+SUM(AC52:AN52))*TCO_15[[#This Row],[Valor básico]]</x:f>
        <x:v>0</x:v>
      </x:c>
      <x:c r="AD50" s="25" t="n">
        <x:f>(MONTH(AD$1)=1)*(SUM(AD47:AO47)+SUM(AD52:AO52))*TCO_15[[#This Row],[Valor básico]]</x:f>
        <x:v>0</x:v>
      </x:c>
      <x:c r="AE50" s="25" t="n">
        <x:f>(MONTH(AE$1)=1)*(SUM(AE47:AP47)+SUM(AE52:AP52))*TCO_15[[#This Row],[Valor básico]]</x:f>
        <x:v>0</x:v>
      </x:c>
      <x:c r="AF50" s="25" t="e">
        <x:f>(MONTH(AF$1)=1)*(SUM(AF47:AS47)+SUM(AF52:AS52))*TCO_15[[#This Row],[Valor básico]]</x:f>
        <x:v>#REF!</x:v>
      </x:c>
      <x:c r="AG50" s="25" t="e">
        <x:f>(MONTH(AG$1)=1)*(SUM(AG47:AT47)+SUM(AG52:AT52))*TCO_15[[#This Row],[Valor básico]]</x:f>
        <x:v>#REF!</x:v>
      </x:c>
      <x:c r="AH50" s="25" t="e">
        <x:f>(MONTH(AH$1)=1)*(SUM(AH47:AU47)+SUM(AH52:AU52))*TCO_15[[#This Row],[Valor básico]]</x:f>
        <x:v>#REF!</x:v>
      </x:c>
      <x:c r="AI50" s="25" t="e">
        <x:f>(MONTH(AI$1)=1)*(SUM(AI47:AV47)+SUM(AI52:AV52))*TCO_15[[#This Row],[Valor básico]]</x:f>
        <x:v>#REF!</x:v>
      </x:c>
      <x:c r="AJ50" s="25" t="e">
        <x:f>(MONTH(AJ$1)=1)*(SUM(AJ47:AW47)+SUM(AJ52:AW52))*TCO_15[[#This Row],[Valor básico]]</x:f>
        <x:v>#REF!</x:v>
      </x:c>
      <x:c r="AK50" s="25" t="e">
        <x:f>(MONTH(AK$1)=1)*(SUM(AK47:AX47)+SUM(AK52:AX52))*TCO_15[[#This Row],[Valor básico]]</x:f>
        <x:v>#REF!</x:v>
      </x:c>
      <x:c r="AL50" s="25" t="e">
        <x:f>(MONTH(AL$1)=1)*(SUM(AL47:AY47)+SUM(AL52:AY52))*TCO_15[[#This Row],[Valor básico]]</x:f>
        <x:v>#REF!</x:v>
      </x:c>
      <x:c r="AM50" s="25" t="e">
        <x:f>(MONTH(AM$1)=1)*(SUM(AM47:AZ47)+SUM(AM52:AZ52))*TCO_15[[#This Row],[Valor básico]]</x:f>
        <x:v>#REF!</x:v>
      </x:c>
      <x:c r="AN50" s="25" t="e">
        <x:f>(MONTH(AN$1)=1)*(SUM(AN47:BA47)+SUM(AN52:BA52))*TCO_15[[#This Row],[Valor básico]]</x:f>
        <x:v>#REF!</x:v>
      </x:c>
      <x:c r="AO50" s="25" t="e">
        <x:f>(MONTH(AO$1)=1)*(SUM(AO47:BB47)+SUM(AO52:BB52))*TCO_15[[#This Row],[Valor básico]]</x:f>
        <x:v>#REF!</x:v>
      </x:c>
      <x:c r="AP50" s="25" t="e">
        <x:f>(MONTH(AP$1)=1)*(SUM(AP47:BC47)+SUM(AP52:BC52))*TCO_15[[#This Row],[Valor básico]]</x:f>
        <x:v>#REF!</x:v>
      </x:c>
      <x:c r="AQ50" s="25" t="e">
        <x:f>SUM(TCO_15[[#This Row],[mes 01]:[mes 36]])</x:f>
        <x:v>#REF!</x:v>
      </x:c>
      <x:c r="AR50" s="25" t="s">
        <x:v>1585</x:v>
      </x:c>
    </x:row>
    <x:row r="51">
      <x:c r="A51" s="2" t="s">
        <x:v>1586</x:v>
      </x:c>
      <x:c r="B51" t="s">
        <x:v>590</x:v>
      </x:c>
      <x:c r="C51" t="str">
        <x:f>MONREP</x:f>
        <x:v>USD</x:v>
      </x:c>
      <x:c r="D51" s="110" t="n">
        <x:f>IFERROR(1/_xlfn.XLOOKUP(TCO_15[[#This Row],[MON Report]]&amp;"/"&amp;TCO_15[[#This Row],[MON]],TRM[Estándar financiero],TRM[Tasa ≥1],0,0),0)+_xlfn.XLOOKUP(TCO_15[[#This Row],[MON]]&amp;"/"&amp;TCO_15[[#This Row],[MON Report]],TRM[Estándar financiero],TRM[Tasa ≥1],0,0)</x:f>
        <x:v>0.00025</x:v>
      </x:c>
      <x:c r="E51" s="25" t="n">
        <x:f>E48</x:f>
        <x:v>20101.435</x:v>
      </x:c>
      <x:c r="G51" s="25" t="n">
        <x:f>(MONTH(G$1)=1)*TCO_15[[#This Row],[Valor básico]]</x:f>
        <x:v>0</x:v>
      </x:c>
      <x:c r="H51" s="25" t="n">
        <x:f>(MONTH(H$1)=1)*TCO_15[[#This Row],[Valor básico]]</x:f>
        <x:v>0</x:v>
      </x:c>
      <x:c r="I51" s="25" t="n">
        <x:f>(MONTH(I$1)=1)*TCO_15[[#This Row],[Valor básico]]</x:f>
        <x:v>0</x:v>
      </x:c>
      <x:c r="J51" s="25" t="n">
        <x:f>(MONTH(J$1)=1)*TCO_15[[#This Row],[Valor básico]]</x:f>
        <x:v>0</x:v>
      </x:c>
      <x:c r="K51" s="25" t="n">
        <x:f>(MONTH(K$1)=1)*TCO_15[[#This Row],[Valor básico]]</x:f>
        <x:v>0</x:v>
      </x:c>
      <x:c r="L51" s="25" t="n">
        <x:f>(MONTH(L$1)=1)*TCO_15[[#This Row],[Valor básico]]</x:f>
        <x:v>0</x:v>
      </x:c>
      <x:c r="M51" s="25" t="n">
        <x:f>(MONTH(M$1)=1)*TCO_15[[#This Row],[Valor básico]]</x:f>
        <x:v>20101.435</x:v>
      </x:c>
      <x:c r="N51" s="25" t="n">
        <x:f>(MONTH(N$1)=1)*TCO_15[[#This Row],[Valor básico]]</x:f>
        <x:v>0</x:v>
      </x:c>
      <x:c r="O51" s="25" t="n">
        <x:f>(MONTH(O$1)=1)*TCO_15[[#This Row],[Valor básico]]</x:f>
        <x:v>0</x:v>
      </x:c>
      <x:c r="P51" s="25" t="n">
        <x:f>(MONTH(P$1)=1)*TCO_15[[#This Row],[Valor básico]]</x:f>
        <x:v>0</x:v>
      </x:c>
      <x:c r="Q51" s="25" t="n">
        <x:f>(MONTH(Q$1)=1)*TCO_15[[#This Row],[Valor básico]]</x:f>
        <x:v>0</x:v>
      </x:c>
      <x:c r="R51" s="25" t="n">
        <x:f>(MONTH(R$1)=1)*TCO_15[[#This Row],[Valor básico]]</x:f>
        <x:v>0</x:v>
      </x:c>
      <x:c r="S51" s="25" t="n">
        <x:f>(MONTH(S$1)=1)*TCO_15[[#This Row],[Valor básico]]</x:f>
        <x:v>0</x:v>
      </x:c>
      <x:c r="T51" s="25" t="n">
        <x:f>(MONTH(T$1)=1)*TCO_15[[#This Row],[Valor básico]]</x:f>
        <x:v>0</x:v>
      </x:c>
      <x:c r="U51" s="25" t="n">
        <x:f>(MONTH(U$1)=1)*TCO_15[[#This Row],[Valor básico]]</x:f>
        <x:v>0</x:v>
      </x:c>
      <x:c r="V51" s="25" t="n">
        <x:f>(MONTH(V$1)=1)*TCO_15[[#This Row],[Valor básico]]</x:f>
        <x:v>0</x:v>
      </x:c>
      <x:c r="W51" s="25" t="n">
        <x:f>(MONTH(W$1)=1)*TCO_15[[#This Row],[Valor básico]]</x:f>
        <x:v>0</x:v>
      </x:c>
      <x:c r="X51" s="25" t="n">
        <x:f>(MONTH(X$1)=1)*TCO_15[[#This Row],[Valor básico]]</x:f>
        <x:v>0</x:v>
      </x:c>
      <x:c r="Y51" s="25" t="n">
        <x:f>(MONTH(Y$1)=1)*TCO_15[[#This Row],[Valor básico]]</x:f>
        <x:v>20101.435</x:v>
      </x:c>
      <x:c r="Z51" s="25" t="n">
        <x:f>(MONTH(Z$1)=1)*TCO_15[[#This Row],[Valor básico]]</x:f>
        <x:v>0</x:v>
      </x:c>
      <x:c r="AA51" s="25" t="n">
        <x:f>(MONTH(AA$1)=1)*TCO_15[[#This Row],[Valor básico]]</x:f>
        <x:v>0</x:v>
      </x:c>
      <x:c r="AB51" s="25" t="n">
        <x:f>(MONTH(AB$1)=1)*TCO_15[[#This Row],[Valor básico]]</x:f>
        <x:v>0</x:v>
      </x:c>
      <x:c r="AC51" s="25" t="n">
        <x:f>(MONTH(AC$1)=1)*TCO_15[[#This Row],[Valor básico]]</x:f>
        <x:v>0</x:v>
      </x:c>
      <x:c r="AD51" s="25" t="n">
        <x:f>(MONTH(AD$1)=1)*TCO_15[[#This Row],[Valor básico]]</x:f>
        <x:v>0</x:v>
      </x:c>
      <x:c r="AE51" s="25" t="n">
        <x:f>(MONTH(AE$1)=1)*TCO_15[[#This Row],[Valor básico]]</x:f>
        <x:v>0</x:v>
      </x:c>
      <x:c r="AF51" s="25" t="n">
        <x:f>(MONTH(AF$1)=1)*TCO_15[[#This Row],[Valor básico]]</x:f>
        <x:v>0</x:v>
      </x:c>
      <x:c r="AG51" s="25" t="n">
        <x:f>(MONTH(AG$1)=1)*TCO_15[[#This Row],[Valor básico]]</x:f>
        <x:v>0</x:v>
      </x:c>
      <x:c r="AH51" s="25" t="n">
        <x:f>(MONTH(AH$1)=1)*TCO_15[[#This Row],[Valor básico]]</x:f>
        <x:v>0</x:v>
      </x:c>
      <x:c r="AI51" s="25" t="n">
        <x:f>(MONTH(AI$1)=1)*TCO_15[[#This Row],[Valor básico]]</x:f>
        <x:v>0</x:v>
      </x:c>
      <x:c r="AJ51" s="25" t="n">
        <x:f>(MONTH(AJ$1)=1)*TCO_15[[#This Row],[Valor básico]]</x:f>
        <x:v>0</x:v>
      </x:c>
      <x:c r="AK51" s="25" t="n">
        <x:f>(MONTH(AK$1)=1)*TCO_15[[#This Row],[Valor básico]]</x:f>
        <x:v>20101.435</x:v>
      </x:c>
      <x:c r="AL51" s="25" t="n">
        <x:f>(MONTH(AL$1)=1)*TCO_15[[#This Row],[Valor básico]]</x:f>
        <x:v>0</x:v>
      </x:c>
      <x:c r="AM51" s="25" t="n">
        <x:f>(MONTH(AM$1)=1)*TCO_15[[#This Row],[Valor básico]]</x:f>
        <x:v>0</x:v>
      </x:c>
      <x:c r="AN51" s="25" t="n">
        <x:f>(MONTH(AN$1)=1)*TCO_15[[#This Row],[Valor básico]]</x:f>
        <x:v>0</x:v>
      </x:c>
      <x:c r="AO51" s="25" t="n">
        <x:f>(MONTH(AO$1)=1)*TCO_15[[#This Row],[Valor básico]]</x:f>
        <x:v>0</x:v>
      </x:c>
      <x:c r="AP51" s="25" t="n">
        <x:f>(MONTH(AP$1)=1)*TCO_15[[#This Row],[Valor básico]]</x:f>
        <x:v>0</x:v>
      </x:c>
      <x:c r="AQ51" s="25" t="e">
        <x:f>SUM(TCO_15[[#This Row],[mes 01]:[mes 36]])</x:f>
        <x:v>#REF!</x:v>
      </x:c>
      <x:c r="AR51" s="25" t="s">
        <x:v>1587</x:v>
      </x:c>
    </x:row>
    <x:row r="52">
      <x:c r="A52" s="2" t="s">
        <x:v>1588</x:v>
      </x:c>
      <x:c r="B52" t="s">
        <x:v>547</x:v>
      </x:c>
      <x:c r="C52" t="str">
        <x:f>MONREP</x:f>
        <x:v>USD</x:v>
      </x:c>
      <x:c r="D52" s="110" t="n">
        <x:f>IFERROR(1/_xlfn.XLOOKUP(TCO_15[[#This Row],[MON Report]]&amp;"/"&amp;TCO_15[[#This Row],[MON]],TRM[Estándar financiero],TRM[Tasa ≥1],0,0),0)+_xlfn.XLOOKUP(TCO_15[[#This Row],[MON]]&amp;"/"&amp;TCO_15[[#This Row],[MON Report]],TRM[Estándar financiero],TRM[Tasa ≥1],0,0)</x:f>
        <x:v>1.18</x:v>
      </x:c>
      <x:c r="E52" s="25"/>
      <x:c r="G52" s="25"/>
      <x:c r="H52" s="25"/>
      <x:c r="I52" s="25"/>
      <x:c r="J52" s="25"/>
      <x:c r="K52" s="25"/>
      <x:c r="L52" s="25"/>
      <x:c r="M52" s="25"/>
      <x:c r="N52" s="114" t="n">
        <x:f>TCO_15[[#This Row],[TRM]]*SUMPRODUCT($E$35:$E$38,N$35:N$38)</x:f>
        <x:v>1243.897</x:v>
      </x:c>
      <x:c r="O52" s="114" t="n">
        <x:f>TCO_15[[#This Row],[TRM]]*SUMPRODUCT($E$35:$E$38,O$35:O$38)</x:f>
        <x:v>1509.397</x:v>
      </x:c>
      <x:c r="P52" s="114" t="n">
        <x:f>TCO_15[[#This Row],[TRM]]*SUMPRODUCT($E$35:$E$38,P$35:P$38)</x:f>
        <x:v>1597.897</x:v>
      </x:c>
      <x:c r="Q52" s="114" t="n">
        <x:f>TCO_15[[#This Row],[TRM]]*SUMPRODUCT($E$35:$E$38,Q$35:Q$38)</x:f>
        <x:v>1814.2264</x:v>
      </x:c>
      <x:c r="R52" s="114" t="n">
        <x:f>TCO_15[[#This Row],[TRM]]*SUMPRODUCT($E$35:$E$38,R$35:R$38)</x:f>
        <x:v>2084.6351999999997</x:v>
      </x:c>
      <x:c r="S52" s="114" t="n">
        <x:f>TCO_15[[#This Row],[TRM]]*SUMPRODUCT($E$35:$E$38,S$35:S$38)</x:f>
        <x:v>2192.794</x:v>
      </x:c>
      <x:c r="T52" s="114" t="n">
        <x:f>TCO_15[[#This Row],[TRM]]*SUMPRODUCT($E$35:$E$38,T$35:T$38)</x:f>
        <x:v>2222.294</x:v>
      </x:c>
      <x:c r="U52" s="25" t="n">
        <x:f>TCO_15[[#This Row],[TRM]]*SUMPRODUCT($E$35:$E$38,U$35:U$38)</x:f>
        <x:v>2487.794</x:v>
      </x:c>
      <x:c r="V52" s="25" t="n">
        <x:f>TCO_15[[#This Row],[TRM]]*SUMPRODUCT($E$35:$E$38,V$35:V$38)</x:f>
        <x:v>3018.794</x:v>
      </x:c>
      <x:c r="W52" s="25" t="n">
        <x:f>TCO_15[[#This Row],[TRM]]*SUMPRODUCT($E$35:$E$38,W$35:W$38)</x:f>
        <x:v>3195.794</x:v>
      </x:c>
      <x:c r="X52" s="25" t="n">
        <x:f>TCO_15[[#This Row],[TRM]]*SUMPRODUCT($E$35:$E$38,X$35:X$38)</x:f>
        <x:v>3628.4528</x:v>
      </x:c>
      <x:c r="Y52" s="25" t="n">
        <x:f>TCO_15[[#This Row],[TRM]]*SUMPRODUCT($E$35:$E$38,Y$35:Y$38)</x:f>
        <x:v>4169.270399999999</x:v>
      </x:c>
      <x:c r="Z52" s="25" t="n">
        <x:f>TCO_15[[#This Row],[TRM]]*SUMPRODUCT($E$35:$E$38,Z$35:Z$38)</x:f>
        <x:v>4385.588</x:v>
      </x:c>
      <x:c r="AA52" s="25" t="n">
        <x:f>TCO_15[[#This Row],[TRM]]*SUMPRODUCT($E$35:$E$38,AA$35:AA$38)</x:f>
        <x:v>4444.588</x:v>
      </x:c>
      <x:c r="AB52" s="114" t="n">
        <x:f>TCO_15[[#This Row],[TRM]]*SUMPRODUCT($E$35:$E$38,AB$35:AB$38)</x:f>
        <x:v>4975.588</x:v>
      </x:c>
      <x:c r="AC52" s="114" t="n">
        <x:f>TCO_15[[#This Row],[TRM]]*SUMPRODUCT($E$35:$E$38,AC$35:AC$38)</x:f>
        <x:v>6037.588</x:v>
      </x:c>
      <x:c r="AD52" s="114" t="n">
        <x:f>TCO_15[[#This Row],[TRM]]*SUMPRODUCT($E$35:$E$38,AD$35:AD$38)</x:f>
        <x:v>6391.588</x:v>
      </x:c>
      <x:c r="AE52" s="114" t="n">
        <x:f>TCO_15[[#This Row],[TRM]]*SUMPRODUCT($E$35:$E$38,AE$35:AE$38)</x:f>
        <x:v>7256.9056</x:v>
      </x:c>
      <x:c r="AF52" s="114" t="n">
        <x:f>TCO_15[[#This Row],[TRM]]*SUMPRODUCT($E$35:$E$38,AF$35:AF$38)</x:f>
        <x:v>8338.540799999999</x:v>
      </x:c>
      <x:c r="AG52" s="114" t="n">
        <x:f>TCO_15[[#This Row],[TRM]]*SUMPRODUCT($E$35:$E$38,AG$35:AG$38)</x:f>
        <x:v>8771.176</x:v>
      </x:c>
      <x:c r="AH52" s="114" t="n">
        <x:f>TCO_15[[#This Row],[TRM]]*SUMPRODUCT($E$35:$E$38,AH$35:AH$38)</x:f>
        <x:v>8889.176</x:v>
      </x:c>
      <x:c r="AI52" s="25" t="n">
        <x:f>TCO_15[[#This Row],[TRM]]*SUMPRODUCT($E$35:$E$38,AI$35:AI$38)</x:f>
        <x:v>9951.176</x:v>
      </x:c>
      <x:c r="AJ52" s="25" t="n">
        <x:f>TCO_15[[#This Row],[TRM]]*SUMPRODUCT($E$35:$E$38,AJ$35:AJ$38)</x:f>
        <x:v>12075.176</x:v>
      </x:c>
      <x:c r="AK52" s="25" t="n">
        <x:f>TCO_15[[#This Row],[TRM]]*SUMPRODUCT($E$35:$E$38,AK$35:AK$38)</x:f>
        <x:v>12783.176</x:v>
      </x:c>
      <x:c r="AL52" s="25" t="n">
        <x:f>TCO_15[[#This Row],[TRM]]*SUMPRODUCT($E$35:$E$38,AL$35:AL$38)</x:f>
        <x:v>14513.8112</x:v>
      </x:c>
      <x:c r="AM52" s="25" t="n">
        <x:f>TCO_15[[#This Row],[TRM]]*SUMPRODUCT($E$35:$E$38,AM$35:AM$38)</x:f>
        <x:v>16677.081599999998</x:v>
      </x:c>
      <x:c r="AN52" s="25" t="n">
        <x:f>TCO_15[[#This Row],[TRM]]*SUMPRODUCT($E$35:$E$38,AN$35:AN$38)</x:f>
        <x:v>17542.352</x:v>
      </x:c>
      <x:c r="AO52" s="25" t="n">
        <x:f>TCO_15[[#This Row],[TRM]]*SUMPRODUCT($E$35:$E$38,AO$35:AO$38)</x:f>
        <x:v>17778.352</x:v>
      </x:c>
      <x:c r="AP52" s="114" t="n">
        <x:f>TCO_15[[#This Row],[TRM]]*SUMPRODUCT($E$35:$E$38,AP$35:AP$38)</x:f>
        <x:v>19902.352</x:v>
      </x:c>
      <x:c r="AQ52" s="114" t="e">
        <x:f>SUM(TCO_15[[#This Row],[mes 01]:[mes 36]])</x:f>
        <x:v>#REF!</x:v>
      </x:c>
      <x:c r="AR52" s="25" t="s">
        <x:v>1581</x:v>
      </x:c>
    </x:row>
    <x:row r="53">
      <x:c r="D53" s="110"/>
      <x:c r="E53" s="25"/>
      <x:c r="G53" s="25"/>
      <x:c r="H53" s="25"/>
      <x:c r="I53" s="25"/>
      <x:c r="J53" s="25"/>
      <x:c r="K53" s="25"/>
      <x:c r="L53" s="25"/>
      <x:c r="M53" s="25"/>
      <x:c r="N53" s="25"/>
      <x:c r="O53" s="25"/>
      <x:c r="P53" s="25"/>
      <x:c r="Q53" s="25"/>
      <x:c r="R53" s="25"/>
      <x:c r="S53" s="25"/>
      <x:c r="T53" s="25"/>
      <x:c r="U53" s="25"/>
      <x:c r="V53" s="25"/>
      <x:c r="W53" s="25"/>
      <x:c r="X53" s="25"/>
      <x:c r="Y53" s="25"/>
      <x:c r="Z53" s="25"/>
      <x:c r="AA53" s="25"/>
      <x:c r="AB53" s="25"/>
      <x:c r="AC53" s="25"/>
      <x:c r="AD53" s="25"/>
      <x:c r="AE53" s="25"/>
      <x:c r="AF53" s="25"/>
      <x:c r="AG53" s="25"/>
      <x:c r="AH53" s="25"/>
      <x:c r="AI53" s="25"/>
      <x:c r="AJ53" s="25"/>
      <x:c r="AK53" s="25"/>
      <x:c r="AL53" s="25"/>
      <x:c r="AM53" s="25"/>
      <x:c r="AN53" s="25"/>
      <x:c r="AO53" s="25"/>
      <x:c r="AP53" s="25"/>
      <x:c r="AQ53" s="25" t="e">
        <x:f>SUM(TCO_15[[#This Row],[mes 01]:[mes 36]])</x:f>
        <x:v>#REF!</x:v>
      </x:c>
      <x:c r="AR53" s="25"/>
    </x:row>
    <x:row r="54">
      <x:c r="A54" s="24" t="s">
        <x:v>1589</x:v>
      </x:c>
      <x:c r="D54" s="110"/>
      <x:c r="E54" s="25"/>
      <x:c r="G54" s="25"/>
      <x:c r="H54" s="25"/>
      <x:c r="I54" s="25"/>
      <x:c r="J54" s="25"/>
      <x:c r="K54" s="25"/>
      <x:c r="L54" s="25"/>
      <x:c r="M54" s="25"/>
      <x:c r="N54" s="25"/>
      <x:c r="O54" s="25"/>
      <x:c r="P54" s="25"/>
      <x:c r="Q54" s="25"/>
      <x:c r="R54" s="25"/>
      <x:c r="S54" s="25"/>
      <x:c r="T54" s="25"/>
      <x:c r="U54" s="25"/>
      <x:c r="V54" s="25"/>
      <x:c r="W54" s="25"/>
      <x:c r="X54" s="25"/>
      <x:c r="Y54" s="25"/>
      <x:c r="Z54" s="25"/>
      <x:c r="AA54" s="25"/>
      <x:c r="AB54" s="25"/>
      <x:c r="AC54" s="25"/>
      <x:c r="AD54" s="25"/>
      <x:c r="AE54" s="25"/>
      <x:c r="AF54" s="25"/>
      <x:c r="AG54" s="25"/>
      <x:c r="AH54" s="25"/>
      <x:c r="AI54" s="25"/>
      <x:c r="AJ54" s="25"/>
      <x:c r="AK54" s="25"/>
      <x:c r="AL54" s="25"/>
      <x:c r="AM54" s="25"/>
      <x:c r="AN54" s="25"/>
      <x:c r="AO54" s="25"/>
      <x:c r="AP54" s="25"/>
      <x:c r="AQ54" s="25" t="e">
        <x:f>SUM(TCO_15[[#This Row],[mes 01]:[mes 36]])</x:f>
        <x:v>#REF!</x:v>
      </x:c>
      <x:c r="AR54" s="25"/>
    </x:row>
    <x:row r="55">
      <x:c r="A55" s="1" t="s">
        <x:v>1590</x:v>
      </x:c>
      <x:c r="B55" t="s">
        <x:v>590</x:v>
      </x:c>
      <x:c r="C55" t="s">
        <x:v>585</x:v>
      </x:c>
      <x:c r="D55" s="110" t="n">
        <x:f>IFERROR(1/_xlfn.XLOOKUP(TCO_15[[#This Row],[MON Report]]&amp;"/"&amp;TCO_15[[#This Row],[MON]],TRM[Estándar financiero],TRM[Tasa ≥1],0,0),0)+_xlfn.XLOOKUP(TCO_15[[#This Row],[MON]]&amp;"/"&amp;TCO_15[[#This Row],[MON Report]],TRM[Estándar financiero],TRM[Tasa ≥1],0,0)</x:f>
        <x:v>0.00025</x:v>
      </x:c>
      <x:c r="E55" s="25" t="n">
        <x:f>20000000/(42*4)</x:f>
        <x:v>119047.61904761905</x:v>
      </x:c>
      <x:c r="F55" t="s">
        <x:v>1591</x:v>
      </x:c>
      <x:c r="G55" s="25" t="n">
        <x:f>TCO_15[[#This Row],[TRM]]*TCO_15[[#This Row],[Valor básico]]*G26</x:f>
        <x:v>1428.5714285714287</x:v>
      </x:c>
      <x:c r="H55" s="25" t="n">
        <x:f>TCO_15[[#This Row],[TRM]]*TCO_15[[#This Row],[Valor básico]]*H26</x:f>
        <x:v>1428.5714285714287</x:v>
      </x:c>
      <x:c r="I55" s="25" t="n">
        <x:f>TCO_15[[#This Row],[TRM]]*TCO_15[[#This Row],[Valor básico]]*I26</x:f>
        <x:v>1428.5714285714287</x:v>
      </x:c>
      <x:c r="J55" s="25" t="n">
        <x:f>TCO_15[[#This Row],[TRM]]*TCO_15[[#This Row],[Valor básico]]*J26</x:f>
        <x:v>1428.5714285714287</x:v>
      </x:c>
      <x:c r="K55" s="25" t="n">
        <x:f>TCO_15[[#This Row],[TRM]]*TCO_15[[#This Row],[Valor básico]]*K26</x:f>
        <x:v>1428.5714285714287</x:v>
      </x:c>
      <x:c r="L55" s="25" t="n">
        <x:f>TCO_15[[#This Row],[TRM]]*TCO_15[[#This Row],[Valor básico]]*L26</x:f>
        <x:v>1428.5714285714287</x:v>
      </x:c>
      <x:c r="M55" s="25" t="n">
        <x:f>TCO_15[[#This Row],[TRM]]*TCO_15[[#This Row],[Valor básico]]*M26</x:f>
        <x:v>1428.5714285714287</x:v>
      </x:c>
      <x:c r="N55" s="25" t="n">
        <x:f>TCO_15[[#This Row],[TRM]]*TCO_15[[#This Row],[Valor básico]]*N26</x:f>
        <x:v>1428.5714285714287</x:v>
      </x:c>
      <x:c r="O55" s="25" t="n">
        <x:f>TCO_15[[#This Row],[TRM]]*TCO_15[[#This Row],[Valor básico]]*O26</x:f>
        <x:v>1428.5714285714287</x:v>
      </x:c>
      <x:c r="P55" s="25" t="n">
        <x:f>TCO_15[[#This Row],[TRM]]*TCO_15[[#This Row],[Valor básico]]*P26</x:f>
        <x:v>1428.5714285714287</x:v>
      </x:c>
      <x:c r="Q55" s="25" t="n">
        <x:f>TCO_15[[#This Row],[TRM]]*TCO_15[[#This Row],[Valor básico]]*Q26</x:f>
        <x:v>1428.5714285714287</x:v>
      </x:c>
      <x:c r="R55" s="25" t="n">
        <x:f>TCO_15[[#This Row],[TRM]]*TCO_15[[#This Row],[Valor básico]]*R26</x:f>
        <x:v>1428.5714285714287</x:v>
      </x:c>
      <x:c r="S55" s="25" t="n">
        <x:f>TCO_15[[#This Row],[TRM]]*TCO_15[[#This Row],[Valor básico]]*S26</x:f>
        <x:v>1428.5714285714287</x:v>
      </x:c>
      <x:c r="T55" s="25" t="n">
        <x:f>TCO_15[[#This Row],[TRM]]*TCO_15[[#This Row],[Valor básico]]*T26</x:f>
        <x:v>1428.5714285714287</x:v>
      </x:c>
      <x:c r="U55" s="25" t="n">
        <x:f>TCO_15[[#This Row],[TRM]]*TCO_15[[#This Row],[Valor básico]]*U26</x:f>
        <x:v>952.3809523809524</x:v>
      </x:c>
      <x:c r="V55" s="25" t="n">
        <x:f>TCO_15[[#This Row],[TRM]]*TCO_15[[#This Row],[Valor básico]]*V26</x:f>
        <x:v>952.3809523809524</x:v>
      </x:c>
      <x:c r="W55" s="25" t="n">
        <x:f>TCO_15[[#This Row],[TRM]]*TCO_15[[#This Row],[Valor básico]]*W26</x:f>
        <x:v>952.3809523809524</x:v>
      </x:c>
      <x:c r="X55" s="25" t="n">
        <x:f>TCO_15[[#This Row],[TRM]]*TCO_15[[#This Row],[Valor básico]]*X26</x:f>
        <x:v>952.3809523809524</x:v>
      </x:c>
      <x:c r="Y55" s="25" t="n">
        <x:f>TCO_15[[#This Row],[TRM]]*TCO_15[[#This Row],[Valor básico]]*Y26</x:f>
        <x:v>952.3809523809524</x:v>
      </x:c>
      <x:c r="Z55" s="25" t="n">
        <x:f>TCO_15[[#This Row],[TRM]]*TCO_15[[#This Row],[Valor básico]]*Z26</x:f>
        <x:v>952.3809523809524</x:v>
      </x:c>
      <x:c r="AA55" s="25" t="n">
        <x:f>TCO_15[[#This Row],[TRM]]*TCO_15[[#This Row],[Valor básico]]*AA26</x:f>
        <x:v>952.3809523809524</x:v>
      </x:c>
      <x:c r="AB55" s="25" t="n">
        <x:f>TCO_15[[#This Row],[TRM]]*TCO_15[[#This Row],[Valor básico]]*AB26</x:f>
        <x:v>952.3809523809524</x:v>
      </x:c>
      <x:c r="AC55" s="25" t="n">
        <x:f>TCO_15[[#This Row],[TRM]]*TCO_15[[#This Row],[Valor básico]]*AC26</x:f>
        <x:v>952.3809523809524</x:v>
      </x:c>
      <x:c r="AD55" s="25" t="n">
        <x:f>TCO_15[[#This Row],[TRM]]*TCO_15[[#This Row],[Valor básico]]*AD26</x:f>
        <x:v>952.3809523809524</x:v>
      </x:c>
      <x:c r="AE55" s="25" t="n">
        <x:f>TCO_15[[#This Row],[TRM]]*TCO_15[[#This Row],[Valor básico]]*AE26</x:f>
        <x:v>952.3809523809524</x:v>
      </x:c>
      <x:c r="AF55" s="25" t="n">
        <x:f>TCO_15[[#This Row],[TRM]]*TCO_15[[#This Row],[Valor básico]]*AF26</x:f>
        <x:v>952.3809523809524</x:v>
      </x:c>
      <x:c r="AG55" s="25" t="n">
        <x:f>TCO_15[[#This Row],[TRM]]*TCO_15[[#This Row],[Valor básico]]*AG26</x:f>
        <x:v>952.3809523809524</x:v>
      </x:c>
      <x:c r="AH55" s="25" t="n">
        <x:f>TCO_15[[#This Row],[TRM]]*TCO_15[[#This Row],[Valor básico]]*AH26</x:f>
        <x:v>952.3809523809524</x:v>
      </x:c>
      <x:c r="AI55" s="25" t="n">
        <x:f>TCO_15[[#This Row],[TRM]]*TCO_15[[#This Row],[Valor básico]]*AI26</x:f>
        <x:v>952.3809523809524</x:v>
      </x:c>
      <x:c r="AJ55" s="25" t="n">
        <x:f>TCO_15[[#This Row],[TRM]]*TCO_15[[#This Row],[Valor básico]]*AJ26</x:f>
        <x:v>952.3809523809524</x:v>
      </x:c>
      <x:c r="AK55" s="25" t="n">
        <x:f>TCO_15[[#This Row],[TRM]]*TCO_15[[#This Row],[Valor básico]]*AK26</x:f>
        <x:v>952.3809523809524</x:v>
      </x:c>
      <x:c r="AL55" s="25" t="n">
        <x:f>TCO_15[[#This Row],[TRM]]*TCO_15[[#This Row],[Valor básico]]*AL26</x:f>
        <x:v>952.3809523809524</x:v>
      </x:c>
      <x:c r="AM55" s="25" t="n">
        <x:f>TCO_15[[#This Row],[TRM]]*TCO_15[[#This Row],[Valor básico]]*AM26</x:f>
        <x:v>952.3809523809524</x:v>
      </x:c>
      <x:c r="AN55" s="25" t="n">
        <x:f>TCO_15[[#This Row],[TRM]]*TCO_15[[#This Row],[Valor básico]]*AN26</x:f>
        <x:v>952.3809523809524</x:v>
      </x:c>
      <x:c r="AO55" s="25" t="n">
        <x:f>TCO_15[[#This Row],[TRM]]*TCO_15[[#This Row],[Valor básico]]*AO26</x:f>
        <x:v>952.3809523809524</x:v>
      </x:c>
      <x:c r="AP55" s="25" t="n">
        <x:f>TCO_15[[#This Row],[TRM]]*TCO_15[[#This Row],[Valor básico]]*AP26</x:f>
        <x:v>952.3809523809524</x:v>
      </x:c>
      <x:c r="AQ55" s="25" t="e">
        <x:f>SUM(TCO_15[[#This Row],[mes 01]:[mes 36]])</x:f>
        <x:v>#REF!</x:v>
      </x:c>
      <x:c r="AR55" s="25" t="s">
        <x:v>1592</x:v>
      </x:c>
    </x:row>
    <x:row r="56">
      <x:c r="A56" s="1" t="s">
        <x:v>1593</x:v>
      </x:c>
      <x:c r="D56" s="110"/>
      <x:c r="E56" s="25"/>
      <x:c r="G56" s="25"/>
      <x:c r="H56" s="25"/>
      <x:c r="I56" s="25"/>
      <x:c r="J56" s="25"/>
      <x:c r="K56" s="25"/>
      <x:c r="L56" s="25"/>
      <x:c r="M56" s="25"/>
      <x:c r="N56" s="25"/>
      <x:c r="O56" s="25"/>
      <x:c r="P56" s="25"/>
      <x:c r="Q56" s="25"/>
      <x:c r="R56" s="25"/>
      <x:c r="S56" s="25"/>
      <x:c r="T56" s="25"/>
      <x:c r="U56" s="25"/>
      <x:c r="V56" s="25"/>
      <x:c r="W56" s="25"/>
      <x:c r="X56" s="25"/>
      <x:c r="Y56" s="25"/>
      <x:c r="Z56" s="25"/>
      <x:c r="AA56" s="25"/>
      <x:c r="AB56" s="25"/>
      <x:c r="AC56" s="25"/>
      <x:c r="AD56" s="25"/>
      <x:c r="AE56" s="25"/>
      <x:c r="AF56" s="25"/>
      <x:c r="AG56" s="25"/>
      <x:c r="AH56" s="25"/>
      <x:c r="AI56" s="25"/>
      <x:c r="AJ56" s="25"/>
      <x:c r="AK56" s="25"/>
      <x:c r="AL56" s="25"/>
      <x:c r="AM56" s="25"/>
      <x:c r="AN56" s="25"/>
      <x:c r="AO56" s="25"/>
      <x:c r="AP56" s="25"/>
      <x:c r="AQ56" s="25" t="e">
        <x:f>SUM(TCO_15[[#This Row],[mes 01]:[mes 36]])</x:f>
        <x:v>#REF!</x:v>
      </x:c>
      <x:c r="AR56" s="25"/>
    </x:row>
    <x:row r="57">
      <x:c r="D57" s="110"/>
      <x:c r="E57" s="25"/>
      <x:c r="G57" s="25"/>
      <x:c r="H57" s="25"/>
      <x:c r="I57" s="25"/>
      <x:c r="J57" s="25"/>
      <x:c r="K57" s="25"/>
      <x:c r="L57" s="25"/>
      <x:c r="M57" s="25"/>
      <x:c r="N57" s="25"/>
      <x:c r="O57" s="25"/>
      <x:c r="P57" s="25"/>
      <x:c r="Q57" s="25"/>
      <x:c r="R57" s="25"/>
      <x:c r="S57" s="25"/>
      <x:c r="T57" s="25"/>
      <x:c r="U57" s="25"/>
      <x:c r="V57" s="25"/>
      <x:c r="W57" s="25"/>
      <x:c r="X57" s="25"/>
      <x:c r="Y57" s="25"/>
      <x:c r="Z57" s="25"/>
      <x:c r="AA57" s="25"/>
      <x:c r="AB57" s="25"/>
      <x:c r="AC57" s="25"/>
      <x:c r="AD57" s="25"/>
      <x:c r="AE57" s="25"/>
      <x:c r="AF57" s="25"/>
      <x:c r="AG57" s="25"/>
      <x:c r="AH57" s="25"/>
      <x:c r="AI57" s="25"/>
      <x:c r="AJ57" s="25"/>
      <x:c r="AK57" s="25"/>
      <x:c r="AL57" s="25"/>
      <x:c r="AM57" s="25"/>
      <x:c r="AN57" s="25"/>
      <x:c r="AO57" s="25"/>
      <x:c r="AP57" s="25"/>
      <x:c r="AQ57" s="25" t="e">
        <x:f>SUM(TCO_15[[#This Row],[mes 01]:[mes 36]])</x:f>
        <x:v>#REF!</x:v>
      </x:c>
      <x:c r="AR57" s="25"/>
    </x:row>
    <x:row r="58">
      <x:c r="A58" s="24" t="s">
        <x:v>1594</x:v>
      </x:c>
      <x:c r="D58" s="110"/>
      <x:c r="E58" s="25"/>
      <x:c r="G58" s="25"/>
      <x:c r="H58" s="25"/>
      <x:c r="I58" s="25"/>
      <x:c r="J58" s="25"/>
      <x:c r="K58" s="25"/>
      <x:c r="L58" s="25"/>
      <x:c r="M58" s="25"/>
      <x:c r="N58" s="25"/>
      <x:c r="O58" s="25"/>
      <x:c r="P58" s="25"/>
      <x:c r="Q58" s="25"/>
      <x:c r="R58" s="25"/>
      <x:c r="S58" s="25"/>
      <x:c r="T58" s="25"/>
      <x:c r="U58" s="25"/>
      <x:c r="V58" s="25"/>
      <x:c r="W58" s="25"/>
      <x:c r="X58" s="25"/>
      <x:c r="Y58" s="25"/>
      <x:c r="Z58" s="25"/>
      <x:c r="AA58" s="25"/>
      <x:c r="AB58" s="25"/>
      <x:c r="AC58" s="25"/>
      <x:c r="AD58" s="25"/>
      <x:c r="AE58" s="25"/>
      <x:c r="AF58" s="25"/>
      <x:c r="AG58" s="25"/>
      <x:c r="AH58" s="25"/>
      <x:c r="AI58" s="25"/>
      <x:c r="AJ58" s="25"/>
      <x:c r="AK58" s="25"/>
      <x:c r="AL58" s="25"/>
      <x:c r="AM58" s="25"/>
      <x:c r="AN58" s="25"/>
      <x:c r="AO58" s="25"/>
      <x:c r="AP58" s="25"/>
      <x:c r="AQ58" s="25" t="e">
        <x:f>SUM(TCO_15[[#This Row],[mes 01]:[mes 36]])</x:f>
        <x:v>#REF!</x:v>
      </x:c>
      <x:c r="AR58" s="25"/>
    </x:row>
    <x:row r="59">
      <x:c r="A59" s="1" t="s">
        <x:v>1595</x:v>
      </x:c>
      <x:c r="D59" s="110"/>
      <x:c r="E59" s="107">
        <x:v>0.5</x:v>
      </x:c>
      <x:c r="F59" t="s">
        <x:v>1596</x:v>
      </x:c>
      <x:c r="G59" s="25" t="n">
        <x:f>TCO_15[[#This Row],[Valor básico]]*G$55</x:f>
        <x:v>714.2857142857143</x:v>
      </x:c>
      <x:c r="H59" s="25" t="n">
        <x:f>TCO_15[[#This Row],[Valor básico]]*H$55</x:f>
        <x:v>714.2857142857143</x:v>
      </x:c>
      <x:c r="I59" s="25" t="n">
        <x:f>TCO_15[[#This Row],[Valor básico]]*I$55</x:f>
        <x:v>714.2857142857143</x:v>
      </x:c>
      <x:c r="J59" s="25" t="n">
        <x:f>TCO_15[[#This Row],[Valor básico]]*J$55</x:f>
        <x:v>714.2857142857143</x:v>
      </x:c>
      <x:c r="K59" s="25" t="n">
        <x:f>TCO_15[[#This Row],[Valor básico]]*K$55</x:f>
        <x:v>714.2857142857143</x:v>
      </x:c>
      <x:c r="L59" s="25" t="n">
        <x:f>TCO_15[[#This Row],[Valor básico]]*L$55</x:f>
        <x:v>714.2857142857143</x:v>
      </x:c>
      <x:c r="M59" s="25" t="n">
        <x:f>TCO_15[[#This Row],[Valor básico]]*M$55</x:f>
        <x:v>714.2857142857143</x:v>
      </x:c>
      <x:c r="N59" s="25" t="n">
        <x:f>TCO_15[[#This Row],[Valor básico]]*N$55</x:f>
        <x:v>714.2857142857143</x:v>
      </x:c>
      <x:c r="O59" s="25" t="n">
        <x:f>TCO_15[[#This Row],[Valor básico]]*O$55</x:f>
        <x:v>714.2857142857143</x:v>
      </x:c>
      <x:c r="P59" s="25" t="n">
        <x:f>TCO_15[[#This Row],[Valor básico]]*P$55</x:f>
        <x:v>714.2857142857143</x:v>
      </x:c>
      <x:c r="Q59" s="25" t="n">
        <x:f>TCO_15[[#This Row],[Valor básico]]*Q$55</x:f>
        <x:v>714.2857142857143</x:v>
      </x:c>
      <x:c r="R59" s="25" t="n">
        <x:f>TCO_15[[#This Row],[Valor básico]]*R$55</x:f>
        <x:v>714.2857142857143</x:v>
      </x:c>
      <x:c r="S59" s="25" t="n">
        <x:f>TCO_15[[#This Row],[Valor básico]]*S$55</x:f>
        <x:v>714.2857142857143</x:v>
      </x:c>
      <x:c r="T59" s="25" t="n">
        <x:f>TCO_15[[#This Row],[Valor básico]]*T$55</x:f>
        <x:v>714.2857142857143</x:v>
      </x:c>
      <x:c r="U59" s="25" t="n">
        <x:f>TCO_15[[#This Row],[Valor básico]]*U$55</x:f>
        <x:v>476.1904761904762</x:v>
      </x:c>
      <x:c r="V59" s="25" t="n">
        <x:f>TCO_15[[#This Row],[Valor básico]]*V$55</x:f>
        <x:v>476.1904761904762</x:v>
      </x:c>
      <x:c r="W59" s="25" t="n">
        <x:f>TCO_15[[#This Row],[Valor básico]]*W$55</x:f>
        <x:v>476.1904761904762</x:v>
      </x:c>
      <x:c r="X59" s="25" t="n">
        <x:f>TCO_15[[#This Row],[Valor básico]]*X$55</x:f>
        <x:v>476.1904761904762</x:v>
      </x:c>
      <x:c r="Y59" s="25" t="n">
        <x:f>TCO_15[[#This Row],[Valor básico]]*Y$55</x:f>
        <x:v>476.1904761904762</x:v>
      </x:c>
      <x:c r="Z59" s="25" t="n">
        <x:f>TCO_15[[#This Row],[Valor básico]]*Z$55</x:f>
        <x:v>476.1904761904762</x:v>
      </x:c>
      <x:c r="AA59" s="25" t="n">
        <x:f>TCO_15[[#This Row],[Valor básico]]*AA$55</x:f>
        <x:v>476.1904761904762</x:v>
      </x:c>
      <x:c r="AB59" s="25" t="n">
        <x:f>TCO_15[[#This Row],[Valor básico]]*AB$55</x:f>
        <x:v>476.1904761904762</x:v>
      </x:c>
      <x:c r="AC59" s="25" t="n">
        <x:f>TCO_15[[#This Row],[Valor básico]]*AC$55</x:f>
        <x:v>476.1904761904762</x:v>
      </x:c>
      <x:c r="AD59" s="25" t="n">
        <x:f>TCO_15[[#This Row],[Valor básico]]*AD$55</x:f>
        <x:v>476.1904761904762</x:v>
      </x:c>
      <x:c r="AE59" s="25" t="n">
        <x:f>TCO_15[[#This Row],[Valor básico]]*AE$55</x:f>
        <x:v>476.1904761904762</x:v>
      </x:c>
      <x:c r="AF59" s="25" t="n">
        <x:f>TCO_15[[#This Row],[Valor básico]]*AF$55</x:f>
        <x:v>476.1904761904762</x:v>
      </x:c>
      <x:c r="AG59" s="25" t="n">
        <x:f>TCO_15[[#This Row],[Valor básico]]*AG$55</x:f>
        <x:v>476.1904761904762</x:v>
      </x:c>
      <x:c r="AH59" s="25" t="n">
        <x:f>TCO_15[[#This Row],[Valor básico]]*AH$55</x:f>
        <x:v>476.1904761904762</x:v>
      </x:c>
      <x:c r="AI59" s="25" t="n">
        <x:f>TCO_15[[#This Row],[Valor básico]]*AI$55</x:f>
        <x:v>476.1904761904762</x:v>
      </x:c>
      <x:c r="AJ59" s="25" t="n">
        <x:f>TCO_15[[#This Row],[Valor básico]]*AJ$55</x:f>
        <x:v>476.1904761904762</x:v>
      </x:c>
      <x:c r="AK59" s="25" t="n">
        <x:f>TCO_15[[#This Row],[Valor básico]]*AK$55</x:f>
        <x:v>476.1904761904762</x:v>
      </x:c>
      <x:c r="AL59" s="25" t="n">
        <x:f>TCO_15[[#This Row],[Valor básico]]*AL$55</x:f>
        <x:v>476.1904761904762</x:v>
      </x:c>
      <x:c r="AM59" s="25" t="n">
        <x:f>TCO_15[[#This Row],[Valor básico]]*AM$55</x:f>
        <x:v>476.1904761904762</x:v>
      </x:c>
      <x:c r="AN59" s="25" t="n">
        <x:f>TCO_15[[#This Row],[Valor básico]]*AN$55</x:f>
        <x:v>476.1904761904762</x:v>
      </x:c>
      <x:c r="AO59" s="25" t="n">
        <x:f>TCO_15[[#This Row],[Valor básico]]*AO$55</x:f>
        <x:v>476.1904761904762</x:v>
      </x:c>
      <x:c r="AP59" s="25" t="n">
        <x:f>TCO_15[[#This Row],[Valor básico]]*AP$55</x:f>
        <x:v>476.1904761904762</x:v>
      </x:c>
      <x:c r="AQ59" s="25" t="e">
        <x:f>SUM(TCO_15[[#This Row],[mes 01]:[mes 36]])</x:f>
        <x:v>#REF!</x:v>
      </x:c>
      <x:c r="AR59" s="25" t="s">
        <x:v>1592</x:v>
      </x:c>
    </x:row>
    <x:row r="60">
      <x:c r="A60" s="1"/>
      <x:c r="D60" s="110"/>
      <x:c r="E60" s="25"/>
      <x:c r="G60" s="25"/>
      <x:c r="H60" s="25"/>
      <x:c r="I60" s="25"/>
      <x:c r="J60" s="25"/>
      <x:c r="K60" s="25"/>
      <x:c r="L60" s="25"/>
      <x:c r="M60" s="25"/>
      <x:c r="N60" s="25"/>
      <x:c r="O60" s="25"/>
      <x:c r="P60" s="25"/>
      <x:c r="Q60" s="25"/>
      <x:c r="R60" s="25"/>
      <x:c r="S60" s="25"/>
      <x:c r="T60" s="25"/>
      <x:c r="U60" s="25"/>
      <x:c r="V60" s="25"/>
      <x:c r="W60" s="25"/>
      <x:c r="X60" s="25"/>
      <x:c r="Y60" s="25"/>
      <x:c r="Z60" s="25"/>
      <x:c r="AA60" s="25"/>
      <x:c r="AB60" s="25"/>
      <x:c r="AC60" s="25"/>
      <x:c r="AD60" s="25"/>
      <x:c r="AE60" s="25"/>
      <x:c r="AF60" s="25"/>
      <x:c r="AG60" s="25"/>
      <x:c r="AH60" s="25"/>
      <x:c r="AI60" s="25"/>
      <x:c r="AJ60" s="25"/>
      <x:c r="AK60" s="25"/>
      <x:c r="AL60" s="25"/>
      <x:c r="AM60" s="25"/>
      <x:c r="AN60" s="25"/>
      <x:c r="AO60" s="25"/>
      <x:c r="AP60" s="25"/>
      <x:c r="AQ60" s="25" t="e">
        <x:f>SUM(TCO_15[[#This Row],[mes 01]:[mes 36]])</x:f>
        <x:v>#REF!</x:v>
      </x:c>
      <x:c r="AR60" s="25"/>
    </x:row>
    <x:row r="61">
      <x:c r="A61" s="24" t="s">
        <x:v>1597</x:v>
      </x:c>
      <x:c r="D61" s="110"/>
      <x:c r="E61" s="25"/>
      <x:c r="G61" s="25"/>
      <x:c r="H61" s="25"/>
      <x:c r="I61" s="25"/>
      <x:c r="J61" s="25"/>
      <x:c r="K61" s="25"/>
      <x:c r="L61" s="25"/>
      <x:c r="M61" s="25"/>
      <x:c r="N61" s="25"/>
      <x:c r="O61" s="25"/>
      <x:c r="P61" s="25"/>
      <x:c r="Q61" s="25"/>
      <x:c r="R61" s="25"/>
      <x:c r="S61" s="25"/>
      <x:c r="T61" s="25"/>
      <x:c r="U61" s="25"/>
      <x:c r="V61" s="25"/>
      <x:c r="W61" s="25"/>
      <x:c r="X61" s="25"/>
      <x:c r="Y61" s="25"/>
      <x:c r="Z61" s="25"/>
      <x:c r="AA61" s="25"/>
      <x:c r="AB61" s="25"/>
      <x:c r="AC61" s="25"/>
      <x:c r="AD61" s="25"/>
      <x:c r="AE61" s="25"/>
      <x:c r="AF61" s="25"/>
      <x:c r="AG61" s="25"/>
      <x:c r="AH61" s="25"/>
      <x:c r="AI61" s="25"/>
      <x:c r="AJ61" s="25"/>
      <x:c r="AK61" s="25"/>
      <x:c r="AL61" s="25"/>
      <x:c r="AM61" s="25"/>
      <x:c r="AN61" s="25"/>
      <x:c r="AO61" s="25"/>
      <x:c r="AP61" s="25"/>
      <x:c r="AQ61" s="25" t="e">
        <x:f>SUM(TCO_15[[#This Row],[mes 01]:[mes 36]])</x:f>
        <x:v>#REF!</x:v>
      </x:c>
      <x:c r="AR61" s="25"/>
    </x:row>
    <x:row r="62">
      <x:c r="A62" s="1" t="s">
        <x:v>1598</x:v>
      </x:c>
      <x:c r="D62" s="110"/>
      <x:c r="E62" s="107">
        <x:v>0.25</x:v>
      </x:c>
      <x:c r="F62" t="s">
        <x:v>1596</x:v>
      </x:c>
      <x:c r="G62" s="25" t="n">
        <x:f>TCO_15[[#This Row],[Valor básico]]*G$55</x:f>
        <x:v>357.14285714285717</x:v>
      </x:c>
      <x:c r="H62" s="25" t="n">
        <x:f>TCO_15[[#This Row],[Valor básico]]*H$55</x:f>
        <x:v>357.14285714285717</x:v>
      </x:c>
      <x:c r="I62" s="25" t="n">
        <x:f>TCO_15[[#This Row],[Valor básico]]*I$55</x:f>
        <x:v>357.14285714285717</x:v>
      </x:c>
      <x:c r="J62" s="25" t="n">
        <x:f>TCO_15[[#This Row],[Valor básico]]*J$55</x:f>
        <x:v>357.14285714285717</x:v>
      </x:c>
      <x:c r="K62" s="25" t="n">
        <x:f>TCO_15[[#This Row],[Valor básico]]*K$55</x:f>
        <x:v>357.14285714285717</x:v>
      </x:c>
      <x:c r="L62" s="25" t="n">
        <x:f>TCO_15[[#This Row],[Valor básico]]*L$55</x:f>
        <x:v>357.14285714285717</x:v>
      </x:c>
      <x:c r="M62" s="25" t="n">
        <x:f>TCO_15[[#This Row],[Valor básico]]*M$55</x:f>
        <x:v>357.14285714285717</x:v>
      </x:c>
      <x:c r="N62" s="25" t="n">
        <x:f>TCO_15[[#This Row],[Valor básico]]*N$55</x:f>
        <x:v>357.14285714285717</x:v>
      </x:c>
      <x:c r="O62" s="25" t="n">
        <x:f>TCO_15[[#This Row],[Valor básico]]*O$55</x:f>
        <x:v>357.14285714285717</x:v>
      </x:c>
      <x:c r="P62" s="25" t="n">
        <x:f>TCO_15[[#This Row],[Valor básico]]*P$55</x:f>
        <x:v>357.14285714285717</x:v>
      </x:c>
      <x:c r="Q62" s="25" t="n">
        <x:f>TCO_15[[#This Row],[Valor básico]]*Q$55</x:f>
        <x:v>357.14285714285717</x:v>
      </x:c>
      <x:c r="R62" s="25" t="n">
        <x:f>TCO_15[[#This Row],[Valor básico]]*R$55</x:f>
        <x:v>357.14285714285717</x:v>
      </x:c>
      <x:c r="S62" s="25" t="n">
        <x:f>TCO_15[[#This Row],[Valor básico]]*S$55</x:f>
        <x:v>357.14285714285717</x:v>
      </x:c>
      <x:c r="T62" s="25" t="n">
        <x:f>TCO_15[[#This Row],[Valor básico]]*T$55</x:f>
        <x:v>357.14285714285717</x:v>
      </x:c>
      <x:c r="U62" s="25" t="n">
        <x:f>TCO_15[[#This Row],[Valor básico]]*U$55</x:f>
        <x:v>238.0952380952381</x:v>
      </x:c>
      <x:c r="V62" s="25" t="n">
        <x:f>TCO_15[[#This Row],[Valor básico]]*V$55</x:f>
        <x:v>238.0952380952381</x:v>
      </x:c>
      <x:c r="W62" s="25" t="n">
        <x:f>TCO_15[[#This Row],[Valor básico]]*W$55</x:f>
        <x:v>238.0952380952381</x:v>
      </x:c>
      <x:c r="X62" s="25" t="n">
        <x:f>TCO_15[[#This Row],[Valor básico]]*X$55</x:f>
        <x:v>238.0952380952381</x:v>
      </x:c>
      <x:c r="Y62" s="25" t="n">
        <x:f>TCO_15[[#This Row],[Valor básico]]*Y$55</x:f>
        <x:v>238.0952380952381</x:v>
      </x:c>
      <x:c r="Z62" s="25" t="n">
        <x:f>TCO_15[[#This Row],[Valor básico]]*Z$55</x:f>
        <x:v>238.0952380952381</x:v>
      </x:c>
      <x:c r="AA62" s="25" t="n">
        <x:f>TCO_15[[#This Row],[Valor básico]]*AA$55</x:f>
        <x:v>238.0952380952381</x:v>
      </x:c>
      <x:c r="AB62" s="25" t="n">
        <x:f>TCO_15[[#This Row],[Valor básico]]*AB$55</x:f>
        <x:v>238.0952380952381</x:v>
      </x:c>
      <x:c r="AC62" s="25" t="n">
        <x:f>TCO_15[[#This Row],[Valor básico]]*AC$55</x:f>
        <x:v>238.0952380952381</x:v>
      </x:c>
      <x:c r="AD62" s="25" t="n">
        <x:f>TCO_15[[#This Row],[Valor básico]]*AD$55</x:f>
        <x:v>238.0952380952381</x:v>
      </x:c>
      <x:c r="AE62" s="25" t="n">
        <x:f>TCO_15[[#This Row],[Valor básico]]*AE$55</x:f>
        <x:v>238.0952380952381</x:v>
      </x:c>
      <x:c r="AF62" s="25" t="n">
        <x:f>TCO_15[[#This Row],[Valor básico]]*AF$55</x:f>
        <x:v>238.0952380952381</x:v>
      </x:c>
      <x:c r="AG62" s="25" t="n">
        <x:f>TCO_15[[#This Row],[Valor básico]]*AG$55</x:f>
        <x:v>238.0952380952381</x:v>
      </x:c>
      <x:c r="AH62" s="25" t="n">
        <x:f>TCO_15[[#This Row],[Valor básico]]*AH$55</x:f>
        <x:v>238.0952380952381</x:v>
      </x:c>
      <x:c r="AI62" s="25" t="n">
        <x:f>TCO_15[[#This Row],[Valor básico]]*AI$55</x:f>
        <x:v>238.0952380952381</x:v>
      </x:c>
      <x:c r="AJ62" s="25" t="n">
        <x:f>TCO_15[[#This Row],[Valor básico]]*AJ$55</x:f>
        <x:v>238.0952380952381</x:v>
      </x:c>
      <x:c r="AK62" s="25" t="n">
        <x:f>TCO_15[[#This Row],[Valor básico]]*AK$55</x:f>
        <x:v>238.0952380952381</x:v>
      </x:c>
      <x:c r="AL62" s="25" t="n">
        <x:f>TCO_15[[#This Row],[Valor básico]]*AL$55</x:f>
        <x:v>238.0952380952381</x:v>
      </x:c>
      <x:c r="AM62" s="25" t="n">
        <x:f>TCO_15[[#This Row],[Valor básico]]*AM$55</x:f>
        <x:v>238.0952380952381</x:v>
      </x:c>
      <x:c r="AN62" s="25" t="n">
        <x:f>TCO_15[[#This Row],[Valor básico]]*AN$55</x:f>
        <x:v>238.0952380952381</x:v>
      </x:c>
      <x:c r="AO62" s="25" t="n">
        <x:f>TCO_15[[#This Row],[Valor básico]]*AO$55</x:f>
        <x:v>238.0952380952381</x:v>
      </x:c>
      <x:c r="AP62" s="25" t="n">
        <x:f>TCO_15[[#This Row],[Valor básico]]*AP$55</x:f>
        <x:v>238.0952380952381</x:v>
      </x:c>
      <x:c r="AQ62" s="25" t="e">
        <x:f>SUM(TCO_15[[#This Row],[mes 01]:[mes 36]])</x:f>
        <x:v>#REF!</x:v>
      </x:c>
      <x:c r="AR62" s="25" t="s">
        <x:v>1592</x:v>
      </x:c>
    </x:row>
    <x:row r="63">
      <x:c r="D63" s="110"/>
      <x:c r="E63" s="25"/>
      <x:c r="G63" s="25"/>
      <x:c r="H63" s="25"/>
      <x:c r="I63" s="25"/>
      <x:c r="J63" s="25"/>
      <x:c r="K63" s="25"/>
      <x:c r="L63" s="25"/>
      <x:c r="M63" s="25"/>
      <x:c r="N63" s="25"/>
      <x:c r="O63" s="25"/>
      <x:c r="P63" s="25"/>
      <x:c r="Q63" s="25"/>
      <x:c r="R63" s="25"/>
      <x:c r="S63" s="25"/>
      <x:c r="T63" s="25"/>
      <x:c r="U63" s="25"/>
      <x:c r="V63" s="25"/>
      <x:c r="W63" s="25"/>
      <x:c r="X63" s="25"/>
      <x:c r="Y63" s="25"/>
      <x:c r="Z63" s="25"/>
      <x:c r="AA63" s="25"/>
      <x:c r="AB63" s="25"/>
      <x:c r="AC63" s="25"/>
      <x:c r="AD63" s="25"/>
      <x:c r="AE63" s="25"/>
      <x:c r="AF63" s="25"/>
      <x:c r="AG63" s="25"/>
      <x:c r="AH63" s="25"/>
      <x:c r="AI63" s="25"/>
      <x:c r="AJ63" s="25"/>
      <x:c r="AK63" s="25"/>
      <x:c r="AL63" s="25"/>
      <x:c r="AM63" s="25"/>
      <x:c r="AN63" s="25"/>
      <x:c r="AO63" s="25"/>
      <x:c r="AP63" s="25"/>
      <x:c r="AQ63" s="25" t="e">
        <x:f>SUM(TCO_15[[#This Row],[mes 01]:[mes 36]])</x:f>
        <x:v>#REF!</x:v>
      </x:c>
      <x:c r="AR63" s="25"/>
    </x:row>
    <x:row r="64">
      <x:c r="A64" s="24" t="s">
        <x:v>1599</x:v>
      </x:c>
      <x:c r="D64" s="110"/>
      <x:c r="E64" s="25"/>
      <x:c r="G64" s="25"/>
      <x:c r="H64" s="25"/>
      <x:c r="I64" s="25"/>
      <x:c r="J64" s="25"/>
      <x:c r="K64" s="25"/>
      <x:c r="L64" s="25"/>
      <x:c r="M64" s="25"/>
      <x:c r="N64" s="25"/>
      <x:c r="O64" s="25"/>
      <x:c r="P64" s="25"/>
      <x:c r="Q64" s="25"/>
      <x:c r="R64" s="25"/>
      <x:c r="S64" s="25"/>
      <x:c r="T64" s="25"/>
      <x:c r="U64" s="25"/>
      <x:c r="V64" s="25"/>
      <x:c r="W64" s="25"/>
      <x:c r="X64" s="25"/>
      <x:c r="Y64" s="25"/>
      <x:c r="Z64" s="25"/>
      <x:c r="AA64" s="25"/>
      <x:c r="AB64" s="25"/>
      <x:c r="AC64" s="25"/>
      <x:c r="AD64" s="25"/>
      <x:c r="AE64" s="25"/>
      <x:c r="AF64" s="25"/>
      <x:c r="AG64" s="25"/>
      <x:c r="AH64" s="25"/>
      <x:c r="AI64" s="25"/>
      <x:c r="AJ64" s="25"/>
      <x:c r="AK64" s="25"/>
      <x:c r="AL64" s="25"/>
      <x:c r="AM64" s="25"/>
      <x:c r="AN64" s="25"/>
      <x:c r="AO64" s="25"/>
      <x:c r="AP64" s="25"/>
      <x:c r="AQ64" s="25" t="e">
        <x:f>SUM(TCO_15[[#This Row],[mes 01]:[mes 36]])</x:f>
        <x:v>#REF!</x:v>
      </x:c>
      <x:c r="AR64" s="25"/>
    </x:row>
    <x:row r="65">
      <x:c r="A65" t="s">
        <x:v>1600</x:v>
      </x:c>
      <x:c r="D65" s="110"/>
      <x:c r="E65" s="107">
        <x:v>0.2</x:v>
      </x:c>
      <x:c r="F65" t="s">
        <x:v>1596</x:v>
      </x:c>
      <x:c r="G65" s="25" t="n">
        <x:f>TCO_15[[#This Row],[Valor básico]]*G$55</x:f>
        <x:v>285.7142857142857</x:v>
      </x:c>
      <x:c r="H65" s="25" t="n">
        <x:f>TCO_15[[#This Row],[Valor básico]]*H$55</x:f>
        <x:v>285.7142857142857</x:v>
      </x:c>
      <x:c r="I65" s="25" t="n">
        <x:f>TCO_15[[#This Row],[Valor básico]]*I$55</x:f>
        <x:v>285.7142857142857</x:v>
      </x:c>
      <x:c r="J65" s="25" t="n">
        <x:f>TCO_15[[#This Row],[Valor básico]]*J$55</x:f>
        <x:v>285.7142857142857</x:v>
      </x:c>
      <x:c r="K65" s="25" t="n">
        <x:f>TCO_15[[#This Row],[Valor básico]]*K$55</x:f>
        <x:v>285.7142857142857</x:v>
      </x:c>
      <x:c r="L65" s="25" t="n">
        <x:f>TCO_15[[#This Row],[Valor básico]]*L$55</x:f>
        <x:v>285.7142857142857</x:v>
      </x:c>
      <x:c r="M65" s="25" t="n">
        <x:f>TCO_15[[#This Row],[Valor básico]]*M$55</x:f>
        <x:v>285.7142857142857</x:v>
      </x:c>
      <x:c r="N65" s="25" t="n">
        <x:f>TCO_15[[#This Row],[Valor básico]]*N$55</x:f>
        <x:v>285.7142857142857</x:v>
      </x:c>
      <x:c r="O65" s="25" t="n">
        <x:f>TCO_15[[#This Row],[Valor básico]]*O$55</x:f>
        <x:v>285.7142857142857</x:v>
      </x:c>
      <x:c r="P65" s="25" t="n">
        <x:f>TCO_15[[#This Row],[Valor básico]]*P$55</x:f>
        <x:v>285.7142857142857</x:v>
      </x:c>
      <x:c r="Q65" s="25" t="n">
        <x:f>TCO_15[[#This Row],[Valor básico]]*Q$55</x:f>
        <x:v>285.7142857142857</x:v>
      </x:c>
      <x:c r="R65" s="25" t="n">
        <x:f>TCO_15[[#This Row],[Valor básico]]*R$55</x:f>
        <x:v>285.7142857142857</x:v>
      </x:c>
      <x:c r="S65" s="25" t="n">
        <x:f>TCO_15[[#This Row],[Valor básico]]*S$55</x:f>
        <x:v>285.7142857142857</x:v>
      </x:c>
      <x:c r="T65" s="25" t="n">
        <x:f>TCO_15[[#This Row],[Valor básico]]*T$55</x:f>
        <x:v>285.7142857142857</x:v>
      </x:c>
      <x:c r="U65" s="25" t="n">
        <x:f>TCO_15[[#This Row],[Valor básico]]*U$55</x:f>
        <x:v>190.47619047619048</x:v>
      </x:c>
      <x:c r="V65" s="25" t="n">
        <x:f>TCO_15[[#This Row],[Valor básico]]*V$55</x:f>
        <x:v>190.47619047619048</x:v>
      </x:c>
      <x:c r="W65" s="25" t="n">
        <x:f>TCO_15[[#This Row],[Valor básico]]*W$55</x:f>
        <x:v>190.47619047619048</x:v>
      </x:c>
      <x:c r="X65" s="25" t="n">
        <x:f>TCO_15[[#This Row],[Valor básico]]*X$55</x:f>
        <x:v>190.47619047619048</x:v>
      </x:c>
      <x:c r="Y65" s="25" t="n">
        <x:f>TCO_15[[#This Row],[Valor básico]]*Y$55</x:f>
        <x:v>190.47619047619048</x:v>
      </x:c>
      <x:c r="Z65" s="25" t="n">
        <x:f>TCO_15[[#This Row],[Valor básico]]*Z$55</x:f>
        <x:v>190.47619047619048</x:v>
      </x:c>
      <x:c r="AA65" s="25" t="n">
        <x:f>TCO_15[[#This Row],[Valor básico]]*AA$55</x:f>
        <x:v>190.47619047619048</x:v>
      </x:c>
      <x:c r="AB65" s="25" t="n">
        <x:f>TCO_15[[#This Row],[Valor básico]]*AB$55</x:f>
        <x:v>190.47619047619048</x:v>
      </x:c>
      <x:c r="AC65" s="25" t="n">
        <x:f>TCO_15[[#This Row],[Valor básico]]*AC$55</x:f>
        <x:v>190.47619047619048</x:v>
      </x:c>
      <x:c r="AD65" s="25" t="n">
        <x:f>TCO_15[[#This Row],[Valor básico]]*AD$55</x:f>
        <x:v>190.47619047619048</x:v>
      </x:c>
      <x:c r="AE65" s="25" t="n">
        <x:f>TCO_15[[#This Row],[Valor básico]]*AE$55</x:f>
        <x:v>190.47619047619048</x:v>
      </x:c>
      <x:c r="AF65" s="25" t="n">
        <x:f>TCO_15[[#This Row],[Valor básico]]*AF$55</x:f>
        <x:v>190.47619047619048</x:v>
      </x:c>
      <x:c r="AG65" s="25" t="n">
        <x:f>TCO_15[[#This Row],[Valor básico]]*AG$55</x:f>
        <x:v>190.47619047619048</x:v>
      </x:c>
      <x:c r="AH65" s="25" t="n">
        <x:f>TCO_15[[#This Row],[Valor básico]]*AH$55</x:f>
        <x:v>190.47619047619048</x:v>
      </x:c>
      <x:c r="AI65" s="25" t="n">
        <x:f>TCO_15[[#This Row],[Valor básico]]*AI$55</x:f>
        <x:v>190.47619047619048</x:v>
      </x:c>
      <x:c r="AJ65" s="25" t="n">
        <x:f>TCO_15[[#This Row],[Valor básico]]*AJ$55</x:f>
        <x:v>190.47619047619048</x:v>
      </x:c>
      <x:c r="AK65" s="25" t="n">
        <x:f>TCO_15[[#This Row],[Valor básico]]*AK$55</x:f>
        <x:v>190.47619047619048</x:v>
      </x:c>
      <x:c r="AL65" s="25" t="n">
        <x:f>TCO_15[[#This Row],[Valor básico]]*AL$55</x:f>
        <x:v>190.47619047619048</x:v>
      </x:c>
      <x:c r="AM65" s="25" t="n">
        <x:f>TCO_15[[#This Row],[Valor básico]]*AM$55</x:f>
        <x:v>190.47619047619048</x:v>
      </x:c>
      <x:c r="AN65" s="25" t="n">
        <x:f>TCO_15[[#This Row],[Valor básico]]*AN$55</x:f>
        <x:v>190.47619047619048</x:v>
      </x:c>
      <x:c r="AO65" s="25" t="n">
        <x:f>TCO_15[[#This Row],[Valor básico]]*AO$55</x:f>
        <x:v>190.47619047619048</x:v>
      </x:c>
      <x:c r="AP65" s="25" t="n">
        <x:f>TCO_15[[#This Row],[Valor básico]]*AP$55</x:f>
        <x:v>190.47619047619048</x:v>
      </x:c>
      <x:c r="AQ65" s="25" t="e">
        <x:f>SUM(TCO_15[[#This Row],[mes 01]:[mes 36]])</x:f>
        <x:v>#REF!</x:v>
      </x:c>
      <x:c r="AR65" s="25" t="s">
        <x:v>1592</x:v>
      </x:c>
    </x:row>
    <x:row r="66">
      <x:c r="D66" s="110"/>
      <x:c r="E66" s="25"/>
      <x:c r="G66" s="25"/>
      <x:c r="H66" s="25"/>
      <x:c r="I66" s="25"/>
      <x:c r="J66" s="25"/>
      <x:c r="K66" s="25"/>
      <x:c r="L66" s="25"/>
      <x:c r="M66" s="25"/>
      <x:c r="N66" s="25"/>
      <x:c r="O66" s="25"/>
      <x:c r="P66" s="25"/>
      <x:c r="Q66" s="25"/>
      <x:c r="R66" s="25"/>
      <x:c r="S66" s="25"/>
      <x:c r="T66" s="25"/>
      <x:c r="U66" s="25"/>
      <x:c r="V66" s="25"/>
      <x:c r="W66" s="25"/>
      <x:c r="X66" s="25"/>
      <x:c r="Y66" s="25"/>
      <x:c r="Z66" s="25"/>
      <x:c r="AA66" s="25"/>
      <x:c r="AB66" s="25"/>
      <x:c r="AC66" s="25"/>
      <x:c r="AD66" s="25"/>
      <x:c r="AE66" s="25"/>
      <x:c r="AF66" s="25"/>
      <x:c r="AG66" s="25"/>
      <x:c r="AH66" s="25"/>
      <x:c r="AI66" s="25"/>
      <x:c r="AJ66" s="25"/>
      <x:c r="AK66" s="25"/>
      <x:c r="AL66" s="25"/>
      <x:c r="AM66" s="25"/>
      <x:c r="AN66" s="25"/>
      <x:c r="AO66" s="25"/>
      <x:c r="AP66" s="25"/>
      <x:c r="AQ66" s="25" t="e">
        <x:f>SUM(TCO_15[[#This Row],[mes 01]:[mes 36]])</x:f>
        <x:v>#REF!</x:v>
      </x:c>
      <x:c r="AR66" s="25"/>
    </x:row>
    <x:row r="67">
      <x:c r="A67" s="24" t="s">
        <x:v>1601</x:v>
      </x:c>
      <x:c r="D67" s="110"/>
      <x:c r="E67" s="25"/>
      <x:c r="G67" s="25"/>
      <x:c r="H67" s="25"/>
      <x:c r="I67" s="25"/>
      <x:c r="J67" s="25"/>
      <x:c r="K67" s="25"/>
      <x:c r="L67" s="25"/>
      <x:c r="M67" s="25"/>
      <x:c r="N67" s="25"/>
      <x:c r="O67" s="25"/>
      <x:c r="P67" s="25"/>
      <x:c r="Q67" s="25"/>
      <x:c r="R67" s="25"/>
      <x:c r="S67" s="25"/>
      <x:c r="T67" s="25"/>
      <x:c r="U67" s="25"/>
      <x:c r="V67" s="25"/>
      <x:c r="W67" s="25"/>
      <x:c r="X67" s="25"/>
      <x:c r="Y67" s="25"/>
      <x:c r="Z67" s="25"/>
      <x:c r="AA67" s="25"/>
      <x:c r="AB67" s="25"/>
      <x:c r="AC67" s="25"/>
      <x:c r="AD67" s="25"/>
      <x:c r="AE67" s="25"/>
      <x:c r="AF67" s="25"/>
      <x:c r="AG67" s="25"/>
      <x:c r="AH67" s="25"/>
      <x:c r="AI67" s="25"/>
      <x:c r="AJ67" s="25"/>
      <x:c r="AK67" s="25"/>
      <x:c r="AL67" s="25"/>
      <x:c r="AM67" s="25"/>
      <x:c r="AN67" s="25"/>
      <x:c r="AO67" s="25"/>
      <x:c r="AP67" s="25"/>
      <x:c r="AQ67" s="25" t="e">
        <x:f>SUM(TCO_15[[#This Row],[mes 01]:[mes 36]])</x:f>
        <x:v>#REF!</x:v>
      </x:c>
      <x:c r="AR67" s="25"/>
    </x:row>
    <x:row r="68">
      <x:c r="A68" t="s">
        <x:v>1602</x:v>
      </x:c>
      <x:c r="D68" s="110"/>
      <x:c r="E68" s="107">
        <x:v>0.1</x:v>
      </x:c>
      <x:c r="F68" t="s">
        <x:v>1596</x:v>
      </x:c>
      <x:c r="G68" s="25" t="n">
        <x:f>TCO_15[[#This Row],[Valor básico]]*G$55</x:f>
        <x:v>142.85714285714286</x:v>
      </x:c>
      <x:c r="H68" s="25" t="n">
        <x:f>TCO_15[[#This Row],[Valor básico]]*H$55</x:f>
        <x:v>142.85714285714286</x:v>
      </x:c>
      <x:c r="I68" s="25" t="n">
        <x:f>TCO_15[[#This Row],[Valor básico]]*I$55</x:f>
        <x:v>142.85714285714286</x:v>
      </x:c>
      <x:c r="J68" s="25" t="n">
        <x:f>TCO_15[[#This Row],[Valor básico]]*J$55</x:f>
        <x:v>142.85714285714286</x:v>
      </x:c>
      <x:c r="K68" s="25" t="n">
        <x:f>TCO_15[[#This Row],[Valor básico]]*K$55</x:f>
        <x:v>142.85714285714286</x:v>
      </x:c>
      <x:c r="L68" s="25" t="n">
        <x:f>TCO_15[[#This Row],[Valor básico]]*L$55</x:f>
        <x:v>142.85714285714286</x:v>
      </x:c>
      <x:c r="M68" s="25" t="n">
        <x:f>TCO_15[[#This Row],[Valor básico]]*M$55</x:f>
        <x:v>142.85714285714286</x:v>
      </x:c>
      <x:c r="N68" s="25" t="n">
        <x:f>TCO_15[[#This Row],[Valor básico]]*N$55</x:f>
        <x:v>142.85714285714286</x:v>
      </x:c>
      <x:c r="O68" s="25" t="n">
        <x:f>TCO_15[[#This Row],[Valor básico]]*O$55</x:f>
        <x:v>142.85714285714286</x:v>
      </x:c>
      <x:c r="P68" s="25" t="n">
        <x:f>TCO_15[[#This Row],[Valor básico]]*P$55</x:f>
        <x:v>142.85714285714286</x:v>
      </x:c>
      <x:c r="Q68" s="25" t="n">
        <x:f>TCO_15[[#This Row],[Valor básico]]*Q$55</x:f>
        <x:v>142.85714285714286</x:v>
      </x:c>
      <x:c r="R68" s="25" t="n">
        <x:f>TCO_15[[#This Row],[Valor básico]]*R$55</x:f>
        <x:v>142.85714285714286</x:v>
      </x:c>
      <x:c r="S68" s="25" t="n">
        <x:f>TCO_15[[#This Row],[Valor básico]]*S$55</x:f>
        <x:v>142.85714285714286</x:v>
      </x:c>
      <x:c r="T68" s="25" t="n">
        <x:f>TCO_15[[#This Row],[Valor básico]]*T$55</x:f>
        <x:v>142.85714285714286</x:v>
      </x:c>
      <x:c r="U68" s="25" t="n">
        <x:f>TCO_15[[#This Row],[Valor básico]]*U$55</x:f>
        <x:v>95.23809523809524</x:v>
      </x:c>
      <x:c r="V68" s="25" t="n">
        <x:f>TCO_15[[#This Row],[Valor básico]]*V$55</x:f>
        <x:v>95.23809523809524</x:v>
      </x:c>
      <x:c r="W68" s="25" t="n">
        <x:f>TCO_15[[#This Row],[Valor básico]]*W$55</x:f>
        <x:v>95.23809523809524</x:v>
      </x:c>
      <x:c r="X68" s="25" t="n">
        <x:f>TCO_15[[#This Row],[Valor básico]]*X$55</x:f>
        <x:v>95.23809523809524</x:v>
      </x:c>
      <x:c r="Y68" s="25" t="n">
        <x:f>TCO_15[[#This Row],[Valor básico]]*Y$55</x:f>
        <x:v>95.23809523809524</x:v>
      </x:c>
      <x:c r="Z68" s="25" t="n">
        <x:f>TCO_15[[#This Row],[Valor básico]]*Z$55</x:f>
        <x:v>95.23809523809524</x:v>
      </x:c>
      <x:c r="AA68" s="25" t="n">
        <x:f>TCO_15[[#This Row],[Valor básico]]*AA$55</x:f>
        <x:v>95.23809523809524</x:v>
      </x:c>
      <x:c r="AB68" s="25" t="n">
        <x:f>TCO_15[[#This Row],[Valor básico]]*AB$55</x:f>
        <x:v>95.23809523809524</x:v>
      </x:c>
      <x:c r="AC68" s="25" t="n">
        <x:f>TCO_15[[#This Row],[Valor básico]]*AC$55</x:f>
        <x:v>95.23809523809524</x:v>
      </x:c>
      <x:c r="AD68" s="25" t="n">
        <x:f>TCO_15[[#This Row],[Valor básico]]*AD$55</x:f>
        <x:v>95.23809523809524</x:v>
      </x:c>
      <x:c r="AE68" s="25" t="n">
        <x:f>TCO_15[[#This Row],[Valor básico]]*AE$55</x:f>
        <x:v>95.23809523809524</x:v>
      </x:c>
      <x:c r="AF68" s="25" t="n">
        <x:f>TCO_15[[#This Row],[Valor básico]]*AF$55</x:f>
        <x:v>95.23809523809524</x:v>
      </x:c>
      <x:c r="AG68" s="25" t="n">
        <x:f>TCO_15[[#This Row],[Valor básico]]*AG$55</x:f>
        <x:v>95.23809523809524</x:v>
      </x:c>
      <x:c r="AH68" s="25" t="n">
        <x:f>TCO_15[[#This Row],[Valor básico]]*AH$55</x:f>
        <x:v>95.23809523809524</x:v>
      </x:c>
      <x:c r="AI68" s="25" t="n">
        <x:f>TCO_15[[#This Row],[Valor básico]]*AI$55</x:f>
        <x:v>95.23809523809524</x:v>
      </x:c>
      <x:c r="AJ68" s="25" t="n">
        <x:f>TCO_15[[#This Row],[Valor básico]]*AJ$55</x:f>
        <x:v>95.23809523809524</x:v>
      </x:c>
      <x:c r="AK68" s="25" t="n">
        <x:f>TCO_15[[#This Row],[Valor básico]]*AK$55</x:f>
        <x:v>95.23809523809524</x:v>
      </x:c>
      <x:c r="AL68" s="25" t="n">
        <x:f>TCO_15[[#This Row],[Valor básico]]*AL$55</x:f>
        <x:v>95.23809523809524</x:v>
      </x:c>
      <x:c r="AM68" s="25" t="n">
        <x:f>TCO_15[[#This Row],[Valor básico]]*AM$55</x:f>
        <x:v>95.23809523809524</x:v>
      </x:c>
      <x:c r="AN68" s="25" t="n">
        <x:f>TCO_15[[#This Row],[Valor básico]]*AN$55</x:f>
        <x:v>95.23809523809524</x:v>
      </x:c>
      <x:c r="AO68" s="25" t="n">
        <x:f>TCO_15[[#This Row],[Valor básico]]*AO$55</x:f>
        <x:v>95.23809523809524</x:v>
      </x:c>
      <x:c r="AP68" s="25" t="n">
        <x:f>TCO_15[[#This Row],[Valor básico]]*AP$55</x:f>
        <x:v>95.23809523809524</x:v>
      </x:c>
      <x:c r="AQ68" s="25" t="e">
        <x:f>SUM(TCO_15[[#This Row],[mes 01]:[mes 36]])</x:f>
        <x:v>#REF!</x:v>
      </x:c>
      <x:c r="AR68" s="25" t="s">
        <x:v>1592</x:v>
      </x:c>
    </x:row>
    <x:row r="69">
      <x:c r="D69" s="110"/>
      <x:c r="E69" s="25"/>
      <x:c r="G69" s="25"/>
      <x:c r="H69" s="25"/>
      <x:c r="I69" s="25"/>
      <x:c r="J69" s="25"/>
      <x:c r="K69" s="25"/>
      <x:c r="L69" s="25"/>
      <x:c r="M69" s="25"/>
      <x:c r="N69" s="25"/>
      <x:c r="O69" s="25"/>
      <x:c r="P69" s="25"/>
      <x:c r="Q69" s="25"/>
      <x:c r="R69" s="25"/>
      <x:c r="S69" s="25"/>
      <x:c r="T69" s="25"/>
      <x:c r="U69" s="25"/>
      <x:c r="V69" s="25"/>
      <x:c r="W69" s="25"/>
      <x:c r="X69" s="25"/>
      <x:c r="Y69" s="25"/>
      <x:c r="Z69" s="25"/>
      <x:c r="AA69" s="25"/>
      <x:c r="AB69" s="25"/>
      <x:c r="AC69" s="25"/>
      <x:c r="AD69" s="25"/>
      <x:c r="AE69" s="25"/>
      <x:c r="AF69" s="25"/>
      <x:c r="AG69" s="25"/>
      <x:c r="AH69" s="25"/>
      <x:c r="AI69" s="25"/>
      <x:c r="AJ69" s="25"/>
      <x:c r="AK69" s="25"/>
      <x:c r="AL69" s="25"/>
      <x:c r="AM69" s="25"/>
      <x:c r="AN69" s="25"/>
      <x:c r="AO69" s="25"/>
      <x:c r="AP69" s="25"/>
      <x:c r="AQ69" s="25" t="e">
        <x:f>SUM(TCO_15[[#This Row],[mes 01]:[mes 36]])</x:f>
        <x:v>#REF!</x:v>
      </x:c>
      <x:c r="AR69" s="25"/>
    </x:row>
    <x:row r="70">
      <x:c r="A70" s="24" t="s">
        <x:v>1603</x:v>
      </x:c>
      <x:c r="D70" s="110"/>
      <x:c r="E70" s="25"/>
      <x:c r="G70" s="25"/>
      <x:c r="H70" s="25"/>
      <x:c r="I70" s="25"/>
      <x:c r="J70" s="25"/>
      <x:c r="K70" s="25"/>
      <x:c r="L70" s="25"/>
      <x:c r="M70" s="25"/>
      <x:c r="N70" s="25"/>
      <x:c r="O70" s="25"/>
      <x:c r="P70" s="25"/>
      <x:c r="Q70" s="25"/>
      <x:c r="R70" s="25"/>
      <x:c r="S70" s="25"/>
      <x:c r="T70" s="25"/>
      <x:c r="U70" s="25"/>
      <x:c r="V70" s="25"/>
      <x:c r="W70" s="25"/>
      <x:c r="X70" s="25"/>
      <x:c r="Y70" s="25"/>
      <x:c r="Z70" s="25"/>
      <x:c r="AA70" s="25"/>
      <x:c r="AB70" s="25"/>
      <x:c r="AC70" s="25"/>
      <x:c r="AD70" s="25"/>
      <x:c r="AE70" s="25"/>
      <x:c r="AF70" s="25"/>
      <x:c r="AG70" s="25"/>
      <x:c r="AH70" s="25"/>
      <x:c r="AI70" s="25"/>
      <x:c r="AJ70" s="25"/>
      <x:c r="AK70" s="25"/>
      <x:c r="AL70" s="25"/>
      <x:c r="AM70" s="25"/>
      <x:c r="AN70" s="25"/>
      <x:c r="AO70" s="25"/>
      <x:c r="AP70" s="25"/>
      <x:c r="AQ70" s="25" t="e">
        <x:f>SUM(TCO_15[[#This Row],[mes 01]:[mes 36]])</x:f>
        <x:v>#REF!</x:v>
      </x:c>
      <x:c r="AR70" s="25"/>
    </x:row>
    <x:row r="71">
      <x:c r="A71" t="s">
        <x:v>1604</x:v>
      </x:c>
      <x:c r="D71" s="110"/>
      <x:c r="E71" s="107">
        <x:v>0.05</x:v>
      </x:c>
      <x:c r="F71" t="s">
        <x:v>1596</x:v>
      </x:c>
      <x:c r="G71" s="25" t="n">
        <x:f>TCO_15[[#This Row],[Valor básico]]*G$55</x:f>
        <x:v>71.42857142857143</x:v>
      </x:c>
      <x:c r="H71" s="25" t="n">
        <x:f>TCO_15[[#This Row],[Valor básico]]*H$55</x:f>
        <x:v>71.42857142857143</x:v>
      </x:c>
      <x:c r="I71" s="25" t="n">
        <x:f>TCO_15[[#This Row],[Valor básico]]*I$55</x:f>
        <x:v>71.42857142857143</x:v>
      </x:c>
      <x:c r="J71" s="25" t="n">
        <x:f>TCO_15[[#This Row],[Valor básico]]*J$55</x:f>
        <x:v>71.42857142857143</x:v>
      </x:c>
      <x:c r="K71" s="25" t="n">
        <x:f>TCO_15[[#This Row],[Valor básico]]*K$55</x:f>
        <x:v>71.42857142857143</x:v>
      </x:c>
      <x:c r="L71" s="25" t="n">
        <x:f>TCO_15[[#This Row],[Valor básico]]*L$55</x:f>
        <x:v>71.42857142857143</x:v>
      </x:c>
      <x:c r="M71" s="25" t="n">
        <x:f>TCO_15[[#This Row],[Valor básico]]*M$55</x:f>
        <x:v>71.42857142857143</x:v>
      </x:c>
      <x:c r="N71" s="25" t="n">
        <x:f>TCO_15[[#This Row],[Valor básico]]*N$55</x:f>
        <x:v>71.42857142857143</x:v>
      </x:c>
      <x:c r="O71" s="25" t="n">
        <x:f>TCO_15[[#This Row],[Valor básico]]*O$55</x:f>
        <x:v>71.42857142857143</x:v>
      </x:c>
      <x:c r="P71" s="25" t="n">
        <x:f>TCO_15[[#This Row],[Valor básico]]*P$55</x:f>
        <x:v>71.42857142857143</x:v>
      </x:c>
      <x:c r="Q71" s="25" t="n">
        <x:f>TCO_15[[#This Row],[Valor básico]]*Q$55</x:f>
        <x:v>71.42857142857143</x:v>
      </x:c>
      <x:c r="R71" s="25" t="n">
        <x:f>TCO_15[[#This Row],[Valor básico]]*R$55</x:f>
        <x:v>71.42857142857143</x:v>
      </x:c>
      <x:c r="S71" s="25" t="n">
        <x:f>TCO_15[[#This Row],[Valor básico]]*S$55</x:f>
        <x:v>71.42857142857143</x:v>
      </x:c>
      <x:c r="T71" s="25" t="n">
        <x:f>TCO_15[[#This Row],[Valor básico]]*T$55</x:f>
        <x:v>71.42857142857143</x:v>
      </x:c>
      <x:c r="U71" s="25" t="n">
        <x:f>TCO_15[[#This Row],[Valor básico]]*U$55</x:f>
        <x:v>47.61904761904762</x:v>
      </x:c>
      <x:c r="V71" s="25" t="n">
        <x:f>TCO_15[[#This Row],[Valor básico]]*V$55</x:f>
        <x:v>47.61904761904762</x:v>
      </x:c>
      <x:c r="W71" s="25" t="n">
        <x:f>TCO_15[[#This Row],[Valor básico]]*W$55</x:f>
        <x:v>47.61904761904762</x:v>
      </x:c>
      <x:c r="X71" s="25" t="n">
        <x:f>TCO_15[[#This Row],[Valor básico]]*X$55</x:f>
        <x:v>47.61904761904762</x:v>
      </x:c>
      <x:c r="Y71" s="25" t="n">
        <x:f>TCO_15[[#This Row],[Valor básico]]*Y$55</x:f>
        <x:v>47.61904761904762</x:v>
      </x:c>
      <x:c r="Z71" s="25" t="n">
        <x:f>TCO_15[[#This Row],[Valor básico]]*Z$55</x:f>
        <x:v>47.61904761904762</x:v>
      </x:c>
      <x:c r="AA71" s="25" t="n">
        <x:f>TCO_15[[#This Row],[Valor básico]]*AA$55</x:f>
        <x:v>47.61904761904762</x:v>
      </x:c>
      <x:c r="AB71" s="25" t="n">
        <x:f>TCO_15[[#This Row],[Valor básico]]*AB$55</x:f>
        <x:v>47.61904761904762</x:v>
      </x:c>
      <x:c r="AC71" s="25" t="n">
        <x:f>TCO_15[[#This Row],[Valor básico]]*AC$55</x:f>
        <x:v>47.61904761904762</x:v>
      </x:c>
      <x:c r="AD71" s="25" t="n">
        <x:f>TCO_15[[#This Row],[Valor básico]]*AD$55</x:f>
        <x:v>47.61904761904762</x:v>
      </x:c>
      <x:c r="AE71" s="25" t="n">
        <x:f>TCO_15[[#This Row],[Valor básico]]*AE$55</x:f>
        <x:v>47.61904761904762</x:v>
      </x:c>
      <x:c r="AF71" s="25" t="n">
        <x:f>TCO_15[[#This Row],[Valor básico]]*AF$55</x:f>
        <x:v>47.61904761904762</x:v>
      </x:c>
      <x:c r="AG71" s="25" t="n">
        <x:f>TCO_15[[#This Row],[Valor básico]]*AG$55</x:f>
        <x:v>47.61904761904762</x:v>
      </x:c>
      <x:c r="AH71" s="25" t="n">
        <x:f>TCO_15[[#This Row],[Valor básico]]*AH$55</x:f>
        <x:v>47.61904761904762</x:v>
      </x:c>
      <x:c r="AI71" s="25" t="n">
        <x:f>TCO_15[[#This Row],[Valor básico]]*AI$55</x:f>
        <x:v>47.61904761904762</x:v>
      </x:c>
      <x:c r="AJ71" s="25" t="n">
        <x:f>TCO_15[[#This Row],[Valor básico]]*AJ$55</x:f>
        <x:v>47.61904761904762</x:v>
      </x:c>
      <x:c r="AK71" s="25" t="n">
        <x:f>TCO_15[[#This Row],[Valor básico]]*AK$55</x:f>
        <x:v>47.61904761904762</x:v>
      </x:c>
      <x:c r="AL71" s="25" t="n">
        <x:f>TCO_15[[#This Row],[Valor básico]]*AL$55</x:f>
        <x:v>47.61904761904762</x:v>
      </x:c>
      <x:c r="AM71" s="25" t="n">
        <x:f>TCO_15[[#This Row],[Valor básico]]*AM$55</x:f>
        <x:v>47.61904761904762</x:v>
      </x:c>
      <x:c r="AN71" s="25" t="n">
        <x:f>TCO_15[[#This Row],[Valor básico]]*AN$55</x:f>
        <x:v>47.61904761904762</x:v>
      </x:c>
      <x:c r="AO71" s="25" t="n">
        <x:f>TCO_15[[#This Row],[Valor básico]]*AO$55</x:f>
        <x:v>47.61904761904762</x:v>
      </x:c>
      <x:c r="AP71" s="25" t="n">
        <x:f>TCO_15[[#This Row],[Valor básico]]*AP$55</x:f>
        <x:v>47.61904761904762</x:v>
      </x:c>
      <x:c r="AQ71" s="25" t="e">
        <x:f>SUM(TCO_15[[#This Row],[mes 01]:[mes 36]])</x:f>
        <x:v>#REF!</x:v>
      </x:c>
      <x:c r="AR71" s="25" t="s">
        <x:v>1592</x:v>
      </x:c>
    </x:row>
    <x:row r="72">
      <x:c r="D72" s="103"/>
      <x:c r="E72" s="108"/>
      <x:c r="G72" s="25"/>
      <x:c r="H72" s="25"/>
      <x:c r="I72" s="25"/>
      <x:c r="J72" s="25"/>
      <x:c r="K72" s="25"/>
      <x:c r="L72" s="25"/>
      <x:c r="M72" s="25"/>
      <x:c r="N72" s="25"/>
      <x:c r="O72" s="25"/>
      <x:c r="P72" s="25"/>
      <x:c r="Q72" s="25"/>
      <x:c r="R72" s="25"/>
      <x:c r="S72" s="25"/>
      <x:c r="T72" s="25"/>
      <x:c r="U72" s="25"/>
      <x:c r="V72" s="25"/>
      <x:c r="W72" s="25"/>
      <x:c r="X72" s="25"/>
      <x:c r="Y72" s="25"/>
      <x:c r="Z72" s="25"/>
      <x:c r="AA72" s="25"/>
      <x:c r="AB72" s="25"/>
      <x:c r="AC72" s="25"/>
      <x:c r="AD72" s="25"/>
      <x:c r="AE72" s="25"/>
      <x:c r="AF72" s="25"/>
      <x:c r="AG72" s="25"/>
      <x:c r="AH72" s="25"/>
      <x:c r="AI72" s="25"/>
      <x:c r="AJ72" s="25"/>
      <x:c r="AK72" s="25"/>
      <x:c r="AL72" s="25"/>
      <x:c r="AM72" s="25"/>
      <x:c r="AN72" s="25"/>
      <x:c r="AO72" s="25"/>
      <x:c r="AP72" s="25"/>
      <x:c r="AQ72" s="25" t="e">
        <x:f>SUM(TCO_15[[#This Row],[mes 01]:[mes 36]])</x:f>
        <x:v>#REF!</x:v>
      </x:c>
      <x:c r="AR72" s="25"/>
    </x:row>
    <x:row r="73">
      <x:c r="A73" t="s">
        <x:v>1605</x:v>
      </x:c>
      <x:c r="D73" s="103"/>
      <x:c r="E73" s="108"/>
      <x:c r="G73" s="25"/>
      <x:c r="H73" s="25"/>
      <x:c r="I73" s="25"/>
      <x:c r="J73" s="25"/>
      <x:c r="K73" s="25"/>
      <x:c r="L73" s="25"/>
      <x:c r="M73" s="25"/>
      <x:c r="N73" s="25" t="n">
        <x:f>ROUNDDOWN(N35/2,0)*$E40+ROUNDDOWN(SUM(N36:N38)/5,0)*$E39</x:f>
        <x:v>110.47</x:v>
      </x:c>
      <x:c r="O73" s="25" t="n">
        <x:f t="shared" ref="O73:AP73" si="13">ROUNDDOWN(O35/2,0)*$E40+ROUNDDOWN(SUM(O36:O38)/5,0)*$E39</x:f>
        <x:v>140.85</x:v>
      </x:c>
      <x:c r="P73" s="25">
        <x:f t="shared" si="13"/>
        <x:v>140.85</x:v>
      </x:c>
      <x:c r="Q73" s="25">
        <x:f t="shared" si="13"/>
        <x:v>140.85</x:v>
      </x:c>
      <x:c r="R73" s="25">
        <x:f t="shared" si="13"/>
        <x:v>157.42000000000002</x:v>
      </x:c>
      <x:c r="S73" s="25">
        <x:f t="shared" si="13"/>
        <x:v>173.99</x:v>
      </x:c>
      <x:c r="T73" s="25">
        <x:f t="shared" si="13"/>
        <x:v>190.56</x:v>
      </x:c>
      <x:c r="U73" s="25">
        <x:f t="shared" si="13"/>
        <x:v>220.94</x:v>
      </x:c>
      <x:c r="V73" s="25">
        <x:f t="shared" si="13"/>
        <x:v>281.7</x:v>
      </x:c>
      <x:c r="W73" s="25">
        <x:f t="shared" si="13"/>
        <x:v>281.7</x:v>
      </x:c>
      <x:c r="X73" s="25">
        <x:f t="shared" si="13"/>
        <x:v>298.27</x:v>
      </x:c>
      <x:c r="Y73" s="25">
        <x:f t="shared" si="13"/>
        <x:v>331.40999999999997</x:v>
      </x:c>
      <x:c r="Z73" s="25">
        <x:f t="shared" si="13"/>
        <x:v>364.55</x:v>
      </x:c>
      <x:c r="AA73" s="25">
        <x:f t="shared" si="13"/>
        <x:v>381.12</x:v>
      </x:c>
      <x:c r="AB73" s="25">
        <x:f t="shared" si="13"/>
        <x:v>441.88</x:v>
      </x:c>
      <x:c r="AC73" s="25">
        <x:f t="shared" si="13"/>
        <x:v>563.4</x:v>
      </x:c>
      <x:c r="AD73" s="25">
        <x:f t="shared" si="13"/>
        <x:v>563.4</x:v>
      </x:c>
      <x:c r="AE73" s="25">
        <x:f t="shared" si="13"/>
        <x:v>613.11</x:v>
      </x:c>
      <x:c r="AF73" s="25">
        <x:f t="shared" si="13"/>
        <x:v>679.39</x:v>
      </x:c>
      <x:c r="AG73" s="25">
        <x:f t="shared" si="13"/>
        <x:v>729.1</x:v>
      </x:c>
      <x:c r="AH73" s="25">
        <x:f t="shared" si="13"/>
        <x:v>762.24</x:v>
      </x:c>
      <x:c r="AI73" s="25">
        <x:f t="shared" si="13"/>
        <x:v>883.76</x:v>
      </x:c>
      <x:c r="AJ73" s="25">
        <x:f t="shared" si="13"/>
        <x:v>1126.8</x:v>
      </x:c>
      <x:c r="AK73" s="25">
        <x:f t="shared" si="13"/>
        <x:v>1143.3699999999999</x:v>
      </x:c>
      <x:c r="AL73" s="25">
        <x:f t="shared" si="13"/>
        <x:v>1226.22</x:v>
      </x:c>
      <x:c r="AM73" s="25">
        <x:f t="shared" si="13"/>
        <x:v>1358.78</x:v>
      </x:c>
      <x:c r="AN73" s="25">
        <x:f t="shared" si="13"/>
        <x:v>1458.2</x:v>
      </x:c>
      <x:c r="AO73" s="25">
        <x:f t="shared" si="13"/>
        <x:v>1524.48</x:v>
      </x:c>
      <x:c r="AP73" s="25">
        <x:f t="shared" si="13"/>
        <x:v>1767.52</x:v>
      </x:c>
      <x:c r="AQ73" s="25" t="e">
        <x:f>SUM(TCO_15[[#This Row],[mes 01]:[mes 36]])</x:f>
        <x:v>#REF!</x:v>
      </x:c>
      <x:c r="AR73" s="25" t="s">
        <x:v>1606</x:v>
      </x:c>
    </x:row>
    <x:row r="74">
      <x:c r="D74" s="103"/>
      <x:c r="E74" s="108"/>
      <x:c r="G74" s="25"/>
      <x:c r="H74" s="25"/>
      <x:c r="I74" s="25"/>
      <x:c r="J74" s="25"/>
      <x:c r="K74" s="25"/>
      <x:c r="L74" s="25"/>
      <x:c r="M74" s="25"/>
      <x:c r="N74" s="25"/>
      <x:c r="O74" s="25"/>
      <x:c r="P74" s="25"/>
      <x:c r="Q74" s="25"/>
      <x:c r="R74" s="25"/>
      <x:c r="S74" s="25"/>
      <x:c r="T74" s="25"/>
      <x:c r="U74" s="25"/>
      <x:c r="V74" s="25"/>
      <x:c r="W74" s="25"/>
      <x:c r="X74" s="25"/>
      <x:c r="Y74" s="25"/>
      <x:c r="Z74" s="25"/>
      <x:c r="AA74" s="25"/>
      <x:c r="AB74" s="25"/>
      <x:c r="AC74" s="25"/>
      <x:c r="AD74" s="25"/>
      <x:c r="AE74" s="25"/>
      <x:c r="AF74" s="25"/>
      <x:c r="AG74" s="25"/>
      <x:c r="AH74" s="25"/>
      <x:c r="AI74" s="25"/>
      <x:c r="AJ74" s="25"/>
      <x:c r="AK74" s="25"/>
      <x:c r="AL74" s="25"/>
      <x:c r="AM74" s="25"/>
      <x:c r="AN74" s="25"/>
      <x:c r="AO74" s="25"/>
      <x:c r="AP74" s="25"/>
      <x:c r="AQ74" s="25" t="e">
        <x:f>SUM(TCO_15[[#This Row],[mes 01]:[mes 36]])</x:f>
        <x:v>#REF!</x:v>
      </x:c>
      <x:c r="AR74" s="25"/>
    </x:row>
    <x:row r="75">
      <x:c r="D75" s="103"/>
      <x:c r="E75" s="108"/>
      <x:c r="G75" s="25"/>
      <x:c r="H75" s="25"/>
      <x:c r="I75" s="25"/>
      <x:c r="J75" s="25"/>
      <x:c r="K75" s="25"/>
      <x:c r="L75" s="25"/>
      <x:c r="M75" s="25"/>
      <x:c r="N75" s="25"/>
      <x:c r="O75" s="25"/>
      <x:c r="P75" s="25"/>
      <x:c r="Q75" s="25"/>
      <x:c r="R75" s="25"/>
      <x:c r="S75" s="25"/>
      <x:c r="T75" s="25"/>
      <x:c r="U75" s="25"/>
      <x:c r="V75" s="25"/>
      <x:c r="W75" s="25"/>
      <x:c r="X75" s="25"/>
      <x:c r="Y75" s="25"/>
      <x:c r="Z75" s="25"/>
      <x:c r="AA75" s="25"/>
      <x:c r="AB75" s="25"/>
      <x:c r="AC75" s="25"/>
      <x:c r="AD75" s="25"/>
      <x:c r="AE75" s="25"/>
      <x:c r="AF75" s="25"/>
      <x:c r="AG75" s="25"/>
      <x:c r="AH75" s="25"/>
      <x:c r="AI75" s="25"/>
      <x:c r="AJ75" s="25"/>
      <x:c r="AK75" s="25"/>
      <x:c r="AL75" s="25"/>
      <x:c r="AM75" s="25"/>
      <x:c r="AN75" s="25"/>
      <x:c r="AO75" s="25"/>
      <x:c r="AP75" s="25"/>
      <x:c r="AQ75" s="25" t="e">
        <x:f>SUM(TCO_15[[#This Row],[mes 01]:[mes 36]])</x:f>
        <x:v>#REF!</x:v>
      </x:c>
      <x:c r="AR75" s="25"/>
    </x:row>
    <x:row r="76">
      <x:c r="A76" t="s">
        <x:v>1607</x:v>
      </x:c>
      <x:c r="D76" s="103"/>
      <x:c r="E76" s="107">
        <x:v>0.1</x:v>
      </x:c>
      <x:c r="F76" t="s">
        <x:v>1608</x:v>
      </x:c>
      <x:c r="G76" s="25" t="n">
        <x:f>TCO_15[[#This Row],[Valor básico]]*SUM(G46:G53)</x:f>
        <x:v>817.3324000000001</x:v>
      </x:c>
      <x:c r="H76" s="25" t="e">
        <x:f>TCO_15[[#This Row],[Valor básico]]*SUM(H46:H53)</x:f>
        <x:v>#VALUE!</x:v>
      </x:c>
      <x:c r="I76" s="25" t="e">
        <x:f>TCO_15[[#This Row],[Valor básico]]*SUM(I46:I53)</x:f>
        <x:v>#VALUE!</x:v>
      </x:c>
      <x:c r="J76" s="25" t="e">
        <x:f>TCO_15[[#This Row],[Valor básico]]*SUM(J46:J53)</x:f>
        <x:v>#VALUE!</x:v>
      </x:c>
      <x:c r="K76" s="25" t="e">
        <x:f>TCO_15[[#This Row],[Valor básico]]*SUM(K46:K53)</x:f>
        <x:v>#VALUE!</x:v>
      </x:c>
      <x:c r="L76" s="25" t="e">
        <x:f>TCO_15[[#This Row],[Valor básico]]*SUM(L46:L53)</x:f>
        <x:v>#VALUE!</x:v>
      </x:c>
      <x:c r="M76" s="25" t="e">
        <x:f>TCO_15[[#This Row],[Valor básico]]*SUM(M46:M53)</x:f>
        <x:v>#VALUE!</x:v>
      </x:c>
      <x:c r="N76" s="25" t="e">
        <x:f>TCO_15[[#This Row],[Valor básico]]*SUM(N46:N53)</x:f>
        <x:v>#VALUE!</x:v>
      </x:c>
      <x:c r="O76" s="25" t="e">
        <x:f>TCO_15[[#This Row],[Valor básico]]*SUM(O46:O53)</x:f>
        <x:v>#VALUE!</x:v>
      </x:c>
      <x:c r="P76" s="25" t="e">
        <x:f>TCO_15[[#This Row],[Valor básico]]*SUM(P46:P53)</x:f>
        <x:v>#VALUE!</x:v>
      </x:c>
      <x:c r="Q76" s="25" t="e">
        <x:f>TCO_15[[#This Row],[Valor básico]]*SUM(Q46:Q53)</x:f>
        <x:v>#VALUE!</x:v>
      </x:c>
      <x:c r="R76" s="25" t="e">
        <x:f>TCO_15[[#This Row],[Valor básico]]*SUM(R46:R53)</x:f>
        <x:v>#VALUE!</x:v>
      </x:c>
      <x:c r="S76" s="25" t="e">
        <x:f>TCO_15[[#This Row],[Valor básico]]*SUM(S46:S53)</x:f>
        <x:v>#VALUE!</x:v>
      </x:c>
      <x:c r="T76" s="25" t="e">
        <x:f>TCO_15[[#This Row],[Valor básico]]*SUM(T46:T53)</x:f>
        <x:v>#VALUE!</x:v>
      </x:c>
      <x:c r="U76" s="25" t="e">
        <x:f>TCO_15[[#This Row],[Valor básico]]*SUM(U46:U53)</x:f>
        <x:v>#VALUE!</x:v>
      </x:c>
      <x:c r="V76" s="25" t="e">
        <x:f>TCO_15[[#This Row],[Valor básico]]*SUM(V46:V53)</x:f>
        <x:v>#VALUE!</x:v>
      </x:c>
      <x:c r="W76" s="25" t="e">
        <x:f>TCO_15[[#This Row],[Valor básico]]*SUM(W46:W53)</x:f>
        <x:v>#VALUE!</x:v>
      </x:c>
      <x:c r="X76" s="25" t="e">
        <x:f>TCO_15[[#This Row],[Valor básico]]*SUM(X46:X53)</x:f>
        <x:v>#VALUE!</x:v>
      </x:c>
      <x:c r="Y76" s="25" t="e">
        <x:f>TCO_15[[#This Row],[Valor básico]]*SUM(Y46:Y53)</x:f>
        <x:v>#VALUE!</x:v>
      </x:c>
      <x:c r="Z76" s="25" t="e">
        <x:f>TCO_15[[#This Row],[Valor básico]]*SUM(Z46:Z53)</x:f>
        <x:v>#VALUE!</x:v>
      </x:c>
      <x:c r="AA76" s="25" t="e">
        <x:f>TCO_15[[#This Row],[Valor básico]]*SUM(AA46:AA53)</x:f>
        <x:v>#VALUE!</x:v>
      </x:c>
      <x:c r="AB76" s="25" t="e">
        <x:f>TCO_15[[#This Row],[Valor básico]]*SUM(AB46:AB53)</x:f>
        <x:v>#VALUE!</x:v>
      </x:c>
      <x:c r="AC76" s="25" t="e">
        <x:f>TCO_15[[#This Row],[Valor básico]]*SUM(AC46:AC53)</x:f>
        <x:v>#VALUE!</x:v>
      </x:c>
      <x:c r="AD76" s="25" t="e">
        <x:f>TCO_15[[#This Row],[Valor básico]]*SUM(AD46:AD53)</x:f>
        <x:v>#VALUE!</x:v>
      </x:c>
      <x:c r="AE76" s="25" t="e">
        <x:f>TCO_15[[#This Row],[Valor básico]]*SUM(AE46:AE53)</x:f>
        <x:v>#VALUE!</x:v>
      </x:c>
      <x:c r="AF76" s="25" t="e">
        <x:f>TCO_15[[#This Row],[Valor básico]]*SUM(AF46:AF53)</x:f>
        <x:v>#VALUE!</x:v>
      </x:c>
      <x:c r="AG76" s="25" t="e">
        <x:f>TCO_15[[#This Row],[Valor básico]]*SUM(AG46:AG53)</x:f>
        <x:v>#VALUE!</x:v>
      </x:c>
      <x:c r="AH76" s="25" t="e">
        <x:f>TCO_15[[#This Row],[Valor básico]]*SUM(AH46:AH53)</x:f>
        <x:v>#VALUE!</x:v>
      </x:c>
      <x:c r="AI76" s="25" t="e">
        <x:f>TCO_15[[#This Row],[Valor básico]]*SUM(AI46:AI53)</x:f>
        <x:v>#VALUE!</x:v>
      </x:c>
      <x:c r="AJ76" s="25" t="e">
        <x:f>TCO_15[[#This Row],[Valor básico]]*SUM(AJ46:AJ53)</x:f>
        <x:v>#VALUE!</x:v>
      </x:c>
      <x:c r="AK76" s="25" t="e">
        <x:f>TCO_15[[#This Row],[Valor básico]]*SUM(AK46:AK53)</x:f>
        <x:v>#VALUE!</x:v>
      </x:c>
      <x:c r="AL76" s="25" t="e">
        <x:f>TCO_15[[#This Row],[Valor básico]]*SUM(AL46:AL53)</x:f>
        <x:v>#VALUE!</x:v>
      </x:c>
      <x:c r="AM76" s="25" t="e">
        <x:f>TCO_15[[#This Row],[Valor básico]]*SUM(AM46:AM53)</x:f>
        <x:v>#VALUE!</x:v>
      </x:c>
      <x:c r="AN76" s="25" t="e">
        <x:f>TCO_15[[#This Row],[Valor básico]]*SUM(AN46:AN53)</x:f>
        <x:v>#VALUE!</x:v>
      </x:c>
      <x:c r="AO76" s="25" t="e">
        <x:f>TCO_15[[#This Row],[Valor básico]]*SUM(AO46:AO53)</x:f>
        <x:v>#VALUE!</x:v>
      </x:c>
      <x:c r="AP76" s="25" t="e">
        <x:f>TCO_15[[#This Row],[Valor básico]]*SUM(AP46:AP53)</x:f>
        <x:v>#VALUE!</x:v>
      </x:c>
      <x:c r="AQ76" s="25" t="e">
        <x:f>SUM(TCO_15[[#This Row],[mes 01]:[mes 36]])</x:f>
        <x:v>#REF!</x:v>
      </x:c>
      <x:c r="AR76" s="25" t="s">
        <x:v>618</x:v>
      </x:c>
    </x:row>
    <x:row r="77">
      <x:c r="D77" s="110"/>
      <x:c r="E77" s="25"/>
      <x:c r="G77" s="25"/>
      <x:c r="H77" s="25"/>
      <x:c r="I77" s="25"/>
      <x:c r="J77" s="25"/>
      <x:c r="K77" s="25"/>
      <x:c r="L77" s="25"/>
      <x:c r="M77" s="25"/>
      <x:c r="N77" s="25"/>
      <x:c r="O77" s="25"/>
      <x:c r="P77" s="25"/>
      <x:c r="Q77" s="25"/>
      <x:c r="R77" s="25"/>
      <x:c r="S77" s="25"/>
      <x:c r="T77" s="25"/>
      <x:c r="U77" s="25"/>
      <x:c r="V77" s="25"/>
      <x:c r="W77" s="25"/>
      <x:c r="X77" s="25"/>
      <x:c r="Y77" s="25"/>
      <x:c r="Z77" s="25"/>
      <x:c r="AA77" s="25"/>
      <x:c r="AB77" s="25"/>
      <x:c r="AC77" s="25"/>
      <x:c r="AD77" s="25"/>
      <x:c r="AE77" s="25"/>
      <x:c r="AF77" s="25"/>
      <x:c r="AG77" s="25"/>
      <x:c r="AH77" s="25"/>
      <x:c r="AI77" s="25"/>
      <x:c r="AJ77" s="25"/>
      <x:c r="AK77" s="25"/>
      <x:c r="AL77" s="25"/>
      <x:c r="AM77" s="25"/>
      <x:c r="AN77" s="25"/>
      <x:c r="AO77" s="25"/>
      <x:c r="AP77" s="25"/>
      <x:c r="AQ77" s="25" t="e">
        <x:f>SUM(TCO_15[[#This Row],[mes 01]:[mes 36]])</x:f>
        <x:v>#REF!</x:v>
      </x:c>
      <x:c r="AR77" s="25"/>
    </x:row>
    <x:row r="78" ht="21.600000381469727" customHeight="1">
      <x:c r="A78" t="s">
        <x:v>29</x:v>
      </x:c>
      <x:c r="E78" s="96"/>
      <x:c r="G78" s="96" t="n">
        <x:f t="shared" ref="G78:AP78" si="14">SUM(G47:G77)</x:f>
        <x:v>11990.6564</x:v>
      </x:c>
      <x:c r="H78" s="96">
        <x:f t="shared" si="14"/>
        <x:v>6867.6259510204081</x:v>
      </x:c>
      <x:c r="I78" s="96">
        <x:f t="shared" si="14"/>
        <x:v>6333.216565306122</x:v>
      </x:c>
      <x:c r="J78" s="96">
        <x:f t="shared" si="14"/>
        <x:v>6571.178905306122</x:v>
      </x:c>
      <x:c r="K78" s="96">
        <x:f t="shared" si="14"/>
        <x:v>6868.6285853061217</x:v>
      </x:c>
      <x:c r="L78" s="96">
        <x:f t="shared" si="14"/>
        <x:v>5633.8331530612249</x:v>
      </x:c>
      <x:c r="M78" s="96">
        <x:f t="shared" si="14"/>
        <x:v>29205.623664000002</x:v>
      </x:c>
      <x:c r="N78" s="96">
        <x:f t="shared" si="14"/>
        <x:v>13323.3881</x:v>
      </x:c>
      <x:c r="O78" s="96">
        <x:f t="shared" si="14"/>
        <x:v>8230.7376510204085</x:v>
      </x:c>
      <x:c r="P78" s="96">
        <x:f t="shared" si="14"/>
        <x:v>7696.3282653061224</x:v>
      </x:c>
      <x:c r="Q78" s="96">
        <x:f t="shared" si="14"/>
        <x:v>7934.2906053061224</x:v>
      </x:c>
      <x:c r="R78" s="96">
        <x:f t="shared" si="14"/>
        <x:v>8248.3102853061228</x:v>
      </x:c>
      <x:c r="S78" s="96">
        <x:f t="shared" si="14"/>
        <x:v>7030.0848530612247</x:v>
      </x:c>
      <x:c r="T78" s="96">
        <x:f t="shared" si="14"/>
        <x:v>5635.0834000000004</x:v>
      </x:c>
      <x:c r="U78" s="96">
        <x:f t="shared" si="14"/>
        <x:v>13802.144800000002</x:v>
      </x:c>
      <x:c r="V78" s="96">
        <x:f t="shared" si="14"/>
        <x:v>9031.9243510204087</x:v>
      </x:c>
      <x:c r="W78" s="96">
        <x:f t="shared" si="14"/>
        <x:v>8594.864965306122</x:v>
      </x:c>
      <x:c r="X78" s="96">
        <x:f t="shared" si="14"/>
        <x:v>9087.3596453061236</x:v>
      </x:c>
      <x:c r="Y78" s="96">
        <x:f t="shared" si="14"/>
        <x:v>41252.47719330612</x:v>
      </x:c>
      <x:c r="Z78" s="96">
        <x:f t="shared" si="14"/>
        <x:v>8632.7182530612263</x:v>
      </x:c>
      <x:c r="AA78" s="96">
        <x:f t="shared" si="14"/>
        <x:v>7270.1668000000009</x:v>
      </x:c>
      <x:c r="AB78" s="96">
        <x:f t="shared" si="14"/>
        <x:v>16759.658200000002</x:v>
      </x:c>
      <x:c r="AC78" s="96">
        <x:f t="shared" si="14"/>
        <x:v>12634.297751020409</x:v>
      </x:c>
      <x:c r="AD78" s="96">
        <x:f t="shared" si="14"/>
        <x:v>12391.938365306123</x:v>
      </x:c>
      <x:c r="AE78" s="96">
        <x:f t="shared" si="14"/>
        <x:v>13393.497725306124</x:v>
      </x:c>
      <x:c r="AF78" s="96">
        <x:f t="shared" si="14"/>
        <x:v>14649.576445306122</x:v>
      </x:c>
      <x:c r="AG78" s="96">
        <x:f t="shared" si="14"/>
        <x:v>13821.415053061226</x:v>
      </x:c>
      <x:c r="AH78" s="96">
        <x:f t="shared" si="14"/>
        <x:v>12540.333600000002</x:v>
      </x:c>
      <x:c r="AI78" s="96">
        <x:f t="shared" si="14"/>
        <x:v>22674.684999999998</x:v>
      </x:c>
      <x:c r="AJ78" s="96">
        <x:f t="shared" si="14"/>
        <x:v>19839.044551020404</x:v>
      </x:c>
      <x:c r="AK78" s="96">
        <x:f t="shared" si="14"/>
        <x:v>76650.240379306109</x:v>
      </x:c>
      <x:c r="AL78" s="96">
        <x:f t="shared" si="14"/>
        <x:v>21989.203885306124</x:v>
      </x:c>
      <x:c r="AM78" s="96">
        <x:f t="shared" si="14"/>
        <x:v>24501.361325306119</x:v>
      </x:c>
      <x:c r="AN78" s="96">
        <x:f t="shared" si="14"/>
        <x:v>24198.808653061224</x:v>
      </x:c>
      <x:c r="AO78" s="96">
        <x:f t="shared" si="14"/>
        <x:v>23080.6672</x:v>
      </x:c>
      <x:c r="AP78" s="96">
        <x:f t="shared" si="14"/>
        <x:v>34504.738599999997</x:v>
      </x:c>
    </x:row>
    <x:row r="79">
      <x:c r="A79" t="s">
        <x:v>1609</x:v>
      </x:c>
      <x:c r="E79" s="96"/>
      <x:c r="G79" s="96" t="n">
        <x:f>SUM($G78:G78)</x:f>
        <x:v>11990.6564</x:v>
      </x:c>
      <x:c r="H79" s="96" t="n">
        <x:f>SUM($G78:H78)</x:f>
        <x:v>18858.282351020407</x:v>
      </x:c>
      <x:c r="I79" s="96" t="n">
        <x:f>SUM($G78:I78)</x:f>
        <x:v>25191.498916326527</x:v>
      </x:c>
      <x:c r="J79" s="96" t="n">
        <x:f>SUM($G78:J78)</x:f>
        <x:v>31762.67782163265</x:v>
      </x:c>
      <x:c r="K79" s="96" t="n">
        <x:f>SUM($G78:K78)</x:f>
        <x:v>38631.30640693877</x:v>
      </x:c>
      <x:c r="L79" s="96" t="n">
        <x:f>SUM($G78:L78)</x:f>
        <x:v>44265.139559999996</x:v>
      </x:c>
      <x:c r="M79" s="96" t="n">
        <x:f>SUM($G78:M78)</x:f>
        <x:v>73470.763224</x:v>
      </x:c>
      <x:c r="N79" s="96" t="n">
        <x:f>SUM($G78:N78)</x:f>
        <x:v>86794.15132399999</x:v>
      </x:c>
      <x:c r="O79" s="96" t="n">
        <x:f>SUM($G78:O78)</x:f>
        <x:v>95024.8889750204</x:v>
      </x:c>
      <x:c r="P79" s="96" t="n">
        <x:f>SUM($G78:P78)</x:f>
        <x:v>102721.21724032651</x:v>
      </x:c>
      <x:c r="Q79" s="96" t="n">
        <x:f>SUM($G78:Q78)</x:f>
        <x:v>110655.50784563263</x:v>
      </x:c>
      <x:c r="R79" s="96" t="n">
        <x:f>SUM($G78:R78)</x:f>
        <x:v>118903.81813093876</x:v>
      </x:c>
      <x:c r="S79" s="96" t="n">
        <x:f>SUM($G78:S78)</x:f>
        <x:v>125933.90298399999</x:v>
      </x:c>
      <x:c r="T79" s="96" t="n">
        <x:f>SUM($G78:T78)</x:f>
        <x:v>131568.986384</x:v>
      </x:c>
      <x:c r="U79" s="96" t="n">
        <x:f>SUM($G78:U78)</x:f>
        <x:v>145371.131184</x:v>
      </x:c>
      <x:c r="V79" s="96" t="n">
        <x:f>SUM($G78:V78)</x:f>
        <x:v>154403.0555350204</x:v>
      </x:c>
      <x:c r="W79" s="96" t="n">
        <x:f>SUM($G78:W78)</x:f>
        <x:v>162997.92050032652</x:v>
      </x:c>
      <x:c r="X79" s="96" t="n">
        <x:f>SUM($G78:X78)</x:f>
        <x:v>172085.28014563266</x:v>
      </x:c>
      <x:c r="Y79" s="96" t="n">
        <x:f>SUM($G78:Y78)</x:f>
        <x:v>213337.75733893877</x:v>
      </x:c>
      <x:c r="Z79" s="96" t="n">
        <x:f>SUM($G78:Z78)</x:f>
        <x:v>221970.475592</x:v>
      </x:c>
      <x:c r="AA79" s="96" t="n">
        <x:f>SUM($G78:AA78)</x:f>
        <x:v>229240.642392</x:v>
      </x:c>
      <x:c r="AB79" s="96" t="n">
        <x:f>SUM($G78:AB78)</x:f>
        <x:v>246000.300592</x:v>
      </x:c>
      <x:c r="AC79" s="96" t="n">
        <x:f>SUM($G78:AC78)</x:f>
        <x:v>258634.59834302042</x:v>
      </x:c>
      <x:c r="AD79" s="96" t="n">
        <x:f>SUM($G78:AD78)</x:f>
        <x:v>271026.53670832654</x:v>
      </x:c>
      <x:c r="AE79" s="96" t="n">
        <x:f>SUM($G78:AE78)</x:f>
        <x:v>284420.0344336327</x:v>
      </x:c>
      <x:c r="AF79" s="96" t="n">
        <x:f>SUM($G78:AF78)</x:f>
        <x:v>299069.6108789388</x:v>
      </x:c>
      <x:c r="AG79" s="96" t="n">
        <x:f>SUM($G78:AG78)</x:f>
        <x:v>312891.025932</x:v>
      </x:c>
      <x:c r="AH79" s="96" t="n">
        <x:f>SUM($G78:AH78)</x:f>
        <x:v>325431.35953200003</x:v>
      </x:c>
      <x:c r="AI79" s="96" t="n">
        <x:f>SUM($G78:AI78)</x:f>
        <x:v>348106.044532</x:v>
      </x:c>
      <x:c r="AJ79" s="96" t="n">
        <x:f>SUM($G78:AJ78)</x:f>
        <x:v>367945.08908302046</x:v>
      </x:c>
      <x:c r="AK79" s="96" t="n">
        <x:f>SUM($G78:AK78)</x:f>
        <x:v>444595.3294623266</x:v>
      </x:c>
      <x:c r="AL79" s="96" t="n">
        <x:f>SUM($G78:AL78)</x:f>
        <x:v>466584.53334763274</x:v>
      </x:c>
      <x:c r="AM79" s="96" t="n">
        <x:f>SUM($G78:AM78)</x:f>
        <x:v>491085.89467293886</x:v>
      </x:c>
      <x:c r="AN79" s="96" t="n">
        <x:f>SUM($G78:AN78)</x:f>
        <x:v>515284.7033260001</x:v>
      </x:c>
      <x:c r="AO79" s="96" t="n">
        <x:f>SUM($G78:AO78)</x:f>
        <x:v>538365.370526</x:v>
      </x:c>
      <x:c r="AP79" s="96" t="n">
        <x:f>SUM($G78:AP78)</x:f>
        <x:v>572870.1091260001</x:v>
      </x:c>
      <x:c r="AQ79" s="96"/>
      <x:c r="AR79" s="96"/>
    </x:row>
    <x:row r="81">
      <x:c r="A81" s="24" t="s">
        <x:v>1610</x:v>
      </x:c>
      <x:c r="D81" s="99"/>
      <x:c r="E81" s="99"/>
      <x:c r="F81" s="99"/>
    </x:row>
    <x:row r="82">
      <x:c r="A82" s="1" t="s">
        <x:v>1611</x:v>
      </x:c>
      <x:c r="E82" s="99" t="e">
        <x:f>SUM(TCO_15[[#Totals],[mes 01]:[mes 07]])</x:f>
        <x:v>#REF!</x:v>
      </x:c>
    </x:row>
    <x:row r="83">
      <x:c r="A83" s="1" t="s">
        <x:v>1612</x:v>
      </x:c>
      <x:c r="E83" s="99" t="e">
        <x:f>NPV(TDESC,TCO_15[[#Totals],[mes 01]:[mes 07]])</x:f>
        <x:v>#REF!</x:v>
      </x:c>
    </x:row>
    <x:row r="85">
      <x:c r="A85" s="24" t="s">
        <x:v>1613</x:v>
      </x:c>
    </x:row>
    <x:row r="86" s="25" customFormat="1">
      <x:c r="A86" s="25" t="s">
        <x:v>1614</x:v>
      </x:c>
      <x:c r="G86" s="144" t="n">
        <x:f>SUM(G78:R78)</x:f>
        <x:v>118903.81813093876</x:v>
      </x:c>
      <x:c r="H86" s="145"/>
      <x:c r="I86" s="145"/>
      <x:c r="J86" s="145"/>
      <x:c r="K86" s="145"/>
      <x:c r="L86" s="145"/>
      <x:c r="M86" s="145"/>
      <x:c r="N86" s="145"/>
      <x:c r="O86" s="145"/>
      <x:c r="P86" s="145"/>
      <x:c r="Q86" s="145"/>
      <x:c r="R86" s="146"/>
      <x:c r="S86" s="144" t="n">
        <x:f>SUM(S78:AD78)</x:f>
        <x:v>152122.71857738777</x:v>
      </x:c>
      <x:c r="T86" s="145"/>
      <x:c r="U86" s="145"/>
      <x:c r="V86" s="145"/>
      <x:c r="W86" s="145"/>
      <x:c r="X86" s="145"/>
      <x:c r="Y86" s="145"/>
      <x:c r="Z86" s="145"/>
      <x:c r="AA86" s="145"/>
      <x:c r="AB86" s="145"/>
      <x:c r="AC86" s="145"/>
      <x:c r="AD86" s="146"/>
      <x:c r="AE86" s="144" t="n">
        <x:f>SUM(AE78:AP78)</x:f>
        <x:v>301843.5724176735</x:v>
      </x:c>
      <x:c r="AF86" s="145"/>
      <x:c r="AG86" s="145"/>
      <x:c r="AH86" s="145"/>
      <x:c r="AI86" s="145"/>
      <x:c r="AJ86" s="145"/>
      <x:c r="AK86" s="145"/>
      <x:c r="AL86" s="145"/>
      <x:c r="AM86" s="145"/>
      <x:c r="AN86" s="145"/>
      <x:c r="AO86" s="145"/>
      <x:c r="AP86" s="146"/>
      <x:c r="AQ86" s="173"/>
      <x:c r="AR86" s="173"/>
    </x:row>
    <x:row r="87" s="25" customFormat="1">
      <x:c r="A87" s="25" t="s">
        <x:v>1615</x:v>
      </x:c>
      <x:c r="G87" s="144" t="e">
        <x:f>NPV(TDESC,TCO_15[[#Totals],[mes 01]:[mes 12]])</x:f>
        <x:v>#REF!</x:v>
      </x:c>
      <x:c r="H87" s="145"/>
      <x:c r="I87" s="145"/>
      <x:c r="J87" s="145"/>
      <x:c r="K87" s="145"/>
      <x:c r="L87" s="145"/>
      <x:c r="M87" s="145"/>
      <x:c r="N87" s="145"/>
      <x:c r="O87" s="145"/>
      <x:c r="P87" s="145"/>
      <x:c r="Q87" s="145"/>
      <x:c r="R87" s="146"/>
      <x:c r="S87" s="144" t="e">
        <x:f>NPV(TDESC,TCO_15[[#Totals],[mes 13]:[mes 24]])/(1+TDESC)^12</x:f>
        <x:v>#REF!</x:v>
      </x:c>
      <x:c r="T87" s="145"/>
      <x:c r="U87" s="145"/>
      <x:c r="V87" s="145"/>
      <x:c r="W87" s="145"/>
      <x:c r="X87" s="145"/>
      <x:c r="Y87" s="145"/>
      <x:c r="Z87" s="145"/>
      <x:c r="AA87" s="145"/>
      <x:c r="AB87" s="145"/>
      <x:c r="AC87" s="145"/>
      <x:c r="AD87" s="146"/>
      <x:c r="AE87" s="144" t="e">
        <x:f>NPV(TDESC,TCO_15[[#Totals],[mes 25]:[mes 36]])/(1+TDESC)^24</x:f>
        <x:v>#REF!</x:v>
      </x:c>
      <x:c r="AF87" s="145"/>
      <x:c r="AG87" s="145"/>
      <x:c r="AH87" s="145"/>
      <x:c r="AI87" s="145"/>
      <x:c r="AJ87" s="145"/>
      <x:c r="AK87" s="145"/>
      <x:c r="AL87" s="145"/>
      <x:c r="AM87" s="145"/>
      <x:c r="AN87" s="145"/>
      <x:c r="AO87" s="145"/>
      <x:c r="AP87" s="146"/>
      <x:c r="AQ87" s="173"/>
      <x:c r="AR87" s="173"/>
    </x:row>
    <x:row r="89">
      <x:c r="A89" s="24" t="s">
        <x:v>1616</x:v>
      </x:c>
      <x:c r="G89" t="n">
        <x:f>YEAR(G1)</x:f>
        <x:v>2026</x:v>
      </x:c>
      <x:c r="H89" t="n">
        <x:f t="shared" ref="H89:AP89" si="15">YEAR(H1)</x:f>
        <x:v>2026</x:v>
      </x:c>
      <x:c r="I89">
        <x:f t="shared" si="15"/>
        <x:v>2026</x:v>
      </x:c>
      <x:c r="J89">
        <x:f t="shared" si="15"/>
        <x:v>2026</x:v>
      </x:c>
      <x:c r="K89">
        <x:f t="shared" si="15"/>
        <x:v>2026</x:v>
      </x:c>
      <x:c r="L89">
        <x:f t="shared" si="15"/>
        <x:v>2026</x:v>
      </x:c>
      <x:c r="M89">
        <x:f t="shared" si="15"/>
        <x:v>2027</x:v>
      </x:c>
      <x:c r="N89">
        <x:f t="shared" si="15"/>
        <x:v>2027</x:v>
      </x:c>
      <x:c r="O89">
        <x:f t="shared" si="15"/>
        <x:v>2027</x:v>
      </x:c>
      <x:c r="P89">
        <x:f t="shared" si="15"/>
        <x:v>2027</x:v>
      </x:c>
      <x:c r="Q89">
        <x:f t="shared" si="15"/>
        <x:v>2027</x:v>
      </x:c>
      <x:c r="R89">
        <x:f t="shared" si="15"/>
        <x:v>2027</x:v>
      </x:c>
      <x:c r="S89">
        <x:f t="shared" si="15"/>
        <x:v>2027</x:v>
      </x:c>
      <x:c r="T89">
        <x:f t="shared" si="15"/>
        <x:v>2027</x:v>
      </x:c>
      <x:c r="U89">
        <x:f t="shared" si="15"/>
        <x:v>2027</x:v>
      </x:c>
      <x:c r="V89">
        <x:f t="shared" si="15"/>
        <x:v>2027</x:v>
      </x:c>
      <x:c r="W89">
        <x:f t="shared" si="15"/>
        <x:v>2027</x:v>
      </x:c>
      <x:c r="X89">
        <x:f t="shared" si="15"/>
        <x:v>2027</x:v>
      </x:c>
      <x:c r="Y89">
        <x:f t="shared" si="15"/>
        <x:v>2028</x:v>
      </x:c>
      <x:c r="Z89">
        <x:f t="shared" si="15"/>
        <x:v>2028</x:v>
      </x:c>
      <x:c r="AA89">
        <x:f t="shared" si="15"/>
        <x:v>2028</x:v>
      </x:c>
      <x:c r="AB89">
        <x:f t="shared" si="15"/>
        <x:v>2028</x:v>
      </x:c>
      <x:c r="AC89">
        <x:f t="shared" si="15"/>
        <x:v>2028</x:v>
      </x:c>
      <x:c r="AD89">
        <x:f t="shared" si="15"/>
        <x:v>2028</x:v>
      </x:c>
      <x:c r="AE89">
        <x:f t="shared" si="15"/>
        <x:v>2028</x:v>
      </x:c>
      <x:c r="AF89">
        <x:f t="shared" si="15"/>
        <x:v>2028</x:v>
      </x:c>
      <x:c r="AG89">
        <x:f t="shared" si="15"/>
        <x:v>2028</x:v>
      </x:c>
      <x:c r="AH89">
        <x:f t="shared" si="15"/>
        <x:v>2028</x:v>
      </x:c>
      <x:c r="AI89">
        <x:f t="shared" si="15"/>
        <x:v>2028</x:v>
      </x:c>
      <x:c r="AJ89">
        <x:f t="shared" si="15"/>
        <x:v>2028</x:v>
      </x:c>
      <x:c r="AK89">
        <x:f t="shared" si="15"/>
        <x:v>2029</x:v>
      </x:c>
      <x:c r="AL89">
        <x:f t="shared" si="15"/>
        <x:v>2029</x:v>
      </x:c>
      <x:c r="AM89">
        <x:f t="shared" si="15"/>
        <x:v>2029</x:v>
      </x:c>
      <x:c r="AN89">
        <x:f t="shared" si="15"/>
        <x:v>2029</x:v>
      </x:c>
      <x:c r="AO89">
        <x:f t="shared" si="15"/>
        <x:v>2029</x:v>
      </x:c>
      <x:c r="AP89">
        <x:f t="shared" si="15"/>
        <x:v>2029</x:v>
      </x:c>
    </x:row>
    <x:row r="90" s="24" customFormat="1">
      <x:c r="G90" s="140" t="n">
        <x:f>IFERROR(IF(YEAR(F$1)&lt;&gt;YEAR(G$1),YEAR(G$1),"→"),YEAR(G$1))</x:f>
        <x:v>2026</x:v>
      </x:c>
      <x:c r="H90" s="141" t="str">
        <x:f t="shared" ref="H90:AP90" si="16">IFERROR(IF(YEAR(G$1)&lt;&gt;YEAR(H$1),YEAR(H$1),"→"),YEAR(H$1))</x:f>
        <x:v>→</x:v>
      </x:c>
      <x:c r="I90" s="141" t="str">
        <x:f t="shared" si="16"/>
        <x:v>→</x:v>
      </x:c>
      <x:c r="J90" s="141" t="str">
        <x:f t="shared" si="16"/>
        <x:v>→</x:v>
      </x:c>
      <x:c r="K90" s="141" t="str">
        <x:f t="shared" si="16"/>
        <x:v>→</x:v>
      </x:c>
      <x:c r="L90" s="141" t="str">
        <x:f t="shared" si="16"/>
        <x:v>→</x:v>
      </x:c>
      <x:c r="M90" s="141">
        <x:f t="shared" si="16"/>
        <x:v>2027</x:v>
      </x:c>
      <x:c r="N90" s="141" t="str">
        <x:f t="shared" si="16"/>
        <x:v>→</x:v>
      </x:c>
      <x:c r="O90" s="141" t="str">
        <x:f t="shared" si="16"/>
        <x:v>→</x:v>
      </x:c>
      <x:c r="P90" s="141" t="str">
        <x:f t="shared" si="16"/>
        <x:v>→</x:v>
      </x:c>
      <x:c r="Q90" s="141" t="str">
        <x:f t="shared" si="16"/>
        <x:v>→</x:v>
      </x:c>
      <x:c r="R90" s="141" t="str">
        <x:f t="shared" si="16"/>
        <x:v>→</x:v>
      </x:c>
      <x:c r="S90" s="141" t="str">
        <x:f t="shared" si="16"/>
        <x:v>→</x:v>
      </x:c>
      <x:c r="T90" s="141" t="str">
        <x:f t="shared" si="16"/>
        <x:v>→</x:v>
      </x:c>
      <x:c r="U90" s="141" t="str">
        <x:f t="shared" si="16"/>
        <x:v>→</x:v>
      </x:c>
      <x:c r="V90" s="141" t="str">
        <x:f t="shared" si="16"/>
        <x:v>→</x:v>
      </x:c>
      <x:c r="W90" s="141" t="str">
        <x:f t="shared" si="16"/>
        <x:v>→</x:v>
      </x:c>
      <x:c r="X90" s="141" t="str">
        <x:f t="shared" si="16"/>
        <x:v>→</x:v>
      </x:c>
      <x:c r="Y90" s="141">
        <x:f t="shared" si="16"/>
        <x:v>2028</x:v>
      </x:c>
      <x:c r="Z90" s="141" t="str">
        <x:f t="shared" si="16"/>
        <x:v>→</x:v>
      </x:c>
      <x:c r="AA90" s="141" t="str">
        <x:f t="shared" si="16"/>
        <x:v>→</x:v>
      </x:c>
      <x:c r="AB90" s="141" t="str">
        <x:f t="shared" si="16"/>
        <x:v>→</x:v>
      </x:c>
      <x:c r="AC90" s="141" t="str">
        <x:f t="shared" si="16"/>
        <x:v>→</x:v>
      </x:c>
      <x:c r="AD90" s="141" t="str">
        <x:f t="shared" si="16"/>
        <x:v>→</x:v>
      </x:c>
      <x:c r="AE90" s="141" t="str">
        <x:f t="shared" si="16"/>
        <x:v>→</x:v>
      </x:c>
      <x:c r="AF90" s="141" t="str">
        <x:f t="shared" si="16"/>
        <x:v>→</x:v>
      </x:c>
      <x:c r="AG90" s="141" t="str">
        <x:f t="shared" si="16"/>
        <x:v>→</x:v>
      </x:c>
      <x:c r="AH90" s="141" t="str">
        <x:f t="shared" si="16"/>
        <x:v>→</x:v>
      </x:c>
      <x:c r="AI90" s="141" t="str">
        <x:f t="shared" si="16"/>
        <x:v>→</x:v>
      </x:c>
      <x:c r="AJ90" s="141" t="str">
        <x:f t="shared" si="16"/>
        <x:v>→</x:v>
      </x:c>
      <x:c r="AK90" s="141">
        <x:f t="shared" si="16"/>
        <x:v>2029</x:v>
      </x:c>
      <x:c r="AL90" s="141" t="str">
        <x:f t="shared" si="16"/>
        <x:v>→</x:v>
      </x:c>
      <x:c r="AM90" s="141" t="str">
        <x:f t="shared" si="16"/>
        <x:v>→</x:v>
      </x:c>
      <x:c r="AN90" s="141" t="str">
        <x:f t="shared" si="16"/>
        <x:v>→</x:v>
      </x:c>
      <x:c r="AO90" s="141" t="str">
        <x:f t="shared" si="16"/>
        <x:v>→</x:v>
      </x:c>
      <x:c r="AP90" s="142" t="str">
        <x:f t="shared" si="16"/>
        <x:v>→</x:v>
      </x:c>
      <x:c r="AQ90" s="174"/>
      <x:c r="AR90" s="174"/>
    </x:row>
    <x:row r="91" s="25" customFormat="1">
      <x:c r="A91" s="25" t="s">
        <x:v>1617</x:v>
      </x:c>
      <x:c r="G91" s="25" t="e">
        <x:f>ISNUMBER(G90)*SUMIF($G89:$AP89,G90,TCO_15[[#Totals],[mes 01]:[mes 36]])</x:f>
        <x:v>#REF!</x:v>
      </x:c>
      <x:c r="H91" s="25" t="n">
        <x:f>ISNUMBER(H90)*SUMIF($G89:$AP89,H90,TCO_15[[#Totals],[mes 01]:[mes 36]])</x:f>
        <x:v>0</x:v>
      </x:c>
      <x:c r="I91" s="25" t="n">
        <x:f>ISNUMBER(I90)*SUMIF($G89:$AP89,I90,TCO_15[[#Totals],[mes 01]:[mes 36]])</x:f>
        <x:v>0</x:v>
      </x:c>
      <x:c r="J91" s="25" t="n">
        <x:f>ISNUMBER(J90)*SUMIF($G89:$AP89,J90,TCO_15[[#Totals],[mes 01]:[mes 36]])</x:f>
        <x:v>0</x:v>
      </x:c>
      <x:c r="K91" s="25" t="n">
        <x:f>ISNUMBER(K90)*SUMIF($G89:$AP89,K90,TCO_15[[#Totals],[mes 01]:[mes 36]])</x:f>
        <x:v>0</x:v>
      </x:c>
      <x:c r="L91" s="25" t="n">
        <x:f>ISNUMBER(L90)*SUMIF($G89:$AP89,L90,TCO_15[[#Totals],[mes 01]:[mes 36]])</x:f>
        <x:v>0</x:v>
      </x:c>
      <x:c r="M91" s="25" t="n">
        <x:f>ISNUMBER(M90)*SUMIF($G89:$AP89,M90,TCO_15[[#Totals],[mes 01]:[mes 36]])</x:f>
        <x:v>0</x:v>
      </x:c>
      <x:c r="N91" s="25" t="n">
        <x:f>ISNUMBER(N90)*SUMIF($G89:$AP89,N90,TCO_15[[#Totals],[mes 01]:[mes 36]])</x:f>
        <x:v>0</x:v>
      </x:c>
      <x:c r="O91" s="25" t="n">
        <x:f>ISNUMBER(O90)*SUMIF($G89:$AP89,O90,TCO_15[[#Totals],[mes 01]:[mes 36]])</x:f>
        <x:v>0</x:v>
      </x:c>
      <x:c r="P91" s="25" t="n">
        <x:f>ISNUMBER(P90)*SUMIF($G89:$AP89,P90,TCO_15[[#Totals],[mes 01]:[mes 36]])</x:f>
        <x:v>0</x:v>
      </x:c>
      <x:c r="Q91" s="25" t="n">
        <x:f>ISNUMBER(Q90)*SUMIF($G89:$AP89,Q90,TCO_15[[#Totals],[mes 01]:[mes 36]])</x:f>
        <x:v>0</x:v>
      </x:c>
      <x:c r="R91" s="25" t="n">
        <x:f>ISNUMBER(R90)*SUMIF($G89:$AP89,R90,TCO_15[[#Totals],[mes 01]:[mes 36]])</x:f>
        <x:v>0</x:v>
      </x:c>
      <x:c r="S91" s="25" t="n">
        <x:f>ISNUMBER(S90)*SUMIF($G89:$AP89,S90,TCO_15[[#Totals],[mes 01]:[mes 36]])</x:f>
        <x:v>0</x:v>
      </x:c>
      <x:c r="T91" s="25" t="n">
        <x:f>ISNUMBER(T90)*SUMIF($G89:$AP89,T90,TCO_15[[#Totals],[mes 01]:[mes 36]])</x:f>
        <x:v>0</x:v>
      </x:c>
      <x:c r="U91" s="25" t="n">
        <x:f>ISNUMBER(U90)*SUMIF($G89:$AP89,U90,TCO_15[[#Totals],[mes 01]:[mes 36]])</x:f>
        <x:v>0</x:v>
      </x:c>
      <x:c r="V91" s="25" t="n">
        <x:f>ISNUMBER(V90)*SUMIF($G89:$AP89,V90,TCO_15[[#Totals],[mes 01]:[mes 36]])</x:f>
        <x:v>0</x:v>
      </x:c>
      <x:c r="W91" s="25" t="n">
        <x:f>ISNUMBER(W90)*SUMIF($G89:$AP89,W90,TCO_15[[#Totals],[mes 01]:[mes 36]])</x:f>
        <x:v>0</x:v>
      </x:c>
      <x:c r="X91" s="25" t="n">
        <x:f>ISNUMBER(X90)*SUMIF($G89:$AP89,X90,TCO_15[[#Totals],[mes 01]:[mes 36]])</x:f>
        <x:v>0</x:v>
      </x:c>
      <x:c r="Y91" s="25" t="n">
        <x:f>ISNUMBER(Y90)*SUMIF($G89:$AP89,Y90,TCO_15[[#Totals],[mes 01]:[mes 36]])</x:f>
        <x:v>0</x:v>
      </x:c>
      <x:c r="Z91" s="25" t="n">
        <x:f>ISNUMBER(Z90)*SUMIF($G89:$AP89,Z90,TCO_15[[#Totals],[mes 01]:[mes 36]])</x:f>
        <x:v>0</x:v>
      </x:c>
      <x:c r="AA91" s="25" t="n">
        <x:f>ISNUMBER(AA90)*SUMIF($G89:$AP89,AA90,TCO_15[[#Totals],[mes 01]:[mes 36]])</x:f>
        <x:v>0</x:v>
      </x:c>
      <x:c r="AB91" s="25" t="n">
        <x:f>ISNUMBER(AB90)*SUMIF($G89:$AP89,AB90,TCO_15[[#Totals],[mes 01]:[mes 36]])</x:f>
        <x:v>0</x:v>
      </x:c>
      <x:c r="AC91" s="25" t="n">
        <x:f>ISNUMBER(AC90)*SUMIF($G89:$AP89,AC90,TCO_15[[#Totals],[mes 01]:[mes 36]])</x:f>
        <x:v>0</x:v>
      </x:c>
      <x:c r="AD91" s="25" t="n">
        <x:f>ISNUMBER(AD90)*SUMIF($G89:$AP89,AD90,TCO_15[[#Totals],[mes 01]:[mes 36]])</x:f>
        <x:v>0</x:v>
      </x:c>
      <x:c r="AE91" s="25" t="n">
        <x:f>ISNUMBER(AE90)*SUMIF($G89:$AP89,AE90,TCO_15[[#Totals],[mes 01]:[mes 36]])</x:f>
        <x:v>0</x:v>
      </x:c>
      <x:c r="AF91" s="25" t="n">
        <x:f>ISNUMBER(AF90)*SUMIF($G89:$AP89,AF90,TCO_15[[#Totals],[mes 01]:[mes 36]])</x:f>
        <x:v>0</x:v>
      </x:c>
      <x:c r="AG91" s="25" t="n">
        <x:f>ISNUMBER(AG90)*SUMIF($G89:$AP89,AG90,TCO_15[[#Totals],[mes 01]:[mes 36]])</x:f>
        <x:v>0</x:v>
      </x:c>
      <x:c r="AH91" s="25" t="n">
        <x:f>ISNUMBER(AH90)*SUMIF($G89:$AP89,AH90,TCO_15[[#Totals],[mes 01]:[mes 36]])</x:f>
        <x:v>0</x:v>
      </x:c>
      <x:c r="AI91" s="25" t="n">
        <x:f>ISNUMBER(AI90)*SUMIF($G89:$AP89,AI90,TCO_15[[#Totals],[mes 01]:[mes 36]])</x:f>
        <x:v>0</x:v>
      </x:c>
      <x:c r="AJ91" s="25" t="n">
        <x:f>ISNUMBER(AJ90)*SUMIF($G89:$AP89,AJ90,TCO_15[[#Totals],[mes 01]:[mes 36]])</x:f>
        <x:v>0</x:v>
      </x:c>
      <x:c r="AK91" s="25" t="n">
        <x:f>ISNUMBER(AK90)*SUMIF($G89:$AP89,AK90,TCO_15[[#Totals],[mes 01]:[mes 36]])</x:f>
        <x:v>0</x:v>
      </x:c>
      <x:c r="AL91" s="25" t="n">
        <x:f>ISNUMBER(AL90)*SUMIF($G89:$AP89,AL90,TCO_15[[#Totals],[mes 01]:[mes 36]])</x:f>
        <x:v>0</x:v>
      </x:c>
      <x:c r="AM91" s="25" t="n">
        <x:f>ISNUMBER(AM90)*SUMIF($G89:$AP89,AM90,TCO_15[[#Totals],[mes 01]:[mes 36]])</x:f>
        <x:v>0</x:v>
      </x:c>
      <x:c r="AN91" s="25" t="n">
        <x:f>ISNUMBER(AN90)*SUMIF($G89:$AP89,AN90,TCO_15[[#Totals],[mes 01]:[mes 36]])</x:f>
        <x:v>0</x:v>
      </x:c>
      <x:c r="AO91" s="25" t="n">
        <x:f>ISNUMBER(AO90)*SUMIF($G89:$AP89,AO90,TCO_15[[#Totals],[mes 01]:[mes 36]])</x:f>
        <x:v>0</x:v>
      </x:c>
      <x:c r="AP91" s="25" t="n">
        <x:f>ISNUMBER(AP90)*SUMIF($G89:$AP89,AP90,TCO_15[[#Totals],[mes 01]:[mes 36]])</x:f>
        <x:v>0</x:v>
      </x:c>
    </x:row>
    <x:row r="92" s="25" customFormat="1">
      <x:c r="A92" s="143" t="s">
        <x:v>1618</x:v>
      </x:c>
      <x:c r="G92" s="25" t="e">
        <x:f>NPV(TDESC,TCO_15[[#Totals],[mes 01]:[mes 06]])</x:f>
        <x:v>#REF!</x:v>
      </x:c>
      <x:c r="M92" s="25" t="e">
        <x:f>NPV(TDESC, TCO_15[[#Totals],[mes 07]:[mes 18]]) / (1 + TDESC)^6</x:f>
        <x:v>#REF!</x:v>
      </x:c>
      <x:c r="Y92" s="25" t="e">
        <x:f>NPV(TDESC, TCO_15[[#Totals],[mes 19]:[mes 30]]) / (1 + TDESC)^18</x:f>
        <x:v>#REF!</x:v>
      </x:c>
      <x:c r="AK92" s="25" t="e">
        <x:f>NPV(TDESC, TCO_15[[#Totals],[mes 31]:[mes 36]]) / (1 + TDESC)^30</x:f>
        <x:v>#REF!</x:v>
      </x:c>
    </x:row>
    <x:row r="93">
      <x:c r="A93" s="1"/>
    </x:row>
    <x:row r="94">
      <x:c r="A94" s="1"/>
    </x:row>
    <x:row r="95">
      <x:c r="A95" s="1"/>
    </x:row>
    <x:row r="96">
      <x:c r="A96" s="1"/>
    </x:row>
    <x:row r="97">
      <x:c r="A97" s="1"/>
    </x:row>
    <x:row r="98">
      <x:c r="A98" t="s">
        <x:v>1619</x:v>
      </x:c>
      <x:c r="B98" s="55" t="s">
        <x:v>1620</x:v>
      </x:c>
      <x:c r="D98" s="98"/>
      <x:c r="E98" s="147" t="n">
        <x:f>IF(B98="Precios constantes",0%,1.25%)</x:f>
        <x:v>0</x:v>
      </x:c>
      <x:c r="F98" s="147" t="s">
        <x:v>1621</x:v>
      </x:c>
    </x:row>
    <x:row r="99">
      <x:c r="A99" t="s">
        <x:v>1622</x:v>
      </x:c>
      <x:c r="D99" s="97"/>
      <x:c r="E99" s="97" t="n">
        <x:f>(1+E98)^12-1</x:f>
        <x:v>0</x:v>
      </x:c>
      <x:c r="F99" s="97"/>
    </x:row>
    <x:row r="100">
      <x:c r="A100" t="s">
        <x:v>1623</x:v>
      </x:c>
      <x:c r="D100" s="99"/>
      <x:c r="E100" s="99" t="e">
        <x:f>SUM(TCO_15[[#Totals],[mes 01]:[mes 36]])</x:f>
        <x:v>#REF!</x:v>
      </x:c>
      <x:c r="F100" s="99"/>
    </x:row>
    <x:row r="101">
      <x:c r="A101" t="s">
        <x:v>1624</x:v>
      </x:c>
      <x:c r="D101" s="99"/>
      <x:c r="E101" s="99" t="e">
        <x:f>NPV(TDESC,TCO_15[[#Totals],[mes 01]:[mes 36]])</x:f>
        <x:v>#REF!</x:v>
      </x:c>
      <x:c r="F101" s="99"/>
    </x:row>
    <x:row r="102">
      <x:c r="D102" s="99"/>
      <x:c r="E102" s="99"/>
      <x:c r="F102" s="99"/>
    </x:row>
    <x:row r="103">
      <x:c r="A103" s="24" t="s">
        <x:v>1610</x:v>
      </x:c>
      <x:c r="D103" s="99"/>
      <x:c r="E103" s="99"/>
      <x:c r="F103" s="99"/>
    </x:row>
    <x:row r="104">
      <x:c r="A104" s="1" t="s">
        <x:v>1611</x:v>
      </x:c>
      <x:c r="E104" s="99" t="e">
        <x:f>SUM(TCO_15[[#Totals],[mes 01]:[mes 07]])</x:f>
        <x:v>#REF!</x:v>
      </x:c>
    </x:row>
    <x:row r="105">
      <x:c r="A105" s="1" t="s">
        <x:v>1612</x:v>
      </x:c>
      <x:c r="E105" s="99" t="e">
        <x:f>NPV(TDESC,TCO_15[[#Totals],[mes 01]:[mes 07]])</x:f>
        <x:v>#REF!</x:v>
      </x:c>
    </x:row>
    <x:row r="108">
      <x:c r="A108" t="s">
        <x:v>1625</x:v>
      </x:c>
      <x:c r="E108" t="s">
        <x:v>1554</x:v>
      </x:c>
      <x:c r="F108" s="176" t="s">
        <x:v>1626</x:v>
      </x:c>
      <x:c r="G108">
        <x:v>2026</x:v>
      </x:c>
      <x:c r="H108">
        <x:v>2027</x:v>
      </x:c>
      <x:c r="I108">
        <x:v>2028</x:v>
      </x:c>
      <x:c r="J108">
        <x:v>2029</x:v>
      </x:c>
    </x:row>
    <x:row r="109">
      <x:c r="A109" t="s">
        <x:v>1476</x:v>
      </x:c>
      <x:c r="E109" t="s">
        <x:v>1581</x:v>
      </x:c>
      <x:c r="F109" s="175" t="e">
        <x:f>SUMIF(TCO_15[Clas],E109,TCO_15[Total])</x:f>
        <x:v>#REF!</x:v>
      </x:c>
    </x:row>
    <x:row r="110">
      <x:c r="A110" t="s">
        <x:v>177</x:v>
      </x:c>
      <x:c r="E110" t="s">
        <x:v>1583</x:v>
      </x:c>
      <x:c r="F110" s="175" t="e">
        <x:f>SUMIF(TCO_15[Clas],E110,TCO_15[Total])</x:f>
        <x:v>#REF!</x:v>
      </x:c>
    </x:row>
    <x:row r="111">
      <x:c r="A111" t="s">
        <x:v>1627</x:v>
      </x:c>
      <x:c r="E111" t="s">
        <x:v>1585</x:v>
      </x:c>
      <x:c r="F111" s="175" t="e">
        <x:f>SUMIF(TCO_15[Clas],E111,TCO_15[Total])</x:f>
        <x:v>#REF!</x:v>
      </x:c>
    </x:row>
    <x:row r="112">
      <x:c r="A112" t="s">
        <x:v>1628</x:v>
      </x:c>
      <x:c r="E112" t="s">
        <x:v>1587</x:v>
      </x:c>
      <x:c r="F112" s="175" t="e">
        <x:f>SUMIF(TCO_15[Clas],E112,TCO_15[Total])</x:f>
        <x:v>#REF!</x:v>
      </x:c>
    </x:row>
    <x:row r="113">
      <x:c r="A113" t="s">
        <x:v>1629</x:v>
      </x:c>
      <x:c r="E113" t="s">
        <x:v>1592</x:v>
      </x:c>
      <x:c r="F113" s="175" t="e">
        <x:f>SUMIF(TCO_15[Clas],E113,TCO_15[Total])</x:f>
        <x:v>#REF!</x:v>
      </x:c>
    </x:row>
    <x:row r="114">
      <x:c r="A114" t="s">
        <x:v>1630</x:v>
      </x:c>
      <x:c r="E114" t="s">
        <x:v>1606</x:v>
      </x:c>
      <x:c r="F114" s="175" t="e">
        <x:f>SUMIF(TCO_15[Clas],E114,TCO_15[Total])</x:f>
        <x:v>#REF!</x:v>
      </x:c>
    </x:row>
    <x:row r="115">
      <x:c r="A115" t="s">
        <x:v>1631</x:v>
      </x:c>
      <x:c r="E115" t="s">
        <x:v>618</x:v>
      </x:c>
      <x:c r="F115" s="175" t="e">
        <x:f>SUMIF(TCO_15[Clas],E115,TCO_15[Total])</x:f>
        <x:v>#REF!</x:v>
      </x:c>
    </x:row>
  </x:sheetData>
  <x:conditionalFormatting sqref="G46:AR77">
    <x:cfRule type="dataBar" priority="3">
      <x:dataBar minLength="0" maxLength="100">
        <x:cfvo type="min"/>
        <x:cfvo type="max"/>
        <x:color rgb="FF3FD185"/>
      </x:dataBar>
      <x:extLst>
        <x:ext xmlns:x14="http://schemas.microsoft.com/office/spreadsheetml/2009/9/main" uri="{B025F937-C7B1-47D3-B67F-A62EFF666E3E}">
          <x14:id>{D1A52B45-B0CC-49DC-A8D9-998A4D29F9CE}</x14:id>
        </x:ext>
      </x:extLst>
    </x:cfRule>
  </x:conditionalFormatting>
  <x:conditionalFormatting sqref="G90:AR90">
    <x:cfRule type="expression" dxfId="59" priority="1">
      <x:formula>G90&lt;&gt;"→"</x:formula>
    </x:cfRule>
  </x:conditionalFormatting>
  <x:dataValidations count="2">
    <x:dataValidation type="list" allowBlank="1" showInputMessage="1" showErrorMessage="1" sqref="B98">
      <x:formula1>"Precios constantes, Precios corrientes"</x:formula1>
    </x:dataValidation>
    <x:dataValidation type="list" allowBlank="1" showInputMessage="1" showErrorMessage="1" sqref="F3:F4 D3">
      <x:formula1>Oferentes</x:formula1>
    </x:dataValidation>
  </x:dataValidations>
  <x:pageMargins left="0.7" right="0.7" top="0.75" bottom="0.75" header="0.3" footer="0.3"/>
  <x:drawing xmlns:r="http://schemas.openxmlformats.org/officeDocument/2006/relationships" r:id="R4e040fc332ec423c"/>
  <x:legacyDrawing xmlns:r="http://schemas.openxmlformats.org/officeDocument/2006/relationships" r:id="Rc3e8398b40eb4c54"/>
  <x:tableParts count="1">
    <x:tablePart xmlns:r="http://schemas.openxmlformats.org/officeDocument/2006/relationships" r:id="R7ef0bff68f7e410f"/>
  </x:tableParts>
  <x:extLst>
    <x:ext xmlns:x14="http://schemas.microsoft.com/office/spreadsheetml/2009/9/main" xmlns:xm="http://schemas.microsoft.com/office/excel/2006/main" uri="{05C60535-1F16-4fd2-B633-F4F36F0B64E0}">
      <x14:sparklineGroups>
        <x14:sparklineGroup type="column" displayEmptyCellsAs="gap" minAxisType="group" maxAxisType="group" xr2:uid="{5619DCF5-E9FF-411A-A868-2CCF4ADE987F}">
          <x14:colorSeries rgb="FF3FD185"/>
          <x14:colorNegative rgb="FFD00000"/>
          <x14:colorAxis rgb="FF000000"/>
          <x14:colorMarkers rgb="FFD00000"/>
          <x14:colorFirst rgb="FFD00000"/>
          <x14:colorLast rgb="FFD00000"/>
          <x14:colorHigh rgb="FFD00000"/>
          <x14:colorLow rgb="FFD00000"/>
          <x14:sparklines>
            <x14:sparkline>
              <xm:f>'VPN4'!G78:G78</xm:f>
              <xm:sqref>G78</xm:sqref>
            </x14:sparkline>
            <x14:sparkline>
              <xm:f>'VPN4'!H78:H78</xm:f>
              <xm:sqref>H78</xm:sqref>
            </x14:sparkline>
            <x14:sparkline>
              <xm:f>'VPN4'!I78:I78</xm:f>
              <xm:sqref>I78</xm:sqref>
            </x14:sparkline>
            <x14:sparkline>
              <xm:f>'VPN4'!J78:J78</xm:f>
              <xm:sqref>J78</xm:sqref>
            </x14:sparkline>
            <x14:sparkline>
              <xm:f>'VPN4'!K78:K78</xm:f>
              <xm:sqref>K78</xm:sqref>
            </x14:sparkline>
            <x14:sparkline>
              <xm:f>'VPN4'!L78:L78</xm:f>
              <xm:sqref>L78</xm:sqref>
            </x14:sparkline>
            <x14:sparkline>
              <xm:f>'VPN4'!M78:M78</xm:f>
              <xm:sqref>M78</xm:sqref>
            </x14:sparkline>
            <x14:sparkline>
              <xm:f>'VPN4'!N78:N78</xm:f>
              <xm:sqref>N78</xm:sqref>
            </x14:sparkline>
            <x14:sparkline>
              <xm:f>'VPN4'!O78:O78</xm:f>
              <xm:sqref>O78</xm:sqref>
            </x14:sparkline>
            <x14:sparkline>
              <xm:f>'VPN4'!P78:P78</xm:f>
              <xm:sqref>P78</xm:sqref>
            </x14:sparkline>
            <x14:sparkline>
              <xm:f>'VPN4'!Q78:Q78</xm:f>
              <xm:sqref>Q78</xm:sqref>
            </x14:sparkline>
            <x14:sparkline>
              <xm:f>'VPN4'!R78:R78</xm:f>
              <xm:sqref>R78</xm:sqref>
            </x14:sparkline>
            <x14:sparkline>
              <xm:f>'VPN4'!S78:S78</xm:f>
              <xm:sqref>S78</xm:sqref>
            </x14:sparkline>
            <x14:sparkline>
              <xm:f>'VPN4'!T78:T78</xm:f>
              <xm:sqref>T78</xm:sqref>
            </x14:sparkline>
            <x14:sparkline>
              <xm:f>'VPN4'!U78:U78</xm:f>
              <xm:sqref>U78</xm:sqref>
            </x14:sparkline>
            <x14:sparkline>
              <xm:f>'VPN4'!V78:V78</xm:f>
              <xm:sqref>V78</xm:sqref>
            </x14:sparkline>
            <x14:sparkline>
              <xm:f>'VPN4'!W78:W78</xm:f>
              <xm:sqref>W78</xm:sqref>
            </x14:sparkline>
            <x14:sparkline>
              <xm:f>'VPN4'!X78:X78</xm:f>
              <xm:sqref>X78</xm:sqref>
            </x14:sparkline>
            <x14:sparkline>
              <xm:f>'VPN4'!Y78:Y78</xm:f>
              <xm:sqref>Y78</xm:sqref>
            </x14:sparkline>
            <x14:sparkline>
              <xm:f>'VPN4'!Z78:Z78</xm:f>
              <xm:sqref>Z78</xm:sqref>
            </x14:sparkline>
            <x14:sparkline>
              <xm:f>'VPN4'!AA78:AA78</xm:f>
              <xm:sqref>AA78</xm:sqref>
            </x14:sparkline>
            <x14:sparkline>
              <xm:f>'VPN4'!AB78:AB78</xm:f>
              <xm:sqref>AB78</xm:sqref>
            </x14:sparkline>
            <x14:sparkline>
              <xm:f>'VPN4'!AC78:AC78</xm:f>
              <xm:sqref>AC78</xm:sqref>
            </x14:sparkline>
            <x14:sparkline>
              <xm:f>'VPN4'!AD78:AD78</xm:f>
              <xm:sqref>AD78</xm:sqref>
            </x14:sparkline>
            <x14:sparkline>
              <xm:f>'VPN4'!AE78:AE78</xm:f>
              <xm:sqref>AE78</xm:sqref>
            </x14:sparkline>
            <x14:sparkline>
              <xm:f>'VPN4'!AF78:AF78</xm:f>
              <xm:sqref>AF78</xm:sqref>
            </x14:sparkline>
            <x14:sparkline>
              <xm:f>'VPN4'!AG78:AG78</xm:f>
              <xm:sqref>AG78</xm:sqref>
            </x14:sparkline>
            <x14:sparkline>
              <xm:f>'VPN4'!AH78:AH78</xm:f>
              <xm:sqref>AH78</xm:sqref>
            </x14:sparkline>
            <x14:sparkline>
              <xm:f>'VPN4'!AI78:AI78</xm:f>
              <xm:sqref>AI78</xm:sqref>
            </x14:sparkline>
            <x14:sparkline>
              <xm:f>'VPN4'!AJ78:AJ78</xm:f>
              <xm:sqref>AJ78</xm:sqref>
            </x14:sparkline>
            <x14:sparkline>
              <xm:f>'VPN4'!AK78:AK78</xm:f>
              <xm:sqref>AK78</xm:sqref>
            </x14:sparkline>
            <x14:sparkline>
              <xm:f>'VPN4'!AL78:AL78</xm:f>
              <xm:sqref>AL78</xm:sqref>
            </x14:sparkline>
            <x14:sparkline>
              <xm:f>'VPN4'!AM78:AM78</xm:f>
              <xm:sqref>AM78</xm:sqref>
            </x14:sparkline>
            <x14:sparkline>
              <xm:f>'VPN4'!AN78:AN78</xm:f>
              <xm:sqref>AN78</xm:sqref>
            </x14:sparkline>
            <x14:sparkline>
              <xm:f>'VPN4'!AO78:AO78</xm:f>
              <xm:sqref>AO78</xm:sqref>
            </x14:sparkline>
            <x14:sparkline>
              <xm:f>'VPN4'!AP78:AP78</xm:f>
              <xm:sqref>AP78</xm:sqref>
            </x14:sparkline>
            <x14:sparkline>
              <xm:f>'VPN4'!AQ78:AQ78</xm:f>
              <xm:sqref>AQ78</xm:sqref>
            </x14:sparkline>
            <x14:sparkline>
              <xm:f>'VPN4'!AR78:AR78</xm:f>
              <xm:sqref>AR78</xm:sqref>
            </x14:sparkline>
          </x14:sparklines>
        </x14:sparklineGroup>
        <x14:sparklineGroup type="line" dateAxis="1" displayEmptyCellsAs="gap" displayXAxis="1" minAxisType="group" maxAxisType="group" xr2:uid="{6480E5A3-1B73-4DE7-9678-29AE04B3DFE9}">
          <x14:colorSeries theme="9" tint="-0.24998"/>
          <x14:colorNegative theme="4"/>
          <x14:colorAxis rgb="FF000000"/>
          <x14:colorMarkers theme="4" tint="-0.24998"/>
          <x14:colorFirst theme="4" tint="-0.24998"/>
          <x14:colorLast theme="4" tint="-0.24998"/>
          <x14:colorHigh theme="4" tint="-0.24998"/>
          <x14:colorLow theme="4" tint="-0.24998"/>
          <xm:f>'VPN4'!G1:AP1</xm:f>
          <x14:sparklines>
            <x14:sparkline>
              <xm:f>'VPN4'!G79:G79</xm:f>
              <xm:sqref>G79</xm:sqref>
            </x14:sparkline>
            <x14:sparkline>
              <xm:f>'VPN4'!H79:H79</xm:f>
              <xm:sqref>H79</xm:sqref>
            </x14:sparkline>
            <x14:sparkline>
              <xm:f>'VPN4'!I79:I79</xm:f>
              <xm:sqref>I79</xm:sqref>
            </x14:sparkline>
            <x14:sparkline>
              <xm:f>'VPN4'!J79:J79</xm:f>
              <xm:sqref>J79</xm:sqref>
            </x14:sparkline>
            <x14:sparkline>
              <xm:f>'VPN4'!K79:K79</xm:f>
              <xm:sqref>K79</xm:sqref>
            </x14:sparkline>
            <x14:sparkline>
              <xm:f>'VPN4'!L79:L79</xm:f>
              <xm:sqref>L79</xm:sqref>
            </x14:sparkline>
            <x14:sparkline>
              <xm:f>'VPN4'!M79:M79</xm:f>
              <xm:sqref>M79</xm:sqref>
            </x14:sparkline>
            <x14:sparkline>
              <xm:f>'VPN4'!N79:N79</xm:f>
              <xm:sqref>N79</xm:sqref>
            </x14:sparkline>
            <x14:sparkline>
              <xm:f>'VPN4'!O79:O79</xm:f>
              <xm:sqref>O79</xm:sqref>
            </x14:sparkline>
            <x14:sparkline>
              <xm:f>'VPN4'!P79:P79</xm:f>
              <xm:sqref>P79</xm:sqref>
            </x14:sparkline>
            <x14:sparkline>
              <xm:f>'VPN4'!Q79:Q79</xm:f>
              <xm:sqref>Q79</xm:sqref>
            </x14:sparkline>
            <x14:sparkline>
              <xm:f>'VPN4'!R79:R79</xm:f>
              <xm:sqref>R79</xm:sqref>
            </x14:sparkline>
            <x14:sparkline>
              <xm:f>'VPN4'!S79:S79</xm:f>
              <xm:sqref>S79</xm:sqref>
            </x14:sparkline>
            <x14:sparkline>
              <xm:f>'VPN4'!T79:T79</xm:f>
              <xm:sqref>T79</xm:sqref>
            </x14:sparkline>
            <x14:sparkline>
              <xm:f>'VPN4'!U79:U79</xm:f>
              <xm:sqref>U79</xm:sqref>
            </x14:sparkline>
            <x14:sparkline>
              <xm:f>'VPN4'!V79:V79</xm:f>
              <xm:sqref>V79</xm:sqref>
            </x14:sparkline>
            <x14:sparkline>
              <xm:f>'VPN4'!W79:W79</xm:f>
              <xm:sqref>W79</xm:sqref>
            </x14:sparkline>
            <x14:sparkline>
              <xm:f>'VPN4'!X79:X79</xm:f>
              <xm:sqref>X79</xm:sqref>
            </x14:sparkline>
            <x14:sparkline>
              <xm:f>'VPN4'!Y79:Y79</xm:f>
              <xm:sqref>Y79</xm:sqref>
            </x14:sparkline>
            <x14:sparkline>
              <xm:f>'VPN4'!Z79:Z79</xm:f>
              <xm:sqref>Z79</xm:sqref>
            </x14:sparkline>
            <x14:sparkline>
              <xm:f>'VPN4'!AA79:AA79</xm:f>
              <xm:sqref>AA79</xm:sqref>
            </x14:sparkline>
            <x14:sparkline>
              <xm:f>'VPN4'!AB79:AB79</xm:f>
              <xm:sqref>AB79</xm:sqref>
            </x14:sparkline>
            <x14:sparkline>
              <xm:f>'VPN4'!AC79:AC79</xm:f>
              <xm:sqref>AC79</xm:sqref>
            </x14:sparkline>
            <x14:sparkline>
              <xm:f>'VPN4'!AD79:AD79</xm:f>
              <xm:sqref>AD79</xm:sqref>
            </x14:sparkline>
            <x14:sparkline>
              <xm:f>'VPN4'!AE79:AE79</xm:f>
              <xm:sqref>AE79</xm:sqref>
            </x14:sparkline>
            <x14:sparkline>
              <xm:f>'VPN4'!AF79:AF79</xm:f>
              <xm:sqref>AF79</xm:sqref>
            </x14:sparkline>
            <x14:sparkline>
              <xm:f>'VPN4'!AG79:AG79</xm:f>
              <xm:sqref>AG79</xm:sqref>
            </x14:sparkline>
            <x14:sparkline>
              <xm:f>'VPN4'!AH79:AH79</xm:f>
              <xm:sqref>AH79</xm:sqref>
            </x14:sparkline>
            <x14:sparkline>
              <xm:f>'VPN4'!AI79:AI79</xm:f>
              <xm:sqref>AI79</xm:sqref>
            </x14:sparkline>
            <x14:sparkline>
              <xm:f>'VPN4'!AJ79:AJ79</xm:f>
              <xm:sqref>AJ79</xm:sqref>
            </x14:sparkline>
            <x14:sparkline>
              <xm:f>'VPN4'!AK79:AK79</xm:f>
              <xm:sqref>AK79</xm:sqref>
            </x14:sparkline>
            <x14:sparkline>
              <xm:f>'VPN4'!AL79:AL79</xm:f>
              <xm:sqref>AL79</xm:sqref>
            </x14:sparkline>
            <x14:sparkline>
              <xm:f>'VPN4'!AM79:AM79</xm:f>
              <xm:sqref>AM79</xm:sqref>
            </x14:sparkline>
            <x14:sparkline>
              <xm:f>'VPN4'!AN79:AN79</xm:f>
              <xm:sqref>AN79</xm:sqref>
            </x14:sparkline>
            <x14:sparkline>
              <xm:f>'VPN4'!AO79:AO79</xm:f>
              <xm:sqref>AO79</xm:sqref>
            </x14:sparkline>
            <x14:sparkline>
              <xm:f>'VPN4'!AP79:AP79</xm:f>
              <xm:sqref>AP79</xm:sqref>
            </x14:sparkline>
            <x14:sparkline>
              <xm:f>'VPN4'!AQ79:AQ79</xm:f>
              <xm:sqref>AQ79</xm:sqref>
            </x14:sparkline>
            <x14:sparkline>
              <xm:f>'VPN4'!AR79:AR79</xm:f>
              <xm:sqref>AR79</xm:sqref>
            </x14:sparkline>
          </x14:sparklines>
        </x14:sparklineGroup>
      </x14:sparklineGroups>
    </x:ext>
    <x:ext xmlns:x14="http://schemas.microsoft.com/office/spreadsheetml/2009/9/main" xmlns:xm="http://schemas.microsoft.com/office/excel/2006/main" uri="{78C0D931-6437-407d-A8EE-F0AAD7539E65}">
      <x14:conditionalFormattings>
        <x14:conditionalFormatting>
          <x14:cfRule type="dataBar" priority="3" id="{D1A52B45-B0CC-49DC-A8D9-998A4D29F9CE}">
            <x14:dataBar minLength="0" maxLength="100" border="1" negativeBarBorderColorSameAsPositive="0">
              <x14:cfvo type="autoMin"/>
              <x14:cfvo type="autoMax"/>
              <x14:fillColor rgb="FF3FD185"/>
              <x14:borderColor rgb="FF638EC6"/>
              <x14:negativeFillColor rgb="FFFF0000"/>
              <x14:negativeBorderColor rgb="FFFF0000"/>
              <x14:axisColor rgb="FF000000"/>
            </x14:dataBar>
          </x14:cfRule>
          <xm:sqref>G46:AR77</xm:sqref>
        </x14:conditionalFormatting>
      </x14:conditionalFormattings>
    </x:ext>
  </x:extLst>
</x:worksheet>
</file>