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LMUNOZR\7.CALCULO COMISIONES\UAC\2017\03.MARZO\"/>
    </mc:Choice>
  </mc:AlternateContent>
  <bookViews>
    <workbookView xWindow="0" yWindow="0" windowWidth="20490" windowHeight="7155" tabRatio="840"/>
  </bookViews>
  <sheets>
    <sheet name="ESPECIALISTA" sheetId="1" r:id="rId1"/>
    <sheet name="SUPERVISOR - JEFE" sheetId="8" r:id="rId2"/>
    <sheet name="EQUIPO" sheetId="5" r:id="rId3"/>
    <sheet name="Homologacion" sheetId="3" state="hidden" r:id="rId4"/>
    <sheet name="TABLA" sheetId="7" state="hidden" r:id="rId5"/>
    <sheet name="PRODUCTIVIDAD UAC" sheetId="14" r:id="rId6"/>
    <sheet name="SLA UAC" sheetId="17" r:id="rId7"/>
    <sheet name="CALIDAD" sheetId="19" r:id="rId8"/>
  </sheets>
  <definedNames>
    <definedName name="_xlnm._FilterDatabase" localSheetId="7" hidden="1">CALIDAD!$A$2:$AI$28</definedName>
    <definedName name="_xlnm._FilterDatabase" localSheetId="0" hidden="1">ESPECIALISTA!$A$7:$AD$68</definedName>
    <definedName name="_xlnm._FilterDatabase" localSheetId="3" hidden="1">Homologacion!$A$1:$H$134</definedName>
    <definedName name="_xlnm._FilterDatabase" localSheetId="5" hidden="1">'PRODUCTIVIDAD UAC'!$A$20:$I$82</definedName>
    <definedName name="_xlnm._FilterDatabase" localSheetId="6" hidden="1">'SLA UAC'!$G$77:$J$77</definedName>
    <definedName name="_xlnm._FilterDatabase" localSheetId="1" hidden="1">'SUPERVISOR - JEFE'!$A$7:$U$7</definedName>
  </definedNames>
  <calcPr calcId="152511"/>
  <pivotCaches>
    <pivotCache cacheId="236" r:id="rId9"/>
    <pivotCache cacheId="237" r:id="rId10"/>
    <pivotCache cacheId="238" r:id="rId11"/>
    <pivotCache cacheId="239" r:id="rId12"/>
  </pivotCaches>
</workbook>
</file>

<file path=xl/calcChain.xml><?xml version="1.0" encoding="utf-8"?>
<calcChain xmlns="http://schemas.openxmlformats.org/spreadsheetml/2006/main">
  <c r="Z67" i="1" l="1"/>
  <c r="S9" i="1" l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AN4" i="19"/>
  <c r="AN5" i="19"/>
  <c r="AN6" i="19"/>
  <c r="AN7" i="19"/>
  <c r="AN8" i="19"/>
  <c r="AN9" i="19"/>
  <c r="AN10" i="19"/>
  <c r="AN11" i="19"/>
  <c r="AN12" i="19"/>
  <c r="AN13" i="19"/>
  <c r="AN14" i="19"/>
  <c r="AN15" i="19"/>
  <c r="AN16" i="19"/>
  <c r="AN17" i="19"/>
  <c r="AN18" i="19"/>
  <c r="AN19" i="19"/>
  <c r="AN20" i="19"/>
  <c r="AN21" i="19"/>
  <c r="AN22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3" i="19"/>
  <c r="K9" i="1" l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E60" i="17"/>
  <c r="E61" i="17"/>
  <c r="E62" i="17"/>
  <c r="E63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P79" i="14"/>
  <c r="P78" i="14"/>
  <c r="D82" i="14"/>
  <c r="E82" i="14"/>
  <c r="F82" i="14"/>
  <c r="G82" i="14"/>
  <c r="P76" i="14"/>
  <c r="P77" i="14"/>
  <c r="I78" i="14"/>
  <c r="I79" i="14"/>
  <c r="I80" i="14"/>
  <c r="I81" i="14"/>
  <c r="H78" i="14"/>
  <c r="H79" i="14"/>
  <c r="H80" i="14"/>
  <c r="H81" i="14"/>
  <c r="G81" i="14"/>
  <c r="G80" i="14"/>
  <c r="G79" i="14"/>
  <c r="G78" i="14"/>
  <c r="E46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I74" i="14"/>
  <c r="I75" i="14"/>
  <c r="I76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F77" i="14"/>
  <c r="C77" i="14"/>
  <c r="D77" i="14"/>
  <c r="G74" i="14"/>
  <c r="G75" i="14"/>
  <c r="G76" i="14"/>
  <c r="I59" i="1" l="1"/>
  <c r="J59" i="1" s="1"/>
  <c r="I51" i="1"/>
  <c r="J51" i="1" s="1"/>
  <c r="I43" i="1"/>
  <c r="J43" i="1" s="1"/>
  <c r="I35" i="1"/>
  <c r="J35" i="1" s="1"/>
  <c r="I66" i="1"/>
  <c r="I64" i="1"/>
  <c r="I62" i="1"/>
  <c r="J62" i="1" s="1"/>
  <c r="I60" i="1"/>
  <c r="J60" i="1" s="1"/>
  <c r="I58" i="1"/>
  <c r="J58" i="1" s="1"/>
  <c r="I56" i="1"/>
  <c r="J56" i="1" s="1"/>
  <c r="I54" i="1"/>
  <c r="J54" i="1" s="1"/>
  <c r="I52" i="1"/>
  <c r="J52" i="1" s="1"/>
  <c r="I50" i="1"/>
  <c r="J50" i="1" s="1"/>
  <c r="I48" i="1"/>
  <c r="J48" i="1" s="1"/>
  <c r="I46" i="1"/>
  <c r="J46" i="1" s="1"/>
  <c r="I44" i="1"/>
  <c r="J44" i="1" s="1"/>
  <c r="I42" i="1"/>
  <c r="J42" i="1" s="1"/>
  <c r="I40" i="1"/>
  <c r="J40" i="1" s="1"/>
  <c r="I38" i="1"/>
  <c r="J38" i="1" s="1"/>
  <c r="I36" i="1"/>
  <c r="J36" i="1" s="1"/>
  <c r="I34" i="1"/>
  <c r="J34" i="1" s="1"/>
  <c r="I32" i="1"/>
  <c r="J32" i="1" s="1"/>
  <c r="I30" i="1"/>
  <c r="J30" i="1" s="1"/>
  <c r="I28" i="1"/>
  <c r="J28" i="1" s="1"/>
  <c r="I26" i="1"/>
  <c r="J26" i="1" s="1"/>
  <c r="I24" i="1"/>
  <c r="J24" i="1" s="1"/>
  <c r="I22" i="1"/>
  <c r="J22" i="1" s="1"/>
  <c r="I20" i="1"/>
  <c r="J20" i="1" s="1"/>
  <c r="I18" i="1"/>
  <c r="J18" i="1" s="1"/>
  <c r="I16" i="1"/>
  <c r="J16" i="1" s="1"/>
  <c r="I14" i="1"/>
  <c r="J14" i="1" s="1"/>
  <c r="I12" i="1"/>
  <c r="J12" i="1" s="1"/>
  <c r="I10" i="1"/>
  <c r="J10" i="1" s="1"/>
  <c r="M51" i="1"/>
  <c r="N51" i="1" s="1"/>
  <c r="M19" i="1"/>
  <c r="N19" i="1" s="1"/>
  <c r="M65" i="1"/>
  <c r="M49" i="1"/>
  <c r="N49" i="1" s="1"/>
  <c r="M35" i="1"/>
  <c r="N35" i="1" s="1"/>
  <c r="M33" i="1"/>
  <c r="N33" i="1" s="1"/>
  <c r="M17" i="1"/>
  <c r="N17" i="1" s="1"/>
  <c r="M66" i="1"/>
  <c r="M64" i="1"/>
  <c r="M62" i="1"/>
  <c r="N62" i="1" s="1"/>
  <c r="M60" i="1"/>
  <c r="N60" i="1" s="1"/>
  <c r="M58" i="1"/>
  <c r="N58" i="1" s="1"/>
  <c r="M56" i="1"/>
  <c r="N56" i="1" s="1"/>
  <c r="M54" i="1"/>
  <c r="N54" i="1" s="1"/>
  <c r="M52" i="1"/>
  <c r="N52" i="1" s="1"/>
  <c r="M50" i="1"/>
  <c r="N50" i="1" s="1"/>
  <c r="M48" i="1"/>
  <c r="N48" i="1" s="1"/>
  <c r="M46" i="1"/>
  <c r="N46" i="1" s="1"/>
  <c r="M44" i="1"/>
  <c r="N44" i="1" s="1"/>
  <c r="M42" i="1"/>
  <c r="N42" i="1" s="1"/>
  <c r="M40" i="1"/>
  <c r="N40" i="1" s="1"/>
  <c r="M38" i="1"/>
  <c r="N38" i="1" s="1"/>
  <c r="M36" i="1"/>
  <c r="N36" i="1" s="1"/>
  <c r="M34" i="1"/>
  <c r="N34" i="1" s="1"/>
  <c r="M32" i="1"/>
  <c r="N32" i="1" s="1"/>
  <c r="M30" i="1"/>
  <c r="N30" i="1" s="1"/>
  <c r="M28" i="1"/>
  <c r="N28" i="1" s="1"/>
  <c r="M26" i="1"/>
  <c r="N26" i="1" s="1"/>
  <c r="M24" i="1"/>
  <c r="N24" i="1" s="1"/>
  <c r="M22" i="1"/>
  <c r="N22" i="1" s="1"/>
  <c r="M20" i="1"/>
  <c r="N20" i="1" s="1"/>
  <c r="M18" i="1"/>
  <c r="N18" i="1" s="1"/>
  <c r="M16" i="1"/>
  <c r="N16" i="1" s="1"/>
  <c r="M14" i="1"/>
  <c r="N14" i="1" s="1"/>
  <c r="M12" i="1"/>
  <c r="N12" i="1" s="1"/>
  <c r="M10" i="1"/>
  <c r="N10" i="1" s="1"/>
  <c r="I65" i="1"/>
  <c r="I63" i="1"/>
  <c r="J63" i="1" s="1"/>
  <c r="I61" i="1"/>
  <c r="J61" i="1" s="1"/>
  <c r="I57" i="1"/>
  <c r="J57" i="1" s="1"/>
  <c r="I55" i="1"/>
  <c r="J55" i="1" s="1"/>
  <c r="I53" i="1"/>
  <c r="J53" i="1" s="1"/>
  <c r="I49" i="1"/>
  <c r="J49" i="1" s="1"/>
  <c r="I47" i="1"/>
  <c r="J47" i="1" s="1"/>
  <c r="I45" i="1"/>
  <c r="J45" i="1" s="1"/>
  <c r="I41" i="1"/>
  <c r="J41" i="1" s="1"/>
  <c r="I39" i="1"/>
  <c r="J39" i="1" s="1"/>
  <c r="I37" i="1"/>
  <c r="J37" i="1" s="1"/>
  <c r="I33" i="1"/>
  <c r="J33" i="1" s="1"/>
  <c r="I31" i="1"/>
  <c r="J31" i="1" s="1"/>
  <c r="I29" i="1"/>
  <c r="J29" i="1" s="1"/>
  <c r="I27" i="1"/>
  <c r="J27" i="1" s="1"/>
  <c r="I25" i="1"/>
  <c r="J25" i="1" s="1"/>
  <c r="I23" i="1"/>
  <c r="J23" i="1" s="1"/>
  <c r="I21" i="1"/>
  <c r="J21" i="1" s="1"/>
  <c r="I19" i="1"/>
  <c r="J19" i="1" s="1"/>
  <c r="I17" i="1"/>
  <c r="J17" i="1" s="1"/>
  <c r="I15" i="1"/>
  <c r="J15" i="1" s="1"/>
  <c r="I13" i="1"/>
  <c r="J13" i="1" s="1"/>
  <c r="I11" i="1"/>
  <c r="J11" i="1" s="1"/>
  <c r="I9" i="1"/>
  <c r="J9" i="1" s="1"/>
  <c r="M63" i="1"/>
  <c r="N63" i="1" s="1"/>
  <c r="M61" i="1"/>
  <c r="N61" i="1" s="1"/>
  <c r="M59" i="1"/>
  <c r="N59" i="1" s="1"/>
  <c r="M57" i="1"/>
  <c r="N57" i="1" s="1"/>
  <c r="M55" i="1"/>
  <c r="N55" i="1" s="1"/>
  <c r="M53" i="1"/>
  <c r="N53" i="1" s="1"/>
  <c r="M47" i="1"/>
  <c r="N47" i="1" s="1"/>
  <c r="M45" i="1"/>
  <c r="N45" i="1" s="1"/>
  <c r="M43" i="1"/>
  <c r="N43" i="1" s="1"/>
  <c r="M41" i="1"/>
  <c r="N41" i="1" s="1"/>
  <c r="M39" i="1"/>
  <c r="N39" i="1" s="1"/>
  <c r="M37" i="1"/>
  <c r="N37" i="1" s="1"/>
  <c r="M31" i="1"/>
  <c r="N31" i="1" s="1"/>
  <c r="M29" i="1"/>
  <c r="N29" i="1" s="1"/>
  <c r="M27" i="1"/>
  <c r="N27" i="1" s="1"/>
  <c r="M25" i="1"/>
  <c r="N25" i="1" s="1"/>
  <c r="M23" i="1"/>
  <c r="N23" i="1" s="1"/>
  <c r="M21" i="1"/>
  <c r="N21" i="1" s="1"/>
  <c r="M15" i="1"/>
  <c r="N15" i="1" s="1"/>
  <c r="M13" i="1"/>
  <c r="N13" i="1" s="1"/>
  <c r="M11" i="1"/>
  <c r="N11" i="1" s="1"/>
  <c r="M9" i="1"/>
  <c r="N9" i="1" s="1"/>
  <c r="P65" i="1"/>
  <c r="P66" i="1"/>
  <c r="P64" i="1"/>
  <c r="Z68" i="1"/>
  <c r="N65" i="1" l="1"/>
  <c r="J65" i="1"/>
  <c r="Y65" i="1"/>
  <c r="N64" i="1"/>
  <c r="J64" i="1"/>
  <c r="Y64" i="1"/>
  <c r="N66" i="1"/>
  <c r="J66" i="1"/>
  <c r="O66" i="1" s="1"/>
  <c r="Q66" i="1" s="1"/>
  <c r="R66" i="1" s="1"/>
  <c r="X66" i="1" s="1"/>
  <c r="Y66" i="1"/>
  <c r="Y60" i="1"/>
  <c r="Y61" i="1"/>
  <c r="E67" i="1"/>
  <c r="Y67" i="1" s="1"/>
  <c r="E68" i="1"/>
  <c r="D67" i="1"/>
  <c r="D68" i="1"/>
  <c r="Z66" i="1" l="1"/>
  <c r="O65" i="1"/>
  <c r="Q65" i="1" s="1"/>
  <c r="R65" i="1" s="1"/>
  <c r="X65" i="1" s="1"/>
  <c r="Z65" i="1" s="1"/>
  <c r="O64" i="1"/>
  <c r="Q64" i="1" s="1"/>
  <c r="R64" i="1" s="1"/>
  <c r="X64" i="1" s="1"/>
  <c r="Z64" i="1" s="1"/>
  <c r="H106" i="17"/>
  <c r="I106" i="17" l="1"/>
  <c r="J106" i="17"/>
  <c r="S8" i="1" l="1"/>
  <c r="Y21" i="1" l="1"/>
  <c r="Y29" i="1"/>
  <c r="Y59" i="1"/>
  <c r="Y43" i="1"/>
  <c r="Y35" i="1"/>
  <c r="Y27" i="1"/>
  <c r="Y19" i="1"/>
  <c r="Y11" i="1"/>
  <c r="Y55" i="1"/>
  <c r="Y47" i="1"/>
  <c r="Y23" i="1"/>
  <c r="Y15" i="1"/>
  <c r="Y58" i="1"/>
  <c r="Y54" i="1"/>
  <c r="Y50" i="1"/>
  <c r="Y46" i="1"/>
  <c r="Y38" i="1"/>
  <c r="Y34" i="1"/>
  <c r="Y30" i="1"/>
  <c r="Y28" i="1"/>
  <c r="Y26" i="1"/>
  <c r="Y24" i="1"/>
  <c r="Y22" i="1"/>
  <c r="Y20" i="1"/>
  <c r="Y18" i="1"/>
  <c r="Y16" i="1"/>
  <c r="Y14" i="1"/>
  <c r="Y10" i="1"/>
  <c r="Y52" i="1"/>
  <c r="Y44" i="1"/>
  <c r="Y56" i="1"/>
  <c r="Y48" i="1"/>
  <c r="Y40" i="1"/>
  <c r="Y32" i="1"/>
  <c r="Y57" i="1"/>
  <c r="Y49" i="1"/>
  <c r="Y45" i="1"/>
  <c r="Y41" i="1"/>
  <c r="Y37" i="1"/>
  <c r="Y33" i="1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X20" i="1" l="1"/>
  <c r="Z20" i="1" s="1"/>
  <c r="Y9" i="1"/>
  <c r="Y13" i="1"/>
  <c r="C70" i="17" l="1"/>
  <c r="D70" i="17"/>
  <c r="B70" i="17"/>
  <c r="H107" i="17" s="1"/>
  <c r="P15" i="1" l="1"/>
  <c r="O15" i="1" l="1"/>
  <c r="Q15" i="1" l="1"/>
  <c r="R15" i="1" s="1"/>
  <c r="X15" i="1" s="1"/>
  <c r="Z15" i="1" s="1"/>
  <c r="O67" i="1"/>
  <c r="P67" i="1"/>
  <c r="O68" i="1"/>
  <c r="P68" i="1"/>
  <c r="E8" i="1"/>
  <c r="D8" i="1"/>
  <c r="Q68" i="1" l="1"/>
  <c r="R68" i="1" s="1"/>
  <c r="Q67" i="1"/>
  <c r="R67" i="1" s="1"/>
  <c r="O62" i="1"/>
  <c r="O60" i="1"/>
  <c r="O58" i="1"/>
  <c r="O56" i="1"/>
  <c r="O54" i="1"/>
  <c r="O52" i="1"/>
  <c r="O48" i="1"/>
  <c r="O46" i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10" i="1"/>
  <c r="P62" i="1"/>
  <c r="P63" i="1"/>
  <c r="P61" i="1"/>
  <c r="P59" i="1"/>
  <c r="P57" i="1"/>
  <c r="P55" i="1"/>
  <c r="P53" i="1"/>
  <c r="P51" i="1"/>
  <c r="P47" i="1"/>
  <c r="P43" i="1"/>
  <c r="P41" i="1"/>
  <c r="P37" i="1"/>
  <c r="P31" i="1"/>
  <c r="P27" i="1"/>
  <c r="P25" i="1"/>
  <c r="P21" i="1"/>
  <c r="P11" i="1"/>
  <c r="P9" i="1"/>
  <c r="P49" i="1"/>
  <c r="P45" i="1"/>
  <c r="P39" i="1"/>
  <c r="P35" i="1"/>
  <c r="P33" i="1"/>
  <c r="P29" i="1"/>
  <c r="P23" i="1"/>
  <c r="P19" i="1"/>
  <c r="P17" i="1"/>
  <c r="P13" i="1"/>
  <c r="P54" i="1"/>
  <c r="P60" i="1"/>
  <c r="P58" i="1"/>
  <c r="P56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Q16" i="1" l="1"/>
  <c r="R16" i="1" s="1"/>
  <c r="X16" i="1" s="1"/>
  <c r="Z16" i="1" s="1"/>
  <c r="Q24" i="1"/>
  <c r="R24" i="1" s="1"/>
  <c r="X24" i="1" s="1"/>
  <c r="Z24" i="1" s="1"/>
  <c r="Q32" i="1"/>
  <c r="R32" i="1" s="1"/>
  <c r="X32" i="1" s="1"/>
  <c r="Z32" i="1" s="1"/>
  <c r="Q40" i="1"/>
  <c r="R40" i="1" s="1"/>
  <c r="X40" i="1" s="1"/>
  <c r="Z40" i="1" s="1"/>
  <c r="Q60" i="1"/>
  <c r="R60" i="1" s="1"/>
  <c r="X60" i="1" s="1"/>
  <c r="Z60" i="1" s="1"/>
  <c r="Q10" i="1"/>
  <c r="R10" i="1" s="1"/>
  <c r="Q18" i="1"/>
  <c r="R18" i="1" s="1"/>
  <c r="X18" i="1" s="1"/>
  <c r="Z18" i="1" s="1"/>
  <c r="Q26" i="1"/>
  <c r="R26" i="1" s="1"/>
  <c r="X26" i="1" s="1"/>
  <c r="Z26" i="1" s="1"/>
  <c r="Q34" i="1"/>
  <c r="R34" i="1" s="1"/>
  <c r="X34" i="1" s="1"/>
  <c r="Z34" i="1" s="1"/>
  <c r="Q42" i="1"/>
  <c r="R42" i="1" s="1"/>
  <c r="X42" i="1" s="1"/>
  <c r="Q52" i="1"/>
  <c r="R52" i="1" s="1"/>
  <c r="X52" i="1" s="1"/>
  <c r="Z52" i="1" s="1"/>
  <c r="Q54" i="1"/>
  <c r="R54" i="1" s="1"/>
  <c r="X54" i="1" s="1"/>
  <c r="Z54" i="1" s="1"/>
  <c r="Q62" i="1"/>
  <c r="R62" i="1" s="1"/>
  <c r="X62" i="1" s="1"/>
  <c r="Q12" i="1"/>
  <c r="R12" i="1" s="1"/>
  <c r="X12" i="1" s="1"/>
  <c r="Q20" i="1"/>
  <c r="R20" i="1" s="1"/>
  <c r="Q28" i="1"/>
  <c r="R28" i="1" s="1"/>
  <c r="X28" i="1" s="1"/>
  <c r="Z28" i="1" s="1"/>
  <c r="Q36" i="1"/>
  <c r="R36" i="1" s="1"/>
  <c r="X36" i="1" s="1"/>
  <c r="Q46" i="1"/>
  <c r="R46" i="1" s="1"/>
  <c r="X46" i="1" s="1"/>
  <c r="Z46" i="1" s="1"/>
  <c r="Q56" i="1"/>
  <c r="R56" i="1" s="1"/>
  <c r="X56" i="1" s="1"/>
  <c r="Z56" i="1" s="1"/>
  <c r="Q14" i="1"/>
  <c r="R14" i="1" s="1"/>
  <c r="X14" i="1" s="1"/>
  <c r="Z14" i="1" s="1"/>
  <c r="Q22" i="1"/>
  <c r="R22" i="1" s="1"/>
  <c r="X22" i="1" s="1"/>
  <c r="Z22" i="1" s="1"/>
  <c r="Q30" i="1"/>
  <c r="R30" i="1" s="1"/>
  <c r="Q38" i="1"/>
  <c r="R38" i="1" s="1"/>
  <c r="Q48" i="1"/>
  <c r="R48" i="1" s="1"/>
  <c r="X48" i="1" s="1"/>
  <c r="Z48" i="1" s="1"/>
  <c r="Q58" i="1"/>
  <c r="R58" i="1" s="1"/>
  <c r="X58" i="1" s="1"/>
  <c r="Z58" i="1" s="1"/>
  <c r="X30" i="1"/>
  <c r="Z30" i="1" s="1"/>
  <c r="X38" i="1"/>
  <c r="Z38" i="1" s="1"/>
  <c r="X10" i="1"/>
  <c r="Z10" i="1" s="1"/>
  <c r="O44" i="1"/>
  <c r="O50" i="1"/>
  <c r="O25" i="1"/>
  <c r="Q25" i="1" s="1"/>
  <c r="R25" i="1" s="1"/>
  <c r="O23" i="1"/>
  <c r="Q23" i="1" s="1"/>
  <c r="R23" i="1" s="1"/>
  <c r="O31" i="1"/>
  <c r="Q31" i="1" s="1"/>
  <c r="R31" i="1" s="1"/>
  <c r="O39" i="1"/>
  <c r="Q39" i="1" s="1"/>
  <c r="R39" i="1" s="1"/>
  <c r="O47" i="1"/>
  <c r="O55" i="1"/>
  <c r="Q55" i="1" s="1"/>
  <c r="R55" i="1" s="1"/>
  <c r="O63" i="1"/>
  <c r="Q63" i="1" s="1"/>
  <c r="R63" i="1" s="1"/>
  <c r="O9" i="1"/>
  <c r="Q9" i="1" s="1"/>
  <c r="R9" i="1" s="1"/>
  <c r="O17" i="1"/>
  <c r="Q17" i="1" s="1"/>
  <c r="R17" i="1" s="1"/>
  <c r="O33" i="1"/>
  <c r="Q33" i="1" s="1"/>
  <c r="R33" i="1" s="1"/>
  <c r="O41" i="1"/>
  <c r="Q41" i="1" s="1"/>
  <c r="R41" i="1" s="1"/>
  <c r="O49" i="1"/>
  <c r="O57" i="1"/>
  <c r="Q57" i="1" s="1"/>
  <c r="R57" i="1" s="1"/>
  <c r="O13" i="1"/>
  <c r="Q13" i="1" s="1"/>
  <c r="R13" i="1" s="1"/>
  <c r="O21" i="1"/>
  <c r="O29" i="1"/>
  <c r="Q29" i="1" s="1"/>
  <c r="R29" i="1" s="1"/>
  <c r="O37" i="1"/>
  <c r="Q37" i="1" s="1"/>
  <c r="R37" i="1" s="1"/>
  <c r="O45" i="1"/>
  <c r="Q45" i="1" s="1"/>
  <c r="R45" i="1" s="1"/>
  <c r="O53" i="1"/>
  <c r="Q53" i="1" s="1"/>
  <c r="R53" i="1" s="1"/>
  <c r="O61" i="1"/>
  <c r="Q61" i="1" s="1"/>
  <c r="R61" i="1" s="1"/>
  <c r="O11" i="1"/>
  <c r="Q11" i="1" s="1"/>
  <c r="R11" i="1" s="1"/>
  <c r="O19" i="1"/>
  <c r="Q19" i="1" s="1"/>
  <c r="R19" i="1" s="1"/>
  <c r="O27" i="1"/>
  <c r="Q27" i="1" s="1"/>
  <c r="R27" i="1" s="1"/>
  <c r="O35" i="1"/>
  <c r="Q35" i="1" s="1"/>
  <c r="R35" i="1" s="1"/>
  <c r="O43" i="1"/>
  <c r="Q43" i="1" s="1"/>
  <c r="R43" i="1" s="1"/>
  <c r="O51" i="1"/>
  <c r="Q51" i="1" s="1"/>
  <c r="R51" i="1" s="1"/>
  <c r="O59" i="1"/>
  <c r="Q59" i="1" s="1"/>
  <c r="R59" i="1" s="1"/>
  <c r="Q49" i="1" l="1"/>
  <c r="R49" i="1" s="1"/>
  <c r="X49" i="1" s="1"/>
  <c r="Z49" i="1" s="1"/>
  <c r="Q50" i="1"/>
  <c r="R50" i="1" s="1"/>
  <c r="X50" i="1" s="1"/>
  <c r="Z50" i="1" s="1"/>
  <c r="Q21" i="1"/>
  <c r="R21" i="1" s="1"/>
  <c r="X21" i="1" s="1"/>
  <c r="Z21" i="1" s="1"/>
  <c r="Q44" i="1"/>
  <c r="R44" i="1" s="1"/>
  <c r="X44" i="1" s="1"/>
  <c r="Z44" i="1" s="1"/>
  <c r="Q47" i="1"/>
  <c r="R47" i="1" s="1"/>
  <c r="X47" i="1" s="1"/>
  <c r="Z47" i="1" s="1"/>
  <c r="X59" i="1"/>
  <c r="Z59" i="1" s="1"/>
  <c r="X27" i="1"/>
  <c r="Z27" i="1" s="1"/>
  <c r="X45" i="1"/>
  <c r="Z45" i="1" s="1"/>
  <c r="X13" i="1"/>
  <c r="Z13" i="1" s="1"/>
  <c r="X41" i="1"/>
  <c r="Z41" i="1" s="1"/>
  <c r="X51" i="1"/>
  <c r="X19" i="1"/>
  <c r="Z19" i="1" s="1"/>
  <c r="X37" i="1"/>
  <c r="Z37" i="1" s="1"/>
  <c r="X33" i="1"/>
  <c r="Z33" i="1" s="1"/>
  <c r="X39" i="1"/>
  <c r="X43" i="1"/>
  <c r="Z43" i="1" s="1"/>
  <c r="X11" i="1"/>
  <c r="Z11" i="1" s="1"/>
  <c r="X61" i="1"/>
  <c r="Z61" i="1" s="1"/>
  <c r="X29" i="1"/>
  <c r="Z29" i="1" s="1"/>
  <c r="X57" i="1"/>
  <c r="Z57" i="1" s="1"/>
  <c r="X17" i="1"/>
  <c r="X9" i="1"/>
  <c r="Z9" i="1" s="1"/>
  <c r="X63" i="1"/>
  <c r="X31" i="1"/>
  <c r="X35" i="1"/>
  <c r="Z35" i="1" s="1"/>
  <c r="X53" i="1"/>
  <c r="X55" i="1"/>
  <c r="Z55" i="1" s="1"/>
  <c r="X23" i="1"/>
  <c r="Z23" i="1" s="1"/>
  <c r="X25" i="1"/>
  <c r="E17" i="5" l="1"/>
  <c r="K8" i="1" l="1"/>
  <c r="L8" i="1"/>
  <c r="G8" i="1"/>
  <c r="H8" i="1"/>
  <c r="Y68" i="1"/>
  <c r="I8" i="1" l="1"/>
  <c r="M8" i="1"/>
  <c r="AN3" i="19" l="1"/>
  <c r="I21" i="14" l="1"/>
  <c r="N8" i="1" l="1"/>
  <c r="J8" i="1"/>
  <c r="E77" i="14"/>
  <c r="T8" i="1" l="1"/>
  <c r="G21" i="14"/>
  <c r="G77" i="14" s="1"/>
  <c r="P8" i="1" l="1"/>
  <c r="C82" i="14"/>
  <c r="P21" i="14"/>
  <c r="O8" i="1" l="1"/>
  <c r="Q8" i="1" l="1"/>
  <c r="R8" i="1" s="1"/>
  <c r="X8" i="1" s="1"/>
  <c r="D84" i="14" l="1"/>
  <c r="C84" i="14"/>
  <c r="F84" i="14" l="1"/>
  <c r="G84" i="14" l="1"/>
  <c r="E7" i="5" l="1"/>
  <c r="E8" i="5"/>
  <c r="E9" i="5"/>
  <c r="E10" i="5"/>
  <c r="E11" i="5"/>
  <c r="E12" i="5"/>
  <c r="E13" i="5"/>
  <c r="E14" i="5"/>
  <c r="E15" i="5"/>
  <c r="E16" i="5"/>
  <c r="B8" i="8" l="1"/>
  <c r="B9" i="8"/>
  <c r="B10" i="8"/>
  <c r="B11" i="8"/>
  <c r="E4" i="17" l="1"/>
  <c r="X6" i="1" l="1"/>
  <c r="H21" i="14"/>
  <c r="A66" i="1" l="1"/>
  <c r="A62" i="1"/>
  <c r="A9" i="1"/>
  <c r="A12" i="1"/>
  <c r="A17" i="1"/>
  <c r="A20" i="1"/>
  <c r="A25" i="1"/>
  <c r="A28" i="1"/>
  <c r="A33" i="1"/>
  <c r="A36" i="1"/>
  <c r="A41" i="1"/>
  <c r="A44" i="1"/>
  <c r="A49" i="1"/>
  <c r="A52" i="1"/>
  <c r="A57" i="1"/>
  <c r="Q22" i="14"/>
  <c r="R22" i="14" s="1"/>
  <c r="Q26" i="14"/>
  <c r="Q30" i="14"/>
  <c r="R30" i="14" s="1"/>
  <c r="Q34" i="14"/>
  <c r="R34" i="14" s="1"/>
  <c r="Q38" i="14"/>
  <c r="R38" i="14" s="1"/>
  <c r="Q42" i="14"/>
  <c r="R42" i="14" s="1"/>
  <c r="Q46" i="14"/>
  <c r="Q50" i="14"/>
  <c r="R50" i="14" s="1"/>
  <c r="Q54" i="14"/>
  <c r="R54" i="14" s="1"/>
  <c r="Q58" i="14"/>
  <c r="R58" i="14" s="1"/>
  <c r="Q62" i="14"/>
  <c r="R62" i="14" s="1"/>
  <c r="Q66" i="14"/>
  <c r="R66" i="14" s="1"/>
  <c r="Q70" i="14"/>
  <c r="R70" i="14" s="1"/>
  <c r="Q74" i="14"/>
  <c r="R74" i="14" s="1"/>
  <c r="Q78" i="14"/>
  <c r="R78" i="14" s="1"/>
  <c r="S79" i="14"/>
  <c r="S23" i="14"/>
  <c r="S27" i="14"/>
  <c r="S31" i="14"/>
  <c r="S35" i="14"/>
  <c r="S39" i="14"/>
  <c r="S43" i="14"/>
  <c r="S47" i="14"/>
  <c r="S51" i="14"/>
  <c r="S55" i="14"/>
  <c r="S59" i="14"/>
  <c r="S63" i="14"/>
  <c r="S67" i="14"/>
  <c r="S71" i="14"/>
  <c r="S75" i="14"/>
  <c r="Q24" i="14"/>
  <c r="R24" i="14" s="1"/>
  <c r="Q32" i="14"/>
  <c r="R32" i="14" s="1"/>
  <c r="Q40" i="14"/>
  <c r="R40" i="14" s="1"/>
  <c r="Q48" i="14"/>
  <c r="R48" i="14" s="1"/>
  <c r="Q56" i="14"/>
  <c r="R56" i="14" s="1"/>
  <c r="Q64" i="14"/>
  <c r="R64" i="14" s="1"/>
  <c r="Q72" i="14"/>
  <c r="R72" i="14" s="1"/>
  <c r="Q21" i="14"/>
  <c r="R21" i="14" s="1"/>
  <c r="S25" i="14"/>
  <c r="S33" i="14"/>
  <c r="S41" i="14"/>
  <c r="S49" i="14"/>
  <c r="S57" i="14"/>
  <c r="A64" i="1"/>
  <c r="A63" i="1"/>
  <c r="A10" i="1"/>
  <c r="A15" i="1"/>
  <c r="A18" i="1"/>
  <c r="A23" i="1"/>
  <c r="A26" i="1"/>
  <c r="A31" i="1"/>
  <c r="A34" i="1"/>
  <c r="A39" i="1"/>
  <c r="A42" i="1"/>
  <c r="A47" i="1"/>
  <c r="A50" i="1"/>
  <c r="A55" i="1"/>
  <c r="A58" i="1"/>
  <c r="Q23" i="14"/>
  <c r="R23" i="14" s="1"/>
  <c r="Q27" i="14"/>
  <c r="R27" i="14" s="1"/>
  <c r="Q31" i="14"/>
  <c r="R31" i="14" s="1"/>
  <c r="Q35" i="14"/>
  <c r="R35" i="14" s="1"/>
  <c r="Q39" i="14"/>
  <c r="R39" i="14" s="1"/>
  <c r="Q43" i="14"/>
  <c r="R43" i="14" s="1"/>
  <c r="Q47" i="14"/>
  <c r="R47" i="14" s="1"/>
  <c r="Q51" i="14"/>
  <c r="R51" i="14" s="1"/>
  <c r="Q55" i="14"/>
  <c r="R55" i="14" s="1"/>
  <c r="Q59" i="14"/>
  <c r="Q63" i="14"/>
  <c r="R63" i="14" s="1"/>
  <c r="Q67" i="14"/>
  <c r="R67" i="14" s="1"/>
  <c r="Q71" i="14"/>
  <c r="R71" i="14" s="1"/>
  <c r="Q75" i="14"/>
  <c r="R75" i="14" s="1"/>
  <c r="Q79" i="14"/>
  <c r="R79" i="14" s="1"/>
  <c r="S24" i="14"/>
  <c r="S28" i="14"/>
  <c r="S32" i="14"/>
  <c r="S36" i="14"/>
  <c r="S40" i="14"/>
  <c r="S44" i="14"/>
  <c r="S48" i="14"/>
  <c r="S52" i="14"/>
  <c r="S56" i="14"/>
  <c r="S60" i="14"/>
  <c r="S64" i="14"/>
  <c r="S68" i="14"/>
  <c r="S72" i="14"/>
  <c r="S76" i="14"/>
  <c r="A65" i="1"/>
  <c r="A60" i="1"/>
  <c r="A13" i="1"/>
  <c r="A16" i="1"/>
  <c r="A21" i="1"/>
  <c r="A24" i="1"/>
  <c r="A29" i="1"/>
  <c r="A32" i="1"/>
  <c r="A37" i="1"/>
  <c r="A40" i="1"/>
  <c r="A45" i="1"/>
  <c r="A48" i="1"/>
  <c r="A53" i="1"/>
  <c r="A56" i="1"/>
  <c r="Q28" i="14"/>
  <c r="R28" i="14" s="1"/>
  <c r="Q36" i="14"/>
  <c r="Q44" i="14"/>
  <c r="R44" i="14" s="1"/>
  <c r="Q52" i="14"/>
  <c r="R52" i="14" s="1"/>
  <c r="Q60" i="14"/>
  <c r="R60" i="14" s="1"/>
  <c r="Q68" i="14"/>
  <c r="R68" i="14" s="1"/>
  <c r="Q76" i="14"/>
  <c r="R76" i="14" s="1"/>
  <c r="S78" i="14"/>
  <c r="S29" i="14"/>
  <c r="S37" i="14"/>
  <c r="S45" i="14"/>
  <c r="S53" i="14"/>
  <c r="A61" i="1"/>
  <c r="A27" i="1"/>
  <c r="A38" i="1"/>
  <c r="A59" i="1"/>
  <c r="Q33" i="14"/>
  <c r="R33" i="14" s="1"/>
  <c r="Q49" i="14"/>
  <c r="R49" i="14" s="1"/>
  <c r="Q65" i="14"/>
  <c r="R65" i="14" s="1"/>
  <c r="S30" i="14"/>
  <c r="S46" i="14"/>
  <c r="S61" i="14"/>
  <c r="S69" i="14"/>
  <c r="S77" i="14"/>
  <c r="Q53" i="14"/>
  <c r="R53" i="14" s="1"/>
  <c r="S50" i="14"/>
  <c r="S70" i="14"/>
  <c r="A11" i="1"/>
  <c r="A22" i="1"/>
  <c r="A43" i="1"/>
  <c r="A54" i="1"/>
  <c r="Q25" i="14"/>
  <c r="R25" i="14" s="1"/>
  <c r="Q41" i="14"/>
  <c r="R41" i="14" s="1"/>
  <c r="Q57" i="14"/>
  <c r="R57" i="14" s="1"/>
  <c r="Q73" i="14"/>
  <c r="R73" i="14" s="1"/>
  <c r="S22" i="14"/>
  <c r="S38" i="14"/>
  <c r="S54" i="14"/>
  <c r="S65" i="14"/>
  <c r="S73" i="14"/>
  <c r="A14" i="1"/>
  <c r="A35" i="1"/>
  <c r="A46" i="1"/>
  <c r="Q29" i="14"/>
  <c r="R29" i="14" s="1"/>
  <c r="Q45" i="14"/>
  <c r="R45" i="14" s="1"/>
  <c r="Q61" i="14"/>
  <c r="R61" i="14" s="1"/>
  <c r="Q77" i="14"/>
  <c r="R77" i="14" s="1"/>
  <c r="S26" i="14"/>
  <c r="S42" i="14"/>
  <c r="S58" i="14"/>
  <c r="S66" i="14"/>
  <c r="S74" i="14"/>
  <c r="A19" i="1"/>
  <c r="A30" i="1"/>
  <c r="A51" i="1"/>
  <c r="Q37" i="14"/>
  <c r="R37" i="14" s="1"/>
  <c r="Q69" i="14"/>
  <c r="R69" i="14" s="1"/>
  <c r="S34" i="14"/>
  <c r="S62" i="14"/>
  <c r="S21" i="14"/>
  <c r="R26" i="14"/>
  <c r="R36" i="14"/>
  <c r="R59" i="14"/>
  <c r="R46" i="14"/>
  <c r="A8" i="1"/>
  <c r="N29" i="7"/>
  <c r="M21" i="7"/>
  <c r="N16" i="7"/>
  <c r="N15" i="7"/>
  <c r="N14" i="7"/>
  <c r="N13" i="7"/>
  <c r="N12" i="7"/>
  <c r="N11" i="7"/>
  <c r="N10" i="7"/>
  <c r="N9" i="7"/>
  <c r="N8" i="7"/>
  <c r="N7" i="7"/>
  <c r="M6" i="7"/>
  <c r="H36" i="7"/>
  <c r="H35" i="7"/>
  <c r="H34" i="7"/>
  <c r="H33" i="7"/>
  <c r="H32" i="7"/>
  <c r="H29" i="7"/>
  <c r="G21" i="7"/>
  <c r="H16" i="7"/>
  <c r="H15" i="7"/>
  <c r="H14" i="7"/>
  <c r="H13" i="7"/>
  <c r="H12" i="7"/>
  <c r="H11" i="7"/>
  <c r="H10" i="7"/>
  <c r="H9" i="7"/>
  <c r="H8" i="7"/>
  <c r="H7" i="7"/>
  <c r="G6" i="7"/>
  <c r="B11" i="1" l="1"/>
  <c r="V11" i="1"/>
  <c r="U11" i="1"/>
  <c r="B59" i="1"/>
  <c r="V59" i="1"/>
  <c r="U59" i="1"/>
  <c r="B56" i="1"/>
  <c r="U56" i="1"/>
  <c r="V56" i="1"/>
  <c r="B40" i="1"/>
  <c r="U40" i="1"/>
  <c r="V40" i="1"/>
  <c r="B24" i="1"/>
  <c r="U24" i="1"/>
  <c r="V24" i="1"/>
  <c r="B60" i="1"/>
  <c r="V60" i="1"/>
  <c r="U60" i="1"/>
  <c r="B55" i="1"/>
  <c r="U55" i="1"/>
  <c r="V55" i="1"/>
  <c r="B39" i="1"/>
  <c r="U39" i="1"/>
  <c r="V39" i="1"/>
  <c r="B23" i="1"/>
  <c r="U23" i="1"/>
  <c r="V23" i="1"/>
  <c r="B63" i="1"/>
  <c r="U63" i="1"/>
  <c r="V63" i="1"/>
  <c r="B44" i="1"/>
  <c r="U44" i="1"/>
  <c r="V44" i="1"/>
  <c r="B28" i="1"/>
  <c r="V28" i="1"/>
  <c r="U28" i="1"/>
  <c r="B12" i="1"/>
  <c r="U12" i="1"/>
  <c r="V12" i="1"/>
  <c r="B51" i="1"/>
  <c r="U51" i="1"/>
  <c r="V51" i="1"/>
  <c r="B46" i="1"/>
  <c r="U46" i="1"/>
  <c r="V46" i="1"/>
  <c r="B54" i="1"/>
  <c r="U54" i="1"/>
  <c r="V54" i="1"/>
  <c r="B38" i="1"/>
  <c r="U38" i="1"/>
  <c r="V38" i="1"/>
  <c r="B53" i="1"/>
  <c r="U53" i="1"/>
  <c r="V53" i="1"/>
  <c r="B37" i="1"/>
  <c r="U37" i="1"/>
  <c r="V37" i="1"/>
  <c r="B21" i="1"/>
  <c r="U21" i="1"/>
  <c r="V21" i="1"/>
  <c r="B65" i="1"/>
  <c r="U65" i="1"/>
  <c r="V65" i="1"/>
  <c r="B50" i="1"/>
  <c r="U50" i="1"/>
  <c r="V50" i="1"/>
  <c r="B34" i="1"/>
  <c r="U34" i="1"/>
  <c r="V34" i="1"/>
  <c r="B18" i="1"/>
  <c r="U18" i="1"/>
  <c r="V18" i="1"/>
  <c r="B64" i="1"/>
  <c r="U64" i="1"/>
  <c r="V64" i="1"/>
  <c r="B57" i="1"/>
  <c r="U57" i="1"/>
  <c r="V57" i="1"/>
  <c r="B41" i="1"/>
  <c r="U41" i="1"/>
  <c r="V41" i="1"/>
  <c r="B25" i="1"/>
  <c r="U25" i="1"/>
  <c r="V25" i="1"/>
  <c r="B9" i="1"/>
  <c r="V9" i="1"/>
  <c r="U9" i="1"/>
  <c r="B30" i="1"/>
  <c r="V30" i="1"/>
  <c r="U30" i="1"/>
  <c r="B35" i="1"/>
  <c r="U35" i="1"/>
  <c r="V35" i="1"/>
  <c r="B43" i="1"/>
  <c r="V43" i="1"/>
  <c r="U43" i="1"/>
  <c r="B27" i="1"/>
  <c r="U27" i="1"/>
  <c r="V27" i="1"/>
  <c r="B48" i="1"/>
  <c r="U48" i="1"/>
  <c r="V48" i="1"/>
  <c r="B32" i="1"/>
  <c r="U32" i="1"/>
  <c r="V32" i="1"/>
  <c r="B16" i="1"/>
  <c r="U16" i="1"/>
  <c r="V16" i="1"/>
  <c r="B47" i="1"/>
  <c r="U47" i="1"/>
  <c r="V47" i="1"/>
  <c r="B31" i="1"/>
  <c r="U31" i="1"/>
  <c r="V31" i="1"/>
  <c r="B15" i="1"/>
  <c r="U15" i="1"/>
  <c r="V15" i="1"/>
  <c r="B52" i="1"/>
  <c r="U52" i="1"/>
  <c r="V52" i="1"/>
  <c r="B36" i="1"/>
  <c r="U36" i="1"/>
  <c r="V36" i="1"/>
  <c r="B20" i="1"/>
  <c r="U20" i="1"/>
  <c r="V20" i="1"/>
  <c r="B62" i="1"/>
  <c r="V62" i="1"/>
  <c r="U62" i="1"/>
  <c r="B19" i="1"/>
  <c r="U19" i="1"/>
  <c r="V19" i="1"/>
  <c r="B14" i="1"/>
  <c r="U14" i="1"/>
  <c r="V14" i="1"/>
  <c r="B22" i="1"/>
  <c r="U22" i="1"/>
  <c r="V22" i="1"/>
  <c r="B61" i="1"/>
  <c r="U61" i="1"/>
  <c r="V61" i="1"/>
  <c r="B45" i="1"/>
  <c r="V45" i="1"/>
  <c r="U45" i="1"/>
  <c r="B29" i="1"/>
  <c r="U29" i="1"/>
  <c r="V29" i="1"/>
  <c r="B13" i="1"/>
  <c r="V13" i="1"/>
  <c r="U13" i="1"/>
  <c r="B58" i="1"/>
  <c r="U58" i="1"/>
  <c r="V58" i="1"/>
  <c r="B42" i="1"/>
  <c r="U42" i="1"/>
  <c r="V42" i="1"/>
  <c r="B26" i="1"/>
  <c r="U26" i="1"/>
  <c r="V26" i="1"/>
  <c r="B10" i="1"/>
  <c r="U10" i="1"/>
  <c r="V10" i="1"/>
  <c r="B49" i="1"/>
  <c r="U49" i="1"/>
  <c r="V49" i="1"/>
  <c r="B33" i="1"/>
  <c r="U33" i="1"/>
  <c r="V33" i="1"/>
  <c r="B17" i="1"/>
  <c r="U17" i="1"/>
  <c r="V17" i="1"/>
  <c r="B66" i="1"/>
  <c r="U66" i="1"/>
  <c r="V66" i="1"/>
  <c r="B8" i="1"/>
  <c r="U8" i="1"/>
  <c r="V8" i="1"/>
  <c r="B36" i="7"/>
  <c r="B35" i="7"/>
  <c r="B34" i="7"/>
  <c r="B33" i="7"/>
  <c r="B32" i="7"/>
  <c r="W17" i="1" l="1"/>
  <c r="W26" i="1"/>
  <c r="W29" i="1"/>
  <c r="W14" i="1"/>
  <c r="W47" i="1"/>
  <c r="W27" i="1"/>
  <c r="W64" i="1"/>
  <c r="W65" i="1"/>
  <c r="W12" i="1"/>
  <c r="Y12" i="1" s="1"/>
  <c r="Z12" i="1" s="1"/>
  <c r="W23" i="1"/>
  <c r="W24" i="1"/>
  <c r="W33" i="1"/>
  <c r="W42" i="1"/>
  <c r="W19" i="1"/>
  <c r="W16" i="1"/>
  <c r="W25" i="1"/>
  <c r="Y25" i="1" s="1"/>
  <c r="Z25" i="1" s="1"/>
  <c r="W18" i="1"/>
  <c r="W21" i="1"/>
  <c r="W39" i="1"/>
  <c r="W40" i="1"/>
  <c r="W62" i="1"/>
  <c r="W66" i="1"/>
  <c r="W10" i="1"/>
  <c r="W31" i="1"/>
  <c r="W48" i="1"/>
  <c r="W57" i="1"/>
  <c r="W50" i="1"/>
  <c r="W53" i="1"/>
  <c r="Y53" i="1" s="1"/>
  <c r="Z53" i="1" s="1"/>
  <c r="W51" i="1"/>
  <c r="W63" i="1"/>
  <c r="Y63" i="1" s="1"/>
  <c r="Z63" i="1" s="1"/>
  <c r="W45" i="1"/>
  <c r="W52" i="1"/>
  <c r="W43" i="1"/>
  <c r="W54" i="1"/>
  <c r="W28" i="1"/>
  <c r="W36" i="1"/>
  <c r="W9" i="1"/>
  <c r="W38" i="1"/>
  <c r="W11" i="1"/>
  <c r="W49" i="1"/>
  <c r="W58" i="1"/>
  <c r="W13" i="1"/>
  <c r="W61" i="1"/>
  <c r="W22" i="1"/>
  <c r="W20" i="1"/>
  <c r="W15" i="1"/>
  <c r="W32" i="1"/>
  <c r="W35" i="1"/>
  <c r="W30" i="1"/>
  <c r="W41" i="1"/>
  <c r="W34" i="1"/>
  <c r="W37" i="1"/>
  <c r="W46" i="1"/>
  <c r="W44" i="1"/>
  <c r="W55" i="1"/>
  <c r="W60" i="1"/>
  <c r="W56" i="1"/>
  <c r="W59" i="1"/>
  <c r="F9" i="8"/>
  <c r="E9" i="8"/>
  <c r="J9" i="8"/>
  <c r="I9" i="8"/>
  <c r="E8" i="8"/>
  <c r="Y31" i="1"/>
  <c r="Z31" i="1" s="1"/>
  <c r="Y51" i="1"/>
  <c r="Z51" i="1" s="1"/>
  <c r="Y17" i="1"/>
  <c r="Z17" i="1" s="1"/>
  <c r="Y36" i="1"/>
  <c r="Z36" i="1" s="1"/>
  <c r="Y62" i="1"/>
  <c r="Z62" i="1" s="1"/>
  <c r="Y42" i="1"/>
  <c r="Z42" i="1" s="1"/>
  <c r="Y39" i="1"/>
  <c r="Z39" i="1" s="1"/>
  <c r="W8" i="1"/>
  <c r="Y8" i="1" s="1"/>
  <c r="Z8" i="1" s="1"/>
  <c r="B29" i="7"/>
  <c r="A21" i="7"/>
  <c r="A6" i="7"/>
  <c r="B16" i="7"/>
  <c r="B8" i="7"/>
  <c r="B9" i="7"/>
  <c r="B10" i="7"/>
  <c r="B11" i="7"/>
  <c r="B12" i="7"/>
  <c r="B13" i="7"/>
  <c r="B14" i="7"/>
  <c r="B15" i="7"/>
  <c r="B7" i="7"/>
  <c r="F11" i="8" l="1"/>
  <c r="E6" i="5"/>
  <c r="Y6" i="1" l="1"/>
  <c r="Z6" i="1"/>
  <c r="I8" i="8"/>
  <c r="J8" i="8"/>
  <c r="J10" i="8"/>
  <c r="F8" i="8"/>
  <c r="F10" i="8"/>
  <c r="I11" i="8"/>
  <c r="J11" i="8"/>
  <c r="I10" i="8"/>
  <c r="E10" i="8"/>
  <c r="E11" i="8"/>
  <c r="Q10" i="8"/>
  <c r="R10" i="8" s="1"/>
  <c r="Q8" i="8"/>
  <c r="R8" i="8" s="1"/>
  <c r="Q11" i="8"/>
  <c r="R11" i="8" s="1"/>
  <c r="Q9" i="8"/>
  <c r="R9" i="8" s="1"/>
  <c r="N10" i="8" l="1"/>
  <c r="N9" i="8"/>
  <c r="N11" i="8"/>
  <c r="N8" i="8"/>
  <c r="K8" i="8"/>
  <c r="L8" i="8" s="1"/>
  <c r="G8" i="8"/>
  <c r="H8" i="8" s="1"/>
  <c r="K11" i="8"/>
  <c r="L11" i="8" s="1"/>
  <c r="K9" i="8"/>
  <c r="L9" i="8" s="1"/>
  <c r="G10" i="8"/>
  <c r="H10" i="8" s="1"/>
  <c r="G11" i="8"/>
  <c r="H11" i="8" s="1"/>
  <c r="K10" i="8"/>
  <c r="L10" i="8" s="1"/>
  <c r="G9" i="8"/>
  <c r="H9" i="8" s="1"/>
  <c r="J16" i="8"/>
  <c r="F16" i="8"/>
  <c r="Q16" i="8"/>
  <c r="R16" i="8" s="1"/>
  <c r="E16" i="8"/>
  <c r="I16" i="8"/>
  <c r="M8" i="8" l="1"/>
  <c r="O8" i="8" s="1"/>
  <c r="P8" i="8" s="1"/>
  <c r="S8" i="8" s="1"/>
  <c r="U8" i="8" s="1"/>
  <c r="M9" i="8"/>
  <c r="O9" i="8" s="1"/>
  <c r="P9" i="8" s="1"/>
  <c r="S9" i="8" s="1"/>
  <c r="U9" i="8" s="1"/>
  <c r="M10" i="8"/>
  <c r="O10" i="8" s="1"/>
  <c r="P10" i="8" s="1"/>
  <c r="S10" i="8" s="1"/>
  <c r="U10" i="8" s="1"/>
  <c r="M11" i="8"/>
  <c r="O11" i="8" s="1"/>
  <c r="P11" i="8" s="1"/>
  <c r="S11" i="8" s="1"/>
  <c r="U11" i="8" s="1"/>
  <c r="K16" i="8"/>
  <c r="L16" i="8" s="1"/>
  <c r="G16" i="8"/>
  <c r="H16" i="8" s="1"/>
  <c r="N16" i="8"/>
  <c r="M16" i="8" l="1"/>
  <c r="O16" i="8" s="1"/>
  <c r="P16" i="8" s="1"/>
  <c r="S16" i="8" s="1"/>
  <c r="U16" i="8" s="1"/>
  <c r="J107" i="17"/>
  <c r="I107" i="17"/>
</calcChain>
</file>

<file path=xl/comments1.xml><?xml version="1.0" encoding="utf-8"?>
<comments xmlns="http://schemas.openxmlformats.org/spreadsheetml/2006/main">
  <authors>
    <author>Sandra</author>
  </authors>
  <commentList>
    <comment ref="G26" authorId="0" shapeId="0">
      <text>
        <r>
          <rPr>
            <b/>
            <sz val="9"/>
            <color indexed="81"/>
            <rFont val="Tahoma"/>
            <family val="2"/>
          </rPr>
          <t>Sandra:</t>
        </r>
        <r>
          <rPr>
            <sz val="9"/>
            <color indexed="81"/>
            <rFont val="Tahoma"/>
            <family val="2"/>
          </rPr>
          <t xml:space="preserve">
Cant. de evaluaciones</t>
        </r>
      </text>
    </comment>
    <comment ref="AH26" authorId="0" shapeId="0">
      <text>
        <r>
          <rPr>
            <b/>
            <sz val="9"/>
            <color indexed="81"/>
            <rFont val="Tahoma"/>
            <family val="2"/>
          </rPr>
          <t>Sandra:</t>
        </r>
        <r>
          <rPr>
            <sz val="9"/>
            <color indexed="81"/>
            <rFont val="Tahoma"/>
            <family val="2"/>
          </rPr>
          <t xml:space="preserve">
Cant. De evaluaciones desaprobadas.</t>
        </r>
      </text>
    </comment>
  </commentList>
</comments>
</file>

<file path=xl/sharedStrings.xml><?xml version="1.0" encoding="utf-8"?>
<sst xmlns="http://schemas.openxmlformats.org/spreadsheetml/2006/main" count="1307" uniqueCount="553">
  <si>
    <t>GRUPO</t>
  </si>
  <si>
    <t>CÓDIGO EMPLEADO</t>
  </si>
  <si>
    <t>NOMBRE</t>
  </si>
  <si>
    <t>Alo Banco</t>
  </si>
  <si>
    <t>Maria Luisa Cienfuegos Laithon</t>
  </si>
  <si>
    <t>Karen Cristina Meneses Alegre</t>
  </si>
  <si>
    <t>G1</t>
  </si>
  <si>
    <t>Julia Patricia Perez Palma Garreta</t>
  </si>
  <si>
    <t>Karina Paz Colan</t>
  </si>
  <si>
    <t>Giovani Ramos Bautista</t>
  </si>
  <si>
    <t>Mario Huamanchumo Coveñas</t>
  </si>
  <si>
    <t>Luis Manuel Mamani Bravo</t>
  </si>
  <si>
    <t>ANGIE MERLY SUAREZ GUEVARA</t>
  </si>
  <si>
    <t>CHRISTIAN RENGIFO BALAREZO</t>
  </si>
  <si>
    <t>Ana Herrera Garro</t>
  </si>
  <si>
    <t>Marco Zuñiga Colchado</t>
  </si>
  <si>
    <t>Carmen Salas</t>
  </si>
  <si>
    <t>Jhonatan Saldaña Paredes</t>
  </si>
  <si>
    <t>Ivonne Mallqui Olivos</t>
  </si>
  <si>
    <t>Juan Carlos Ortega Salinas</t>
  </si>
  <si>
    <t>Vanessa Alvarado Soldevilla</t>
  </si>
  <si>
    <t>Britt Loayza Allcca</t>
  </si>
  <si>
    <t>Yajahira Aguirre Melendez</t>
  </si>
  <si>
    <t>G2</t>
  </si>
  <si>
    <t>Giancarlos Giron Santos</t>
  </si>
  <si>
    <t>G3</t>
  </si>
  <si>
    <t>Huamán Yissel</t>
  </si>
  <si>
    <t>Ketty Betsabe Berrospi Velasquez</t>
  </si>
  <si>
    <t>FERNANDO ALEXIS CHUMBES CHIPAU</t>
  </si>
  <si>
    <t>Miguel Angel Pradera Perez</t>
  </si>
  <si>
    <t>G4</t>
  </si>
  <si>
    <t>Pamela Vargas</t>
  </si>
  <si>
    <t>Julio César Sánchez Guevara</t>
  </si>
  <si>
    <t>Silvana Bocardo Gamarra</t>
  </si>
  <si>
    <t>G5</t>
  </si>
  <si>
    <t>Luzmilla Valiente</t>
  </si>
  <si>
    <t>Luis Alberto Torres Felix</t>
  </si>
  <si>
    <t>Jessica Colomer Valera</t>
  </si>
  <si>
    <t>G6</t>
  </si>
  <si>
    <t>Sishi Leslie Angeles Guillen</t>
  </si>
  <si>
    <t>Pablo Celestino Meza Chuquipoma</t>
  </si>
  <si>
    <t>Gloria Maria Alor Balbin</t>
  </si>
  <si>
    <t>Margarita Sonia Perez Gonzalez</t>
  </si>
  <si>
    <t>Sandra Verinis Suaña Proa</t>
  </si>
  <si>
    <t>Victor Miguel Pereda Alva</t>
  </si>
  <si>
    <t>Emerson Diaz Malaver</t>
  </si>
  <si>
    <t>Jenny Elizabeth Perez Aquino</t>
  </si>
  <si>
    <t>Lida Balbina Arias Osccorima</t>
  </si>
  <si>
    <t>G7</t>
  </si>
  <si>
    <t>ROSARIO PALOMINO GOMEZ</t>
  </si>
  <si>
    <t>Jean Carlos Ordoñez Vega</t>
  </si>
  <si>
    <t>Ingrid Mervin Aguedo Narciso</t>
  </si>
  <si>
    <t>Juan Jesus Cornetero Bravo</t>
  </si>
  <si>
    <t>Maria Elena Phocco Condori</t>
  </si>
  <si>
    <t>Rosmery Ascoy Ramos</t>
  </si>
  <si>
    <t>Diana Vanessa Trinidad Padilla</t>
  </si>
  <si>
    <t>Patricia Yoko Coronado Yreijo</t>
  </si>
  <si>
    <t>Leslye Chaupis Flores</t>
  </si>
  <si>
    <t>Ermes Villavicencio Tenorio</t>
  </si>
  <si>
    <t>Karla Cardozo Valle</t>
  </si>
  <si>
    <t>Cinthya Patricia Caballero Apaza</t>
  </si>
  <si>
    <t>Gian Franco Moreno Hurtado</t>
  </si>
  <si>
    <t>Jose Joel Fiestas Davila</t>
  </si>
  <si>
    <t>Cynthia Marisol Chugden Flores</t>
  </si>
  <si>
    <t>Fredy Gianpierre cavero Ruiz</t>
  </si>
  <si>
    <t>David Alegria Chuzon</t>
  </si>
  <si>
    <t>Laura Melissa Ñahui Cahuana</t>
  </si>
  <si>
    <t>Ana Paula Herrera Eguizabal</t>
  </si>
  <si>
    <t>Silvia Iris Llerena Canales</t>
  </si>
  <si>
    <t>Cecilia Margarita Tucto Diaz</t>
  </si>
  <si>
    <t>Diana Vargas Blanco</t>
  </si>
  <si>
    <t>G9</t>
  </si>
  <si>
    <t>Diana  Sánchez</t>
  </si>
  <si>
    <t>Karina Chirinos Carrion</t>
  </si>
  <si>
    <t>Victor Saavedra Enciso</t>
  </si>
  <si>
    <t>JENY SANCHEZ RODRIGUEZ</t>
  </si>
  <si>
    <t>Abraham José Flores Hernandez</t>
  </si>
  <si>
    <t>Enrique Gutierrez Chiri</t>
  </si>
  <si>
    <t>Alfredo Villafuerte Pomalia</t>
  </si>
  <si>
    <t>Magdalena Beatriz Vicente Palacios</t>
  </si>
  <si>
    <t>Manuel Luciano Vilchez Cordova</t>
  </si>
  <si>
    <t>Miguel Gayoso Galarza</t>
  </si>
  <si>
    <t>Aleida Cárdenas</t>
  </si>
  <si>
    <t>Cesar Diaz</t>
  </si>
  <si>
    <t>Maria Espinoza Landeo</t>
  </si>
  <si>
    <t>Luisa Marcela Velasquez Bernal</t>
  </si>
  <si>
    <t>Milward Vizcarra Valdiviezo</t>
  </si>
  <si>
    <t>Fyorella Valdiviezo Falcon</t>
  </si>
  <si>
    <t>Clara Valderrama Manrique</t>
  </si>
  <si>
    <t>Junior Javier Villegas Solano</t>
  </si>
  <si>
    <t>Angel Yamunaque Miranda</t>
  </si>
  <si>
    <t>Johnny Gerardo Rincon Chugna</t>
  </si>
  <si>
    <t>Vilma Carrera Sanchez</t>
  </si>
  <si>
    <t>Sasha Romina Asmat Salcedo</t>
  </si>
  <si>
    <t>Gladis Sivincha Millio</t>
  </si>
  <si>
    <t>Jessica Jesenia Palomino Cardenas</t>
  </si>
  <si>
    <t>Juan Tomas Zorrilla Miranda</t>
  </si>
  <si>
    <t>Hamilton Madueño Tunque</t>
  </si>
  <si>
    <t>Maria Rocio Paniagua Machuca</t>
  </si>
  <si>
    <t>Diana Marisol Espinal Martinez</t>
  </si>
  <si>
    <t>Kiara Patricia Ajen Montero</t>
  </si>
  <si>
    <t>Wilmer Meza Arellano</t>
  </si>
  <si>
    <t>Alis Villanueva Ramirez</t>
  </si>
  <si>
    <t>Alexandra Cecilia Quispe Toro</t>
  </si>
  <si>
    <t>Richard Rodas Diaz</t>
  </si>
  <si>
    <t>Katherine Cabanillas Gomez</t>
  </si>
  <si>
    <t>Impugnaciones</t>
  </si>
  <si>
    <t>Silvia Sánchez Báscones</t>
  </si>
  <si>
    <t>Fani López</t>
  </si>
  <si>
    <t>Roberto Ampuero Alvarez</t>
  </si>
  <si>
    <t>Carol  Muñoz Sanchez</t>
  </si>
  <si>
    <t>Sara Quibajo Tello</t>
  </si>
  <si>
    <t>Maria del Socorro Morales Naveda</t>
  </si>
  <si>
    <t>Marisol Robalino</t>
  </si>
  <si>
    <t>Total general</t>
  </si>
  <si>
    <t>META TOTAL</t>
  </si>
  <si>
    <t>PUNTAJE</t>
  </si>
  <si>
    <t>% Cumplimiento</t>
  </si>
  <si>
    <t>Puntaje</t>
  </si>
  <si>
    <t>Menor a 60%</t>
  </si>
  <si>
    <t xml:space="preserve">60% - 79% </t>
  </si>
  <si>
    <t xml:space="preserve">80% - 84% </t>
  </si>
  <si>
    <t xml:space="preserve">85% - 89% </t>
  </si>
  <si>
    <t xml:space="preserve">90% - 93% </t>
  </si>
  <si>
    <t xml:space="preserve">94% - 97% </t>
  </si>
  <si>
    <t xml:space="preserve">90% - 92% </t>
  </si>
  <si>
    <t xml:space="preserve">93% - 94% </t>
  </si>
  <si>
    <t xml:space="preserve">95% - 97% </t>
  </si>
  <si>
    <t xml:space="preserve">98% - 99% </t>
  </si>
  <si>
    <t>N°</t>
  </si>
  <si>
    <t>Nombre_Data</t>
  </si>
  <si>
    <t>Britt Loayza</t>
  </si>
  <si>
    <t>Ivonne Mallqui</t>
  </si>
  <si>
    <t>Mario Huamanchumo</t>
  </si>
  <si>
    <t>Vanessa Alvarado</t>
  </si>
  <si>
    <t>Giancarlos Giron</t>
  </si>
  <si>
    <t>Ketty Berrospi</t>
  </si>
  <si>
    <t>Silvana Bocardo</t>
  </si>
  <si>
    <t>Jessica Colomer</t>
  </si>
  <si>
    <t>Luzmila Valiente</t>
  </si>
  <si>
    <t>Patricia Roxana reategui Frassinetti</t>
  </si>
  <si>
    <t>Alexandra Quispe</t>
  </si>
  <si>
    <t>Alis Villanueva</t>
  </si>
  <si>
    <t>Ana Herrera</t>
  </si>
  <si>
    <t>Angel Yamunaque</t>
  </si>
  <si>
    <t>Clara Valderrama</t>
  </si>
  <si>
    <t>Diana Sánchez</t>
  </si>
  <si>
    <t>Diana Espinal</t>
  </si>
  <si>
    <t>Hamilton Madueño</t>
  </si>
  <si>
    <t>Karina Chirinos</t>
  </si>
  <si>
    <t>Marco Zuñiga</t>
  </si>
  <si>
    <t>Maria Espinoza</t>
  </si>
  <si>
    <t>Milward Vizcarra</t>
  </si>
  <si>
    <t>Sasha Asmat</t>
  </si>
  <si>
    <t>Victor Saavedra</t>
  </si>
  <si>
    <t>Wilmer Meza</t>
  </si>
  <si>
    <t>Roberto Ampuero</t>
  </si>
  <si>
    <t>Silvia Sánchez</t>
  </si>
  <si>
    <t>Janniz Cordova Li</t>
  </si>
  <si>
    <t>Janet Vasquez</t>
  </si>
  <si>
    <t>María Teresa Galarza Galarreta</t>
  </si>
  <si>
    <t>Pablo Fernando Ponce Enciso</t>
  </si>
  <si>
    <t>Rosa María Pérez Díaz</t>
  </si>
  <si>
    <t>Elka Mendoza Reategui</t>
  </si>
  <si>
    <t>Ursula Naveda Salvatierra</t>
  </si>
  <si>
    <t>Betsy Salazar Ayzanoa</t>
  </si>
  <si>
    <t xml:space="preserve">Christian Corrales Jayo </t>
  </si>
  <si>
    <t>Juana Veronica Castro Olivares</t>
  </si>
  <si>
    <t>Sara Quibajo</t>
  </si>
  <si>
    <t>Matilde Rojas Lopez</t>
  </si>
  <si>
    <t>Valores</t>
  </si>
  <si>
    <t>Suma de META TOTAL</t>
  </si>
  <si>
    <t>LOGRO</t>
  </si>
  <si>
    <t xml:space="preserve"> Gestión Individual y Grupal - Premio</t>
  </si>
  <si>
    <t>% Individual</t>
  </si>
  <si>
    <t>% Grupal</t>
  </si>
  <si>
    <t>Premio</t>
  </si>
  <si>
    <t>Mayor a 115%</t>
  </si>
  <si>
    <t>111%-115%</t>
  </si>
  <si>
    <t>106%-110%</t>
  </si>
  <si>
    <t>101%-105%</t>
  </si>
  <si>
    <t>Menor a 100%</t>
  </si>
  <si>
    <t>ESPECIALISTA UAC</t>
  </si>
  <si>
    <t>1° trimestre: Ene – Mar (pago abril)</t>
  </si>
  <si>
    <t>2° trimestre: Abr – Jun (pago julio)</t>
  </si>
  <si>
    <t>3° trimestre: Jul – Sep (pago octubre)</t>
  </si>
  <si>
    <t>COMISIÓN (A)</t>
  </si>
  <si>
    <t>PREMIO (B)</t>
  </si>
  <si>
    <t>TOTAL (A+B)</t>
  </si>
  <si>
    <t>CARGO</t>
  </si>
  <si>
    <t>ROBALINO CALLA HILDA MARISOL</t>
  </si>
  <si>
    <t>N° CASOS CERRADOS</t>
  </si>
  <si>
    <t>CASOS RESUELTOS</t>
  </si>
  <si>
    <t>Suma de N° CASOS CERRADOS</t>
  </si>
  <si>
    <t>SUPERVISOR</t>
  </si>
  <si>
    <t>Elka Mendoza</t>
  </si>
  <si>
    <t>N° CASOS SLA</t>
  </si>
  <si>
    <t>TOTAL SLA</t>
  </si>
  <si>
    <t>SLA POR TIPOLOGÍA</t>
  </si>
  <si>
    <t>Fuera de Plazo</t>
  </si>
  <si>
    <t>Dentro de Plazo</t>
  </si>
  <si>
    <t>CALIDAD</t>
  </si>
  <si>
    <t>PRODUCCIÓN Y SLA</t>
  </si>
  <si>
    <t>%CUMP</t>
  </si>
  <si>
    <t>% CUMP</t>
  </si>
  <si>
    <t>IMPUG.</t>
  </si>
  <si>
    <t>NOTA FINAL</t>
  </si>
  <si>
    <t>NOTA (1)</t>
  </si>
  <si>
    <t>NOTA (2)</t>
  </si>
  <si>
    <t>AVANCE KPI's DE LA UNIDAD DE ATENCIÓN AL CLIENTE</t>
  </si>
  <si>
    <t xml:space="preserve">98% - 100% </t>
  </si>
  <si>
    <t>101% - 105%</t>
  </si>
  <si>
    <t>106% - 110%</t>
  </si>
  <si>
    <t>111% - 115%</t>
  </si>
  <si>
    <t>Alan Tarrillo Ramos</t>
  </si>
  <si>
    <t>Janet Vasquez Yupanqui</t>
  </si>
  <si>
    <t>G8</t>
  </si>
  <si>
    <t>G9-Piloto</t>
  </si>
  <si>
    <t>Etiquetas de fila</t>
  </si>
  <si>
    <t>Gina Camacho Villaizan</t>
  </si>
  <si>
    <t>Supervisor</t>
  </si>
  <si>
    <t>Jefe UAC</t>
  </si>
  <si>
    <t>Hernan noe Almeida Sanchez</t>
  </si>
  <si>
    <t>PRODUCTIVIDAD</t>
  </si>
  <si>
    <t>Total Acumulado</t>
  </si>
  <si>
    <t>Promedio</t>
  </si>
  <si>
    <t>Vilma Bocanegra Uscumayta</t>
  </si>
  <si>
    <t>Carlos Silva Herrera</t>
  </si>
  <si>
    <t>Luz Oblitas Diaz</t>
  </si>
  <si>
    <t>Josias Lozano Isuiza</t>
  </si>
  <si>
    <t>Erika Mauricio Beramendi</t>
  </si>
  <si>
    <t>GRUPOS</t>
  </si>
  <si>
    <t>PONCE ENCISO PABLO FERNANDO</t>
  </si>
  <si>
    <t>SLA</t>
  </si>
  <si>
    <t>Suma de Dentro de Plazo</t>
  </si>
  <si>
    <t>Suma de Total general</t>
  </si>
  <si>
    <t>Jenny Perez Aquino</t>
  </si>
  <si>
    <t>Ermes Villavicencio</t>
  </si>
  <si>
    <t>Vilma Carrera</t>
  </si>
  <si>
    <t>Katherine Cabanillas</t>
  </si>
  <si>
    <t>Gloria Alor</t>
  </si>
  <si>
    <t>Lida Arias</t>
  </si>
  <si>
    <t>Giovanny Ramos</t>
  </si>
  <si>
    <t>Juan Zorrilla</t>
  </si>
  <si>
    <t>Gladys Sivincha</t>
  </si>
  <si>
    <t>Yissel Huaman</t>
  </si>
  <si>
    <t>Fiorella Valdiviezo</t>
  </si>
  <si>
    <t>TOTAL COMISIÓN + PREMIO</t>
  </si>
  <si>
    <t>INICIO</t>
  </si>
  <si>
    <t>FIN</t>
  </si>
  <si>
    <t>Especialista UAC</t>
  </si>
  <si>
    <t>Apoyo UAC</t>
  </si>
  <si>
    <t>Especialista UAC Noche</t>
  </si>
  <si>
    <t>CASOS RESUELTOS - EQUIPO</t>
  </si>
  <si>
    <t>60% - 79%</t>
  </si>
  <si>
    <t>80% - 84%</t>
  </si>
  <si>
    <t>85% - 89%</t>
  </si>
  <si>
    <t>90% - 93%</t>
  </si>
  <si>
    <t>94% - 97%</t>
  </si>
  <si>
    <t>98% - 100%</t>
  </si>
  <si>
    <t>ESPECIALISTA</t>
  </si>
  <si>
    <t>90% - 92%</t>
  </si>
  <si>
    <t>93% - 94%</t>
  </si>
  <si>
    <t>95% - 97%</t>
  </si>
  <si>
    <t>98% - 99%</t>
  </si>
  <si>
    <t>Producción trimestre</t>
  </si>
  <si>
    <t>4° trimestre: Oct – Dic (pago enero)</t>
  </si>
  <si>
    <t>SLA POR TIPOLOGÍA - EQUIPO</t>
  </si>
  <si>
    <t>bono 300</t>
  </si>
  <si>
    <t>CODIGO</t>
  </si>
  <si>
    <t>MAURICIO BERAMENDI ERIKA ESTRIC</t>
  </si>
  <si>
    <t>OBLITAS DIAZ LUZ MERY</t>
  </si>
  <si>
    <t>SILVA HERRERA CARLOS ROBERTO</t>
  </si>
  <si>
    <t>BOCANEGRA USCAMAYTA VILMA</t>
  </si>
  <si>
    <t>ASMAT SALCEDO SASHA ROMINA</t>
  </si>
  <si>
    <t>SALDAÑA PAREDES JHONATAN JOSUE</t>
  </si>
  <si>
    <t>RAMOS BAUTISTA GIOVANI RAUL</t>
  </si>
  <si>
    <t>VILCHEZ CORDOVA MANUEL LUCIANO</t>
  </si>
  <si>
    <t>MADUEÑO TUNQUE HAMILTON MAURO</t>
  </si>
  <si>
    <t>TARRILLO RAMOS ALAN ALBERTO</t>
  </si>
  <si>
    <t>YAMUNAQUE MIRANDA ANGEL GUSTAVO</t>
  </si>
  <si>
    <t>TORRES FELIX LUIS ALBERTO</t>
  </si>
  <si>
    <t>CASTRO OLIVARES JUANA VERONICA</t>
  </si>
  <si>
    <t>SAAVEDRA ENCISO VICTOR MANUEL</t>
  </si>
  <si>
    <t>MALLQUI OLIVOS IVONNE KARIN</t>
  </si>
  <si>
    <t>CARRERA SANCHEZ VILMA ESMERITA</t>
  </si>
  <si>
    <t>AGUIRRE MELENDEZ YAJAHIRA YANIREE</t>
  </si>
  <si>
    <t>RODAS DIAZ RICHARD WILLIAM</t>
  </si>
  <si>
    <t>ZUÑIGA COLCHADO MARCO ANTONIO</t>
  </si>
  <si>
    <t>HUAMANCHUMO COVEÑAS MARIO WALTHER</t>
  </si>
  <si>
    <t>MAMANI BRAVO LUIS MANUEL</t>
  </si>
  <si>
    <t>ORTEGA SALINAS JUAN CARLOS</t>
  </si>
  <si>
    <t>QUISPE TORO ALEXANDRA CECILIA</t>
  </si>
  <si>
    <t>VILLEGAS SOLANO JUNIOR JAVIER</t>
  </si>
  <si>
    <t>VILLAFUERTE POMALIA ALFREDO MARIO</t>
  </si>
  <si>
    <t>ALVARADO SOLDEVILLA VANESSA</t>
  </si>
  <si>
    <t>ESPINAL MARTINEZ DIANA MARISOL</t>
  </si>
  <si>
    <t>CORRALES JAYO CHRISTIAN STIVE</t>
  </si>
  <si>
    <t>VALDIVIESO FALCON FYORELA MARISOL</t>
  </si>
  <si>
    <t>LOZANO ISUIZA JOSIAS</t>
  </si>
  <si>
    <t>LOAYZA ALLCA BRITT JOANA</t>
  </si>
  <si>
    <t>CHIRINOS CARRION KARINA YUNEK DEL CARMEN</t>
  </si>
  <si>
    <t>HERRERA GARRO ANA MARIA</t>
  </si>
  <si>
    <t>SIVINCHA MILLIO GLADIS</t>
  </si>
  <si>
    <t>VILLANUEVA RAMIREZ ALIS SHIRLEY</t>
  </si>
  <si>
    <t>PALOMINO CARDENAS JESSICA JESENIA</t>
  </si>
  <si>
    <t>DIAS LABORADOS</t>
  </si>
  <si>
    <t>CR</t>
  </si>
  <si>
    <t>CS</t>
  </si>
  <si>
    <t>CP</t>
  </si>
  <si>
    <t>OR</t>
  </si>
  <si>
    <t>VR</t>
  </si>
  <si>
    <t>MR</t>
  </si>
  <si>
    <t>SEMANA</t>
  </si>
  <si>
    <t>FECHA DE LA MUESTRA</t>
  </si>
  <si>
    <t>MES</t>
  </si>
  <si>
    <t>N° INCIDENTE</t>
  </si>
  <si>
    <t>NOMBRE DEL ESPECIALISTA</t>
  </si>
  <si>
    <t>PROCESO</t>
  </si>
  <si>
    <t>TIPO DE MONITOREO
N:NORMAL
A:ADICIONAL</t>
  </si>
  <si>
    <t>CD</t>
  </si>
  <si>
    <t>PF</t>
  </si>
  <si>
    <t>LG</t>
  </si>
  <si>
    <t>Nota</t>
  </si>
  <si>
    <t>Cumple con los estandares de Calidad</t>
  </si>
  <si>
    <t>Promedio de Nota</t>
  </si>
  <si>
    <t>COD EMPLEADO</t>
  </si>
  <si>
    <t>Karen Cristina</t>
  </si>
  <si>
    <t>Maria Luisa</t>
  </si>
  <si>
    <t>ANGIE MERLY</t>
  </si>
  <si>
    <t>Juan Carlos</t>
  </si>
  <si>
    <t>Yajahira Aguirre</t>
  </si>
  <si>
    <t>Jhonatan Saldaña</t>
  </si>
  <si>
    <t>Karina Paz</t>
  </si>
  <si>
    <t>FERNANDO ALEXIS</t>
  </si>
  <si>
    <t>JENY SANCHEZ</t>
  </si>
  <si>
    <t>Julio César</t>
  </si>
  <si>
    <t>Luis Alberto</t>
  </si>
  <si>
    <t>Julia Patricia</t>
  </si>
  <si>
    <t>CHRISTIAN RENGIFO</t>
  </si>
  <si>
    <t>Luis Manuel</t>
  </si>
  <si>
    <t>Luisa Marcela</t>
  </si>
  <si>
    <t>Johnny Gerardo</t>
  </si>
  <si>
    <t>Alan Tarrillo</t>
  </si>
  <si>
    <t>Jessica Jesenia</t>
  </si>
  <si>
    <t>Abraham José</t>
  </si>
  <si>
    <t>Junior Javier</t>
  </si>
  <si>
    <t>Kiara Patricia</t>
  </si>
  <si>
    <t>Magdalena Beatriz</t>
  </si>
  <si>
    <t>Maria Rocio</t>
  </si>
  <si>
    <t>Richard Rodas</t>
  </si>
  <si>
    <t>Alfredo Villafuerte</t>
  </si>
  <si>
    <t>Enrique Gutierrez</t>
  </si>
  <si>
    <t>Miguel Gayoso</t>
  </si>
  <si>
    <t>Maria del</t>
  </si>
  <si>
    <t>Manuel Luciano</t>
  </si>
  <si>
    <t>Janniz Cordova</t>
  </si>
  <si>
    <t>Ursula Naveda</t>
  </si>
  <si>
    <t>Miguel Angel</t>
  </si>
  <si>
    <t>Christian Corrales</t>
  </si>
  <si>
    <t>Juana Veronica</t>
  </si>
  <si>
    <t>Matilde Rojas</t>
  </si>
  <si>
    <t>Cecilia Margarita</t>
  </si>
  <si>
    <t>Cinthya Patricia</t>
  </si>
  <si>
    <t>Cynthia Marisol</t>
  </si>
  <si>
    <t>David Alegria</t>
  </si>
  <si>
    <t>Diana Vanessa</t>
  </si>
  <si>
    <t>Diana Vargas</t>
  </si>
  <si>
    <t>Emerson Diaz</t>
  </si>
  <si>
    <t>Fredy Gianpierre</t>
  </si>
  <si>
    <t>Gian Franco</t>
  </si>
  <si>
    <t>Hernan noe</t>
  </si>
  <si>
    <t>Ingrid Mervin</t>
  </si>
  <si>
    <t>Jean Carlos</t>
  </si>
  <si>
    <t>Jose Joel</t>
  </si>
  <si>
    <t>Juan Jesus</t>
  </si>
  <si>
    <t>Karla Cardozo</t>
  </si>
  <si>
    <t>Laura Melissa</t>
  </si>
  <si>
    <t>Leslye Chaupis</t>
  </si>
  <si>
    <t>Maria Elena</t>
  </si>
  <si>
    <t>Pablo Celestino</t>
  </si>
  <si>
    <t>Patricia Roxana</t>
  </si>
  <si>
    <t>Patricia Yoko</t>
  </si>
  <si>
    <t>Rosmery Ascoy</t>
  </si>
  <si>
    <t>Silvia Iris</t>
  </si>
  <si>
    <t>Sishi Leslie</t>
  </si>
  <si>
    <t>Victor Miguel</t>
  </si>
  <si>
    <t>Sandra Verinis</t>
  </si>
  <si>
    <t>María Teresa</t>
  </si>
  <si>
    <t>Rosa María</t>
  </si>
  <si>
    <t>Pablo Fernando</t>
  </si>
  <si>
    <t>Betsy Salazar</t>
  </si>
  <si>
    <t xml:space="preserve">Carol </t>
  </si>
  <si>
    <t>ROSARIO PALOMINO</t>
  </si>
  <si>
    <t>Margarita Perez</t>
  </si>
  <si>
    <t>Cod Empleado</t>
  </si>
  <si>
    <t>FLORES HERNANDEZ ABRAHAM JOSE</t>
  </si>
  <si>
    <t>ESPINOZA LANDEO MARIA</t>
  </si>
  <si>
    <t>DIAZ MENDEZ CESAR ALBERTO</t>
  </si>
  <si>
    <t>PRADERA PEREZ MIGUEL ANGEL</t>
  </si>
  <si>
    <t>VARGAS MIÑANO PAMELA SOLANGE</t>
  </si>
  <si>
    <t>SANCHEZ GUEVARA JULIO CESAR</t>
  </si>
  <si>
    <t>MUÑOZ SANCHEZ CAROL INES</t>
  </si>
  <si>
    <t>CIENFUEGOS LAITHON MARIA LUISA</t>
  </si>
  <si>
    <t>GUTIERREZ CHIRI ENRIQUE ALEXIS</t>
  </si>
  <si>
    <t>MENESES ALEGRE KAREN CRISTINA</t>
  </si>
  <si>
    <t>VELASQUEZ BERNAL LUISA MARCELA</t>
  </si>
  <si>
    <t>VICENTE PALACIOS MAGDALENA BEATRIZ</t>
  </si>
  <si>
    <t>RENGIFO BALAREZO CHRISTIAN</t>
  </si>
  <si>
    <t>RINCON CHUGNA JOHNNY GERARDO</t>
  </si>
  <si>
    <t>GAYOSO GALARZA MIGUEL ANGEL</t>
  </si>
  <si>
    <t>PALOMINO GOMEZ ROSARIO ESCARLES</t>
  </si>
  <si>
    <t>SANCHEZ RODRIGUEZ JENY KARINA</t>
  </si>
  <si>
    <t>PEREZ DIAZ ROSA MARIA</t>
  </si>
  <si>
    <t>CARDENAS RIOS ALEIDA</t>
  </si>
  <si>
    <t>BOCARDO GAMARRA SILVANA</t>
  </si>
  <si>
    <t>SUAREZ GUEVARA ANGIE MERLY</t>
  </si>
  <si>
    <t>VIZCARRA VALDIVIEZO MILWARD EMILIO</t>
  </si>
  <si>
    <t>VALDERRAMA MANRIQUE CLARA MERCEDES DEL CARMEN</t>
  </si>
  <si>
    <t>NAVEDA SALVATIERRA URSULA MARIA</t>
  </si>
  <si>
    <t>BERROSPI VELASQUEZ KETTY BETSABE</t>
  </si>
  <si>
    <t>ROJAS LOPEZ MATILDE GRACIELA</t>
  </si>
  <si>
    <t>QUIBAJO TELLO SARA</t>
  </si>
  <si>
    <t>PEREZ PALMA GARRETA JULIA PATRICIA</t>
  </si>
  <si>
    <t>PAZ COLAN LIDIA KARINA</t>
  </si>
  <si>
    <t>VALIENTE NEIRA LUZMILA TERESA</t>
  </si>
  <si>
    <t>SANCHEZ CAMPOS DIANA KARINA</t>
  </si>
  <si>
    <t>HUAMAN ALVAREZ NANCY YISSEL</t>
  </si>
  <si>
    <t>CAMACHO VILLAIZAN GINA PAOLA</t>
  </si>
  <si>
    <t>SANCHEZ BASCONES SILVIA ESPERANZA</t>
  </si>
  <si>
    <t>LOPEZ NIÑO DE GUZMAN REYNA FANNY</t>
  </si>
  <si>
    <t>CORDOVA LI JANNIZ PATRICIA</t>
  </si>
  <si>
    <t>AMPUERO ALVAREZ ROBERTO FERNANDO</t>
  </si>
  <si>
    <t>CHUMBES CHIPAU FERNANDO ALEXIS</t>
  </si>
  <si>
    <t>MORALES NAVEDA MARIA DEL SOCORRO</t>
  </si>
  <si>
    <t>ZORRILLA MIRANDA JUAN TOMAS</t>
  </si>
  <si>
    <t>REYES FERNANDEZ SHARON KRISTTEL</t>
  </si>
  <si>
    <t>GALARZA GALARRETA MARIA TERESA</t>
  </si>
  <si>
    <t>AJEN MONTERO KIARA PATRICIA</t>
  </si>
  <si>
    <t>SALAS CUBA CARMEN VALERA</t>
  </si>
  <si>
    <t>PANIAGUA MACHUCA MARIA ROCIO</t>
  </si>
  <si>
    <t>MEZA ARELLANO WILMER ADOLFO</t>
  </si>
  <si>
    <t>COLOMER VALERA JESSICA DEL CARMEN</t>
  </si>
  <si>
    <t>SALAZAR AYZANOA BETSY MILAGROS</t>
  </si>
  <si>
    <t>GIRON SANTOS GIANCARLOS LEONCIO</t>
  </si>
  <si>
    <t>CABANILLAS GOMEZ KATHERINE SOFIA</t>
  </si>
  <si>
    <t>VASQUEZ YUPANQUI JANET FERNANDA</t>
  </si>
  <si>
    <t>ANGELES GUILLEN SISHI LESLIE</t>
  </si>
  <si>
    <t>ORDOÑEZ VEGA JEAN CARLOS</t>
  </si>
  <si>
    <t>AGUEDO NARCISO INGRID MERVIN</t>
  </si>
  <si>
    <t>MEZA CHUQUIPOMA PABLO CELESTINO</t>
  </si>
  <si>
    <t>CORNETERO BRAVO JUAN JESUS</t>
  </si>
  <si>
    <t>PHOCCO CONDORI MARIA ELENA</t>
  </si>
  <si>
    <t>ASCOY RAMOS ROSMERY ELIZABETH</t>
  </si>
  <si>
    <t>REATEGUI FRASSINETTI PATRICIA ROXANA</t>
  </si>
  <si>
    <t>TRINIDAD PADILLA DIANA VANESSA</t>
  </si>
  <si>
    <t>ALOR BALBIN GLORIA MARIA</t>
  </si>
  <si>
    <t>CHAUPIS FLORES YOLANDA LESLYE</t>
  </si>
  <si>
    <t>VILLAVICENCIO TENORIO ERMES</t>
  </si>
  <si>
    <t>ALMEIDA SANCHEZ HERNAN NOE</t>
  </si>
  <si>
    <t>CARDOZO VALLE KARLA</t>
  </si>
  <si>
    <t>CABALLERO APAZA CINTHYA PATRCIA</t>
  </si>
  <si>
    <t>MORENO HURTADO GIAN FRANCO</t>
  </si>
  <si>
    <t>PEREZ GONZALEZ MARGARITA SONIA</t>
  </si>
  <si>
    <t>FIESTAS DAVILA JOSE JOEL</t>
  </si>
  <si>
    <t>CHUGDEN FLORES CYNTHIA MARISOL</t>
  </si>
  <si>
    <t>CAVERO RUIIZ FREDY GIANPIERRE</t>
  </si>
  <si>
    <t>SUAÑA PROA SANDRA VERINIS</t>
  </si>
  <si>
    <t>ALEGRIA CHUZON DAVID</t>
  </si>
  <si>
    <t>CORONADO YREIJO PATRICIA YOKO</t>
  </si>
  <si>
    <t>MENDOZA REATEGUI ELKA PAOLA</t>
  </si>
  <si>
    <t>ÑAHUI CAHUANA LAURA MELISSA</t>
  </si>
  <si>
    <t>PEREDA ALVA VICTOR MIGUEL</t>
  </si>
  <si>
    <t>HERRERA EGUIZABAL ANA PAULA</t>
  </si>
  <si>
    <t>DIAZ MALAVER EMERSON</t>
  </si>
  <si>
    <t>LLERENA CANALES SILVIA IRIS</t>
  </si>
  <si>
    <t>TUCTO DIAZ CECILIA MARGARITA</t>
  </si>
  <si>
    <t>PEREZ AQUINO JENNY ELIZABETH</t>
  </si>
  <si>
    <t>ARIAS OSCCORIMA LIDA BALBINA</t>
  </si>
  <si>
    <t>VARGAS BLANCO DIANA MERCEDES</t>
  </si>
  <si>
    <t>NOMBRE GESCO</t>
  </si>
  <si>
    <t>Vilma Bocanegra</t>
  </si>
  <si>
    <t>Carlos Silva</t>
  </si>
  <si>
    <t>Luz Oblitas</t>
  </si>
  <si>
    <t>Sharon Reyes</t>
  </si>
  <si>
    <t>Josias Lozano</t>
  </si>
  <si>
    <t>Erika Mauricio</t>
  </si>
  <si>
    <t>PRODUCTIVIDAD SLA</t>
  </si>
  <si>
    <t>CALIDAR</t>
  </si>
  <si>
    <t>LOGRO TOTAL</t>
  </si>
  <si>
    <t>Gina Camacho</t>
  </si>
  <si>
    <t>NOTA KPI</t>
  </si>
  <si>
    <t>SUMA PESOS</t>
  </si>
  <si>
    <t>NOTA (1+2)</t>
  </si>
  <si>
    <t>JEFE</t>
  </si>
  <si>
    <t>META Mes</t>
  </si>
  <si>
    <t>Suma de META Mes</t>
  </si>
  <si>
    <t>Alan Tarrillo R.</t>
  </si>
  <si>
    <t>Jenny Sanchez R.</t>
  </si>
  <si>
    <t>Magdalena Vicente</t>
  </si>
  <si>
    <t>Jonathan Saldaña P.</t>
  </si>
  <si>
    <t>Abraham Flores H.</t>
  </si>
  <si>
    <t>Jose Fiestas D.</t>
  </si>
  <si>
    <t>Ermes Villavicencio T.</t>
  </si>
  <si>
    <t>Junior Villegas</t>
  </si>
  <si>
    <t>Jessica Palomino</t>
  </si>
  <si>
    <t>Maria Paniagua</t>
  </si>
  <si>
    <t>Diana Sanchez</t>
  </si>
  <si>
    <t>Masivos</t>
  </si>
  <si>
    <t>Descansos - Part Time</t>
  </si>
  <si>
    <t>NO</t>
  </si>
  <si>
    <t>SI</t>
  </si>
  <si>
    <t>Sharon Reyes Fernandez</t>
  </si>
  <si>
    <t>PROMEDIO</t>
  </si>
  <si>
    <t>Contáctenos</t>
  </si>
  <si>
    <t>Meta Diaria</t>
  </si>
  <si>
    <t>Días  Asistidos</t>
  </si>
  <si>
    <t>Logro</t>
  </si>
  <si>
    <t xml:space="preserve"> Días  Asistidos</t>
  </si>
  <si>
    <t>Meta Dia</t>
  </si>
  <si>
    <t>VALIDACIÓN</t>
  </si>
  <si>
    <t>TOTAL</t>
  </si>
  <si>
    <t>SIN SLA</t>
  </si>
  <si>
    <t>Consumo No Reconocido</t>
  </si>
  <si>
    <t>VALIDACIÓN DE EXT</t>
  </si>
  <si>
    <t>REPORTES</t>
  </si>
  <si>
    <t>(en blanco)</t>
  </si>
  <si>
    <t>PRE POST</t>
  </si>
  <si>
    <t>Extorno</t>
  </si>
  <si>
    <t>Aprobados</t>
  </si>
  <si>
    <t>% Nota</t>
  </si>
  <si>
    <t>Indicador</t>
  </si>
  <si>
    <t>Del 06/02/2017 al 10/02/2017</t>
  </si>
  <si>
    <t>Del 13/02/2017 al 17/02/2017</t>
  </si>
  <si>
    <t>Consumo no reconocido</t>
  </si>
  <si>
    <t>SLA FEBRERO TOTAL</t>
  </si>
  <si>
    <t>Reporte Actualizado al 31 de Marzo 2017</t>
  </si>
  <si>
    <t>Problemas en el Envío de Estado de Cuenta</t>
  </si>
  <si>
    <t>Problemas con Pagos</t>
  </si>
  <si>
    <t>Modificación de Tasa</t>
  </si>
  <si>
    <t>Extornos</t>
  </si>
  <si>
    <t>Inadecuada o Insuficiente inormacion</t>
  </si>
  <si>
    <t>Consumo no Reconocido</t>
  </si>
  <si>
    <t>Modificacion Tasa SC</t>
  </si>
  <si>
    <t>Disconformidad en la Atencion</t>
  </si>
  <si>
    <t>Notificaciones a Terceros</t>
  </si>
  <si>
    <t>Del 06/03/2017 al 10/03/2017</t>
  </si>
  <si>
    <t>si</t>
  </si>
  <si>
    <t>Del 13/03/2017 al 17/03/2017</t>
  </si>
  <si>
    <t>Del 20/03/2017 al 24/03/2017</t>
  </si>
  <si>
    <t>Del 27/03/2017 al 31/03/2017</t>
  </si>
  <si>
    <t>no</t>
  </si>
  <si>
    <t>del 06/03/2017 al 10/03/2017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</si>
</sst>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S/.&quot;\ #,##0;[Red]&quot;S/.&quot;\ \-#,##0"/>
    <numFmt numFmtId="43" formatCode="_ * #,##0.00_ ;_ * \-#,##0.00_ ;_ * &quot;-&quot;??_ ;_ @_ "/>
    <numFmt numFmtId="164" formatCode="0.0%"/>
    <numFmt numFmtId="165" formatCode="_ [$S/.-280A]\ * #,##0.00_ ;_ [$S/.-280A]\ * \-#,##0.00_ ;_ [$S/.-280A]\ * &quot;-&quot;??_ ;_ @_ "/>
    <numFmt numFmtId="166" formatCode="_ [$S/.-280A]\ * #,##0_ ;_ [$S/.-280A]\ * \-#,##0_ ;_ [$S/.-280A]\ * &quot;-&quot;??_ ;_ @_ "/>
    <numFmt numFmtId="167" formatCode="_ * #,##0_ ;_ * \-#,##0_ ;_ * &quot;-&quot;??_ ;_ @_ "/>
  </numFmts>
  <fonts count="5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rgb="FF30906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Calibri"/>
      <family val="2"/>
    </font>
    <font>
      <b/>
      <sz val="12"/>
      <color rgb="FF336699"/>
      <name val="Calibri"/>
      <family val="2"/>
      <scheme val="minor"/>
    </font>
    <font>
      <b/>
      <sz val="12"/>
      <color rgb="FF003366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sz val="8"/>
      <color rgb="FF666666"/>
      <name val="Tahoma"/>
      <family val="2"/>
    </font>
    <font>
      <b/>
      <sz val="10"/>
      <color rgb="FFFFFF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2B996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0906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FF5EA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D9E6F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1FFFF"/>
        <bgColor indexed="64"/>
      </patternFill>
    </fill>
    <fill>
      <patternFill patternType="solid">
        <fgColor rgb="FFFF0000"/>
        <bgColor indexed="64"/>
      </patternFill>
    </fill>
  </fills>
  <borders count="6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hair">
        <color theme="0"/>
      </right>
      <top/>
      <bottom style="hair">
        <color theme="0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/>
      <top/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5"/>
      </top>
      <bottom style="thin">
        <color theme="5" tint="0.79998168889431442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theme="0"/>
      </left>
      <right style="thick">
        <color theme="0"/>
      </right>
      <top/>
      <bottom style="hair">
        <color theme="0"/>
      </bottom>
      <diagonal/>
    </border>
    <border>
      <left style="thick">
        <color theme="0"/>
      </left>
      <right/>
      <top/>
      <bottom style="hair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theme="0"/>
      </bottom>
      <diagonal/>
    </border>
    <border>
      <left/>
      <right/>
      <top style="thin">
        <color theme="5" tint="0.79998168889431442"/>
      </top>
      <bottom style="thin">
        <color theme="5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/>
    <xf numFmtId="0" fontId="5" fillId="0" borderId="0"/>
    <xf numFmtId="0" fontId="9" fillId="0" borderId="0"/>
    <xf numFmtId="9" fontId="9" fillId="0" borderId="0" applyFont="0" applyFill="0" applyBorder="0" applyAlignment="0" applyProtection="0"/>
    <xf numFmtId="0" fontId="5" fillId="0" borderId="0"/>
    <xf numFmtId="0" fontId="5" fillId="0" borderId="0"/>
    <xf numFmtId="0" fontId="18" fillId="0" borderId="0"/>
    <xf numFmtId="43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31" applyNumberFormat="0" applyFill="0" applyAlignment="0" applyProtection="0"/>
    <xf numFmtId="0" fontId="26" fillId="0" borderId="32" applyNumberFormat="0" applyFill="0" applyAlignment="0" applyProtection="0"/>
    <xf numFmtId="0" fontId="27" fillId="0" borderId="33" applyNumberFormat="0" applyFill="0" applyAlignment="0" applyProtection="0"/>
    <xf numFmtId="0" fontId="27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9" fillId="23" borderId="0" applyNumberFormat="0" applyBorder="0" applyAlignment="0" applyProtection="0"/>
    <xf numFmtId="0" fontId="30" fillId="24" borderId="0" applyNumberFormat="0" applyBorder="0" applyAlignment="0" applyProtection="0"/>
    <xf numFmtId="0" fontId="31" fillId="25" borderId="34" applyNumberFormat="0" applyAlignment="0" applyProtection="0"/>
    <xf numFmtId="0" fontId="32" fillId="26" borderId="35" applyNumberFormat="0" applyAlignment="0" applyProtection="0"/>
    <xf numFmtId="0" fontId="33" fillId="26" borderId="34" applyNumberFormat="0" applyAlignment="0" applyProtection="0"/>
    <xf numFmtId="0" fontId="34" fillId="0" borderId="36" applyNumberFormat="0" applyFill="0" applyAlignment="0" applyProtection="0"/>
    <xf numFmtId="0" fontId="35" fillId="27" borderId="37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39" applyNumberFormat="0" applyFill="0" applyAlignment="0" applyProtection="0"/>
    <xf numFmtId="0" fontId="3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39" fillId="52" borderId="0" applyNumberFormat="0" applyBorder="0" applyAlignment="0" applyProtection="0"/>
    <xf numFmtId="0" fontId="1" fillId="0" borderId="0"/>
    <xf numFmtId="0" fontId="1" fillId="28" borderId="38" applyNumberFormat="0" applyFont="0" applyAlignment="0" applyProtection="0"/>
  </cellStyleXfs>
  <cellXfs count="240">
    <xf numFmtId="0" fontId="0" fillId="0" borderId="0" xfId="0"/>
    <xf numFmtId="0" fontId="0" fillId="0" borderId="0" xfId="0" pivotButton="1"/>
    <xf numFmtId="9" fontId="0" fillId="0" borderId="0" xfId="1" applyFont="1"/>
    <xf numFmtId="0" fontId="3" fillId="3" borderId="1" xfId="0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horizontal="center" vertical="center" wrapText="1" readingOrder="1"/>
    </xf>
    <xf numFmtId="9" fontId="4" fillId="4" borderId="2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9" fontId="4" fillId="4" borderId="3" xfId="0" applyNumberFormat="1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9" fontId="4" fillId="4" borderId="1" xfId="0" applyNumberFormat="1" applyFont="1" applyFill="1" applyBorder="1" applyAlignment="1">
      <alignment horizontal="center" vertical="center" wrapText="1" readingOrder="1"/>
    </xf>
    <xf numFmtId="0" fontId="0" fillId="0" borderId="0" xfId="0"/>
    <xf numFmtId="0" fontId="0" fillId="0" borderId="0" xfId="0" applyNumberFormat="1"/>
    <xf numFmtId="0" fontId="6" fillId="0" borderId="4" xfId="0" applyFont="1" applyFill="1" applyBorder="1" applyAlignment="1">
      <alignment horizontal="left"/>
    </xf>
    <xf numFmtId="0" fontId="0" fillId="0" borderId="0" xfId="0" applyBorder="1"/>
    <xf numFmtId="0" fontId="6" fillId="5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7" borderId="2" xfId="0" applyFont="1" applyFill="1" applyBorder="1" applyAlignment="1">
      <alignment horizontal="left" vertical="center" wrapText="1" readingOrder="1"/>
    </xf>
    <xf numFmtId="0" fontId="3" fillId="7" borderId="2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left" vertical="center" wrapText="1" indent="2" readingOrder="1"/>
    </xf>
    <xf numFmtId="6" fontId="4" fillId="4" borderId="3" xfId="0" applyNumberFormat="1" applyFont="1" applyFill="1" applyBorder="1" applyAlignment="1">
      <alignment horizontal="center" vertical="center" wrapText="1" readingOrder="1"/>
    </xf>
    <xf numFmtId="6" fontId="4" fillId="4" borderId="1" xfId="0" applyNumberFormat="1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left" vertical="center" wrapText="1" indent="2" readingOrder="1"/>
    </xf>
    <xf numFmtId="0" fontId="4" fillId="4" borderId="7" xfId="0" applyFont="1" applyFill="1" applyBorder="1" applyAlignment="1">
      <alignment horizontal="left" vertical="center" wrapText="1" indent="2" readingOrder="1"/>
    </xf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 applyFill="1"/>
    <xf numFmtId="0" fontId="13" fillId="0" borderId="0" xfId="0" applyFont="1"/>
    <xf numFmtId="0" fontId="8" fillId="0" borderId="15" xfId="0" applyFont="1" applyBorder="1"/>
    <xf numFmtId="166" fontId="12" fillId="0" borderId="0" xfId="0" applyNumberFormat="1" applyFont="1" applyFill="1"/>
    <xf numFmtId="0" fontId="9" fillId="8" borderId="9" xfId="0" applyFont="1" applyFill="1" applyBorder="1"/>
    <xf numFmtId="167" fontId="9" fillId="0" borderId="0" xfId="2" applyNumberFormat="1" applyFont="1"/>
    <xf numFmtId="0" fontId="15" fillId="0" borderId="0" xfId="0" applyFont="1"/>
    <xf numFmtId="0" fontId="10" fillId="2" borderId="18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 vertical="center" wrapText="1"/>
    </xf>
    <xf numFmtId="9" fontId="16" fillId="9" borderId="13" xfId="0" applyNumberFormat="1" applyFont="1" applyFill="1" applyBorder="1" applyAlignment="1">
      <alignment horizontal="center" vertical="center"/>
    </xf>
    <xf numFmtId="9" fontId="17" fillId="12" borderId="17" xfId="0" applyNumberFormat="1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19" fillId="0" borderId="0" xfId="3" applyFont="1"/>
    <xf numFmtId="0" fontId="10" fillId="15" borderId="18" xfId="0" applyFont="1" applyFill="1" applyBorder="1" applyAlignment="1">
      <alignment horizontal="center" vertical="center" wrapText="1"/>
    </xf>
    <xf numFmtId="0" fontId="10" fillId="15" borderId="19" xfId="0" applyFont="1" applyFill="1" applyBorder="1" applyAlignment="1">
      <alignment horizontal="center" vertical="center" wrapText="1"/>
    </xf>
    <xf numFmtId="0" fontId="9" fillId="17" borderId="8" xfId="0" applyFont="1" applyFill="1" applyBorder="1"/>
    <xf numFmtId="0" fontId="9" fillId="17" borderId="9" xfId="0" applyFont="1" applyFill="1" applyBorder="1"/>
    <xf numFmtId="0" fontId="22" fillId="17" borderId="9" xfId="0" applyFont="1" applyFill="1" applyBorder="1"/>
    <xf numFmtId="0" fontId="9" fillId="17" borderId="9" xfId="0" applyNumberFormat="1" applyFont="1" applyFill="1" applyBorder="1"/>
    <xf numFmtId="9" fontId="9" fillId="17" borderId="9" xfId="1" applyNumberFormat="1" applyFont="1" applyFill="1" applyBorder="1"/>
    <xf numFmtId="0" fontId="9" fillId="17" borderId="20" xfId="0" applyNumberFormat="1" applyFont="1" applyFill="1" applyBorder="1"/>
    <xf numFmtId="164" fontId="9" fillId="17" borderId="10" xfId="1" applyNumberFormat="1" applyFont="1" applyFill="1" applyBorder="1"/>
    <xf numFmtId="9" fontId="9" fillId="17" borderId="11" xfId="0" applyNumberFormat="1" applyFont="1" applyFill="1" applyBorder="1"/>
    <xf numFmtId="9" fontId="9" fillId="17" borderId="10" xfId="1" applyFont="1" applyFill="1" applyBorder="1"/>
    <xf numFmtId="165" fontId="9" fillId="17" borderId="20" xfId="0" applyNumberFormat="1" applyFont="1" applyFill="1" applyBorder="1"/>
    <xf numFmtId="165" fontId="9" fillId="17" borderId="11" xfId="0" applyNumberFormat="1" applyFont="1" applyFill="1" applyBorder="1"/>
    <xf numFmtId="165" fontId="9" fillId="17" borderId="10" xfId="0" applyNumberFormat="1" applyFont="1" applyFill="1" applyBorder="1"/>
    <xf numFmtId="165" fontId="9" fillId="17" borderId="12" xfId="0" applyNumberFormat="1" applyFont="1" applyFill="1" applyBorder="1"/>
    <xf numFmtId="164" fontId="22" fillId="17" borderId="12" xfId="1" applyNumberFormat="1" applyFont="1" applyFill="1" applyBorder="1"/>
    <xf numFmtId="9" fontId="9" fillId="18" borderId="22" xfId="1" applyNumberFormat="1" applyFont="1" applyFill="1" applyBorder="1"/>
    <xf numFmtId="9" fontId="9" fillId="18" borderId="21" xfId="1" applyFont="1" applyFill="1" applyBorder="1"/>
    <xf numFmtId="0" fontId="6" fillId="0" borderId="0" xfId="0" applyFont="1" applyFill="1" applyBorder="1" applyAlignment="1">
      <alignment horizontal="left"/>
    </xf>
    <xf numFmtId="0" fontId="9" fillId="17" borderId="9" xfId="0" applyFont="1" applyFill="1" applyBorder="1" applyAlignment="1">
      <alignment horizontal="left"/>
    </xf>
    <xf numFmtId="0" fontId="8" fillId="19" borderId="23" xfId="0" applyFont="1" applyFill="1" applyBorder="1" applyAlignment="1">
      <alignment horizontal="center"/>
    </xf>
    <xf numFmtId="3" fontId="8" fillId="19" borderId="24" xfId="0" applyNumberFormat="1" applyFont="1" applyFill="1" applyBorder="1" applyAlignment="1">
      <alignment horizontal="center"/>
    </xf>
    <xf numFmtId="0" fontId="0" fillId="0" borderId="27" xfId="0" applyBorder="1" applyAlignment="1">
      <alignment horizontal="left" indent="1"/>
    </xf>
    <xf numFmtId="0" fontId="8" fillId="19" borderId="28" xfId="0" applyFont="1" applyFill="1" applyBorder="1" applyAlignment="1">
      <alignment horizontal="left"/>
    </xf>
    <xf numFmtId="3" fontId="0" fillId="0" borderId="0" xfId="0" applyNumberFormat="1"/>
    <xf numFmtId="0" fontId="8" fillId="19" borderId="26" xfId="0" applyFont="1" applyFill="1" applyBorder="1"/>
    <xf numFmtId="0" fontId="0" fillId="9" borderId="0" xfId="0" applyFill="1"/>
    <xf numFmtId="0" fontId="8" fillId="19" borderId="25" xfId="0" applyFont="1" applyFill="1" applyBorder="1"/>
    <xf numFmtId="0" fontId="23" fillId="20" borderId="0" xfId="0" applyFont="1" applyFill="1"/>
    <xf numFmtId="0" fontId="0" fillId="5" borderId="0" xfId="0" applyFill="1" applyAlignment="1">
      <alignment horizontal="left"/>
    </xf>
    <xf numFmtId="9" fontId="0" fillId="0" borderId="0" xfId="0" applyNumberFormat="1"/>
    <xf numFmtId="164" fontId="0" fillId="0" borderId="0" xfId="0" applyNumberFormat="1"/>
    <xf numFmtId="9" fontId="9" fillId="18" borderId="40" xfId="1" applyFont="1" applyFill="1" applyBorder="1"/>
    <xf numFmtId="9" fontId="9" fillId="17" borderId="40" xfId="1" applyFont="1" applyFill="1" applyBorder="1"/>
    <xf numFmtId="0" fontId="9" fillId="0" borderId="0" xfId="0" applyFont="1" applyAlignment="1">
      <alignment horizontal="center"/>
    </xf>
    <xf numFmtId="166" fontId="12" fillId="0" borderId="4" xfId="0" applyNumberFormat="1" applyFont="1" applyFill="1" applyBorder="1"/>
    <xf numFmtId="0" fontId="41" fillId="0" borderId="0" xfId="0" applyFont="1" applyBorder="1" applyAlignment="1">
      <alignment horizontal="center"/>
    </xf>
    <xf numFmtId="166" fontId="12" fillId="0" borderId="0" xfId="0" applyNumberFormat="1" applyFont="1" applyFill="1" applyBorder="1"/>
    <xf numFmtId="165" fontId="9" fillId="17" borderId="8" xfId="0" applyNumberFormat="1" applyFont="1" applyFill="1" applyBorder="1"/>
    <xf numFmtId="165" fontId="42" fillId="5" borderId="0" xfId="0" applyNumberFormat="1" applyFont="1" applyFill="1"/>
    <xf numFmtId="0" fontId="8" fillId="0" borderId="41" xfId="0" applyFont="1" applyBorder="1"/>
    <xf numFmtId="1" fontId="9" fillId="0" borderId="0" xfId="0" applyNumberFormat="1" applyFont="1"/>
    <xf numFmtId="3" fontId="9" fillId="17" borderId="9" xfId="0" applyNumberFormat="1" applyFont="1" applyFill="1" applyBorder="1"/>
    <xf numFmtId="3" fontId="9" fillId="0" borderId="0" xfId="0" applyNumberFormat="1" applyFont="1"/>
    <xf numFmtId="3" fontId="9" fillId="17" borderId="20" xfId="0" applyNumberFormat="1" applyFont="1" applyFill="1" applyBorder="1"/>
    <xf numFmtId="0" fontId="0" fillId="0" borderId="45" xfId="0" applyBorder="1"/>
    <xf numFmtId="0" fontId="0" fillId="0" borderId="45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/>
    <xf numFmtId="9" fontId="0" fillId="0" borderId="0" xfId="0" applyNumberFormat="1" applyBorder="1"/>
    <xf numFmtId="164" fontId="0" fillId="0" borderId="0" xfId="0" applyNumberFormat="1" applyBorder="1"/>
    <xf numFmtId="0" fontId="40" fillId="0" borderId="0" xfId="0" applyFont="1"/>
    <xf numFmtId="0" fontId="9" fillId="53" borderId="0" xfId="0" applyFont="1" applyFill="1"/>
    <xf numFmtId="1" fontId="9" fillId="53" borderId="0" xfId="0" applyNumberFormat="1" applyFont="1" applyFill="1"/>
    <xf numFmtId="0" fontId="9" fillId="53" borderId="0" xfId="0" applyFont="1" applyFill="1" applyAlignment="1">
      <alignment horizontal="center"/>
    </xf>
    <xf numFmtId="0" fontId="10" fillId="21" borderId="49" xfId="5" applyFont="1" applyFill="1" applyBorder="1" applyAlignment="1">
      <alignment horizontal="center" vertical="center" wrapText="1"/>
    </xf>
    <xf numFmtId="0" fontId="10" fillId="21" borderId="50" xfId="5" applyFont="1" applyFill="1" applyBorder="1" applyAlignment="1">
      <alignment horizontal="center" vertical="center" wrapText="1"/>
    </xf>
    <xf numFmtId="0" fontId="10" fillId="21" borderId="48" xfId="5" applyFont="1" applyFill="1" applyBorder="1" applyAlignment="1">
      <alignment horizontal="center" vertical="center" wrapText="1"/>
    </xf>
    <xf numFmtId="0" fontId="10" fillId="21" borderId="47" xfId="5" applyFont="1" applyFill="1" applyBorder="1" applyAlignment="1">
      <alignment horizontal="center" vertical="center" wrapText="1"/>
    </xf>
    <xf numFmtId="1" fontId="10" fillId="21" borderId="47" xfId="5" applyNumberFormat="1" applyFont="1" applyFill="1" applyBorder="1" applyAlignment="1">
      <alignment horizontal="center" vertical="center" wrapText="1"/>
    </xf>
    <xf numFmtId="0" fontId="43" fillId="54" borderId="51" xfId="5" applyFont="1" applyFill="1" applyBorder="1" applyAlignment="1">
      <alignment horizontal="center" vertical="center"/>
    </xf>
    <xf numFmtId="0" fontId="43" fillId="54" borderId="52" xfId="5" applyFont="1" applyFill="1" applyBorder="1" applyAlignment="1">
      <alignment horizontal="center" vertical="center"/>
    </xf>
    <xf numFmtId="0" fontId="43" fillId="55" borderId="50" xfId="5" applyFont="1" applyFill="1" applyBorder="1" applyAlignment="1">
      <alignment horizontal="center" vertical="center"/>
    </xf>
    <xf numFmtId="0" fontId="43" fillId="54" borderId="53" xfId="5" applyFont="1" applyFill="1" applyBorder="1" applyAlignment="1">
      <alignment horizontal="center" vertical="center"/>
    </xf>
    <xf numFmtId="0" fontId="43" fillId="54" borderId="47" xfId="5" applyFont="1" applyFill="1" applyBorder="1" applyAlignment="1">
      <alignment horizontal="center" vertical="center"/>
    </xf>
    <xf numFmtId="0" fontId="10" fillId="21" borderId="54" xfId="5" applyFont="1" applyFill="1" applyBorder="1" applyAlignment="1">
      <alignment horizontal="center" vertical="center" wrapText="1"/>
    </xf>
    <xf numFmtId="14" fontId="22" fillId="53" borderId="4" xfId="0" applyNumberFormat="1" applyFont="1" applyFill="1" applyBorder="1" applyAlignment="1">
      <alignment horizontal="center" vertical="center"/>
    </xf>
    <xf numFmtId="1" fontId="22" fillId="53" borderId="4" xfId="0" applyNumberFormat="1" applyFont="1" applyFill="1" applyBorder="1" applyAlignment="1">
      <alignment horizontal="center" vertical="center"/>
    </xf>
    <xf numFmtId="14" fontId="22" fillId="53" borderId="4" xfId="0" applyNumberFormat="1" applyFont="1" applyFill="1" applyBorder="1" applyAlignment="1">
      <alignment horizontal="left" vertical="center"/>
    </xf>
    <xf numFmtId="9" fontId="9" fillId="0" borderId="55" xfId="1" applyFont="1" applyBorder="1" applyAlignment="1">
      <alignment horizontal="center"/>
    </xf>
    <xf numFmtId="9" fontId="41" fillId="55" borderId="55" xfId="1" applyFont="1" applyFill="1" applyBorder="1" applyAlignment="1">
      <alignment horizontal="center"/>
    </xf>
    <xf numFmtId="9" fontId="40" fillId="0" borderId="55" xfId="1" applyFont="1" applyBorder="1" applyAlignment="1">
      <alignment horizontal="center"/>
    </xf>
    <xf numFmtId="9" fontId="43" fillId="55" borderId="55" xfId="1" applyFont="1" applyFill="1" applyBorder="1" applyAlignment="1">
      <alignment horizontal="center"/>
    </xf>
    <xf numFmtId="9" fontId="9" fillId="0" borderId="56" xfId="1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9" fillId="0" borderId="0" xfId="0" applyFont="1" applyBorder="1"/>
    <xf numFmtId="0" fontId="22" fillId="53" borderId="4" xfId="0" applyNumberFormat="1" applyFont="1" applyFill="1" applyBorder="1" applyAlignment="1">
      <alignment horizontal="left" vertical="center"/>
    </xf>
    <xf numFmtId="0" fontId="44" fillId="56" borderId="0" xfId="0" applyFont="1" applyFill="1" applyAlignment="1">
      <alignment horizontal="center"/>
    </xf>
    <xf numFmtId="0" fontId="6" fillId="0" borderId="57" xfId="0" applyFont="1" applyFill="1" applyBorder="1" applyAlignment="1">
      <alignment horizontal="left"/>
    </xf>
    <xf numFmtId="0" fontId="44" fillId="56" borderId="0" xfId="0" applyFont="1" applyFill="1" applyBorder="1" applyAlignment="1">
      <alignment horizontal="center"/>
    </xf>
    <xf numFmtId="0" fontId="45" fillId="0" borderId="0" xfId="0" applyFont="1"/>
    <xf numFmtId="0" fontId="44" fillId="56" borderId="4" xfId="0" applyFont="1" applyFill="1" applyBorder="1" applyAlignment="1">
      <alignment horizontal="center"/>
    </xf>
    <xf numFmtId="0" fontId="0" fillId="0" borderId="27" xfId="0" applyFill="1" applyBorder="1" applyAlignment="1">
      <alignment horizontal="left" indent="1"/>
    </xf>
    <xf numFmtId="0" fontId="8" fillId="0" borderId="0" xfId="0" applyNumberFormat="1" applyFont="1" applyBorder="1" applyAlignment="1">
      <alignment horizontal="center"/>
    </xf>
    <xf numFmtId="0" fontId="8" fillId="57" borderId="0" xfId="0" applyNumberFormat="1" applyFont="1" applyFill="1" applyBorder="1" applyAlignment="1">
      <alignment horizontal="center"/>
    </xf>
    <xf numFmtId="0" fontId="46" fillId="10" borderId="14" xfId="0" applyFont="1" applyFill="1" applyBorder="1" applyAlignment="1">
      <alignment horizontal="center" vertical="center" wrapText="1"/>
    </xf>
    <xf numFmtId="9" fontId="13" fillId="0" borderId="0" xfId="0" applyNumberFormat="1" applyFont="1"/>
    <xf numFmtId="9" fontId="11" fillId="0" borderId="0" xfId="0" applyNumberFormat="1" applyFont="1"/>
    <xf numFmtId="9" fontId="9" fillId="18" borderId="40" xfId="1" applyNumberFormat="1" applyFont="1" applyFill="1" applyBorder="1"/>
    <xf numFmtId="164" fontId="9" fillId="18" borderId="40" xfId="1" applyNumberFormat="1" applyFont="1" applyFill="1" applyBorder="1"/>
    <xf numFmtId="164" fontId="9" fillId="18" borderId="22" xfId="1" applyNumberFormat="1" applyFont="1" applyFill="1" applyBorder="1"/>
    <xf numFmtId="0" fontId="10" fillId="56" borderId="18" xfId="0" applyFont="1" applyFill="1" applyBorder="1" applyAlignment="1">
      <alignment horizontal="center" vertical="center" wrapText="1"/>
    </xf>
    <xf numFmtId="0" fontId="10" fillId="56" borderId="14" xfId="0" applyFont="1" applyFill="1" applyBorder="1" applyAlignment="1">
      <alignment horizontal="center" vertical="center" wrapText="1"/>
    </xf>
    <xf numFmtId="0" fontId="10" fillId="56" borderId="19" xfId="0" applyFont="1" applyFill="1" applyBorder="1" applyAlignment="1">
      <alignment horizontal="center" vertical="center" wrapText="1"/>
    </xf>
    <xf numFmtId="0" fontId="10" fillId="10" borderId="0" xfId="0" applyFont="1" applyFill="1" applyBorder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 wrapText="1"/>
    </xf>
    <xf numFmtId="9" fontId="9" fillId="0" borderId="0" xfId="1" applyFont="1"/>
    <xf numFmtId="0" fontId="10" fillId="15" borderId="14" xfId="0" applyFont="1" applyFill="1" applyBorder="1" applyAlignment="1">
      <alignment horizontal="center" vertical="center" wrapText="1"/>
    </xf>
    <xf numFmtId="3" fontId="8" fillId="19" borderId="0" xfId="0" applyNumberFormat="1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47" fillId="5" borderId="50" xfId="5" applyFont="1" applyFill="1" applyBorder="1" applyAlignment="1">
      <alignment horizontal="center" vertical="center" wrapText="1"/>
    </xf>
    <xf numFmtId="0" fontId="0" fillId="5" borderId="0" xfId="0" applyFill="1"/>
    <xf numFmtId="0" fontId="15" fillId="0" borderId="23" xfId="0" applyFont="1" applyBorder="1"/>
    <xf numFmtId="3" fontId="0" fillId="0" borderId="60" xfId="0" applyNumberFormat="1" applyBorder="1" applyAlignment="1">
      <alignment horizontal="center"/>
    </xf>
    <xf numFmtId="0" fontId="0" fillId="0" borderId="27" xfId="0" applyBorder="1"/>
    <xf numFmtId="3" fontId="0" fillId="0" borderId="59" xfId="0" applyNumberFormat="1" applyBorder="1" applyAlignment="1">
      <alignment horizontal="center"/>
    </xf>
    <xf numFmtId="0" fontId="0" fillId="0" borderId="29" xfId="0" applyBorder="1"/>
    <xf numFmtId="166" fontId="9" fillId="0" borderId="0" xfId="0" applyNumberFormat="1" applyFont="1"/>
    <xf numFmtId="0" fontId="48" fillId="0" borderId="4" xfId="0" applyFont="1" applyFill="1" applyBorder="1" applyAlignment="1">
      <alignment horizontal="left"/>
    </xf>
    <xf numFmtId="3" fontId="8" fillId="19" borderId="3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3" fontId="51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8" fillId="0" borderId="0" xfId="0" applyNumberFormat="1" applyFont="1" applyBorder="1" applyAlignment="1">
      <alignment horizontal="center"/>
    </xf>
    <xf numFmtId="9" fontId="52" fillId="0" borderId="0" xfId="1" applyFont="1" applyAlignment="1">
      <alignment horizontal="left"/>
    </xf>
    <xf numFmtId="1" fontId="0" fillId="0" borderId="0" xfId="0" applyNumberFormat="1"/>
    <xf numFmtId="167" fontId="0" fillId="0" borderId="0" xfId="0" applyNumberFormat="1"/>
    <xf numFmtId="43" fontId="0" fillId="0" borderId="0" xfId="2" applyFont="1"/>
    <xf numFmtId="0" fontId="0" fillId="16" borderId="0" xfId="0" applyFill="1"/>
    <xf numFmtId="1" fontId="9" fillId="17" borderId="9" xfId="0" applyNumberFormat="1" applyFont="1" applyFill="1" applyBorder="1"/>
    <xf numFmtId="167" fontId="0" fillId="0" borderId="0" xfId="0" applyNumberFormat="1" applyFill="1"/>
    <xf numFmtId="167" fontId="0" fillId="5" borderId="0" xfId="0" applyNumberFormat="1" applyFill="1"/>
    <xf numFmtId="3" fontId="0" fillId="0" borderId="0" xfId="0" applyNumberFormat="1" applyFill="1" applyAlignment="1">
      <alignment horizontal="center"/>
    </xf>
    <xf numFmtId="9" fontId="9" fillId="17" borderId="9" xfId="1" applyFont="1" applyFill="1" applyBorder="1"/>
    <xf numFmtId="167" fontId="9" fillId="8" borderId="9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0" xfId="0" applyFill="1" applyAlignment="1">
      <alignment horizontal="center"/>
    </xf>
    <xf numFmtId="3" fontId="0" fillId="9" borderId="0" xfId="0" applyNumberFormat="1" applyFill="1" applyAlignment="1">
      <alignment horizontal="center"/>
    </xf>
    <xf numFmtId="3" fontId="53" fillId="5" borderId="0" xfId="0" applyNumberFormat="1" applyFont="1" applyFill="1"/>
    <xf numFmtId="0" fontId="22" fillId="17" borderId="9" xfId="0" applyFont="1" applyFill="1" applyBorder="1" applyAlignment="1">
      <alignment horizontal="left"/>
    </xf>
    <xf numFmtId="9" fontId="0" fillId="0" borderId="42" xfId="1" applyFont="1" applyFill="1" applyBorder="1"/>
    <xf numFmtId="9" fontId="0" fillId="0" borderId="0" xfId="0" applyNumberFormat="1" applyFill="1"/>
    <xf numFmtId="0" fontId="0" fillId="0" borderId="0" xfId="0" applyFill="1"/>
    <xf numFmtId="167" fontId="54" fillId="21" borderId="55" xfId="2" applyNumberFormat="1" applyFont="1" applyFill="1" applyBorder="1" applyAlignment="1">
      <alignment horizontal="center"/>
    </xf>
    <xf numFmtId="167" fontId="54" fillId="56" borderId="55" xfId="2" applyNumberFormat="1" applyFont="1" applyFill="1" applyBorder="1" applyAlignment="1">
      <alignment horizontal="center"/>
    </xf>
    <xf numFmtId="0" fontId="54" fillId="60" borderId="4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9" fontId="10" fillId="21" borderId="4" xfId="6" applyFont="1" applyFill="1" applyBorder="1" applyAlignment="1">
      <alignment horizontal="center"/>
    </xf>
    <xf numFmtId="9" fontId="10" fillId="55" borderId="4" xfId="6" applyFont="1" applyFill="1" applyBorder="1" applyAlignment="1">
      <alignment horizontal="center"/>
    </xf>
    <xf numFmtId="0" fontId="54" fillId="21" borderId="4" xfId="0" applyFont="1" applyFill="1" applyBorder="1" applyAlignment="1">
      <alignment horizontal="center"/>
    </xf>
    <xf numFmtId="10" fontId="52" fillId="0" borderId="0" xfId="1" applyNumberFormat="1" applyFont="1" applyAlignment="1">
      <alignment horizontal="left"/>
    </xf>
    <xf numFmtId="0" fontId="8" fillId="59" borderId="0" xfId="0" applyFont="1" applyFill="1"/>
    <xf numFmtId="165" fontId="9" fillId="0" borderId="0" xfId="0" applyNumberFormat="1" applyFont="1"/>
    <xf numFmtId="9" fontId="0" fillId="0" borderId="0" xfId="1" applyFont="1" applyFill="1" applyAlignment="1">
      <alignment horizontal="center"/>
    </xf>
    <xf numFmtId="3" fontId="51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0" fillId="0" borderId="59" xfId="0" applyBorder="1"/>
    <xf numFmtId="0" fontId="0" fillId="0" borderId="58" xfId="0" applyBorder="1"/>
    <xf numFmtId="0" fontId="9" fillId="0" borderId="0" xfId="0" applyFont="1" applyAlignment="1">
      <alignment horizontal="center"/>
    </xf>
    <xf numFmtId="0" fontId="9" fillId="0" borderId="0" xfId="2" applyNumberFormat="1" applyFont="1"/>
    <xf numFmtId="9" fontId="0" fillId="5" borderId="42" xfId="1" applyFont="1" applyFill="1" applyBorder="1"/>
    <xf numFmtId="0" fontId="54" fillId="60" borderId="56" xfId="0" applyFont="1" applyFill="1" applyBorder="1" applyAlignment="1">
      <alignment horizontal="center"/>
    </xf>
    <xf numFmtId="0" fontId="0" fillId="0" borderId="0" xfId="0" applyNumberFormat="1" applyFill="1"/>
    <xf numFmtId="1" fontId="0" fillId="0" borderId="0" xfId="0" applyNumberFormat="1" applyFill="1"/>
    <xf numFmtId="1" fontId="8" fillId="0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59" borderId="27" xfId="0" applyFill="1" applyBorder="1" applyAlignment="1">
      <alignment horizontal="left" indent="1"/>
    </xf>
    <xf numFmtId="3" fontId="51" fillId="59" borderId="0" xfId="0" applyNumberFormat="1" applyFont="1" applyFill="1" applyBorder="1" applyAlignment="1">
      <alignment horizontal="center"/>
    </xf>
    <xf numFmtId="0" fontId="8" fillId="59" borderId="0" xfId="0" applyNumberFormat="1" applyFont="1" applyFill="1" applyBorder="1" applyAlignment="1">
      <alignment horizontal="center"/>
    </xf>
    <xf numFmtId="9" fontId="0" fillId="59" borderId="0" xfId="1" applyFont="1" applyFill="1" applyAlignment="1">
      <alignment horizontal="center"/>
    </xf>
    <xf numFmtId="0" fontId="54" fillId="21" borderId="55" xfId="0" applyFont="1" applyFill="1" applyBorder="1"/>
    <xf numFmtId="0" fontId="54" fillId="21" borderId="4" xfId="0" applyFont="1" applyFill="1" applyBorder="1"/>
    <xf numFmtId="3" fontId="56" fillId="5" borderId="0" xfId="0" applyNumberFormat="1" applyFont="1" applyFill="1"/>
    <xf numFmtId="3" fontId="56" fillId="5" borderId="0" xfId="0" applyNumberFormat="1" applyFont="1" applyFill="1" applyAlignment="1">
      <alignment horizontal="right"/>
    </xf>
    <xf numFmtId="167" fontId="9" fillId="0" borderId="0" xfId="0" applyNumberFormat="1" applyFont="1"/>
    <xf numFmtId="9" fontId="0" fillId="0" borderId="0" xfId="1" applyNumberFormat="1" applyFont="1"/>
    <xf numFmtId="3" fontId="0" fillId="5" borderId="0" xfId="0" applyNumberFormat="1" applyFill="1" applyAlignment="1">
      <alignment horizontal="center"/>
    </xf>
    <xf numFmtId="0" fontId="0" fillId="5" borderId="27" xfId="0" applyFill="1" applyBorder="1" applyAlignment="1">
      <alignment horizontal="left" indent="1"/>
    </xf>
    <xf numFmtId="0" fontId="41" fillId="0" borderId="4" xfId="0" applyFont="1" applyBorder="1" applyAlignment="1">
      <alignment horizontal="center"/>
    </xf>
    <xf numFmtId="0" fontId="17" fillId="12" borderId="1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21" fillId="9" borderId="16" xfId="0" applyFont="1" applyFill="1" applyBorder="1" applyAlignment="1">
      <alignment horizontal="center" vertical="center"/>
    </xf>
    <xf numFmtId="0" fontId="21" fillId="9" borderId="13" xfId="0" applyFont="1" applyFill="1" applyBorder="1" applyAlignment="1">
      <alignment horizontal="center" vertical="center"/>
    </xf>
    <xf numFmtId="9" fontId="20" fillId="58" borderId="16" xfId="0" applyNumberFormat="1" applyFont="1" applyFill="1" applyBorder="1" applyAlignment="1">
      <alignment horizontal="center" vertical="center"/>
    </xf>
    <xf numFmtId="9" fontId="20" fillId="58" borderId="13" xfId="0" applyNumberFormat="1" applyFont="1" applyFill="1" applyBorder="1" applyAlignment="1">
      <alignment horizontal="center" vertical="center"/>
    </xf>
    <xf numFmtId="9" fontId="20" fillId="58" borderId="17" xfId="0" applyNumberFormat="1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  <xf numFmtId="9" fontId="20" fillId="16" borderId="16" xfId="0" applyNumberFormat="1" applyFont="1" applyFill="1" applyBorder="1" applyAlignment="1">
      <alignment horizontal="center" vertical="center"/>
    </xf>
    <xf numFmtId="9" fontId="20" fillId="16" borderId="13" xfId="0" applyNumberFormat="1" applyFont="1" applyFill="1" applyBorder="1" applyAlignment="1">
      <alignment horizontal="center" vertical="center"/>
    </xf>
    <xf numFmtId="9" fontId="20" fillId="16" borderId="17" xfId="0" applyNumberFormat="1" applyFont="1" applyFill="1" applyBorder="1" applyAlignment="1">
      <alignment horizontal="center" vertical="center"/>
    </xf>
    <xf numFmtId="0" fontId="40" fillId="0" borderId="43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4" xfId="0" applyBorder="1" applyAlignment="1">
      <alignment horizontal="center"/>
    </xf>
    <xf numFmtId="9" fontId="4" fillId="4" borderId="5" xfId="0" applyNumberFormat="1" applyFont="1" applyFill="1" applyBorder="1" applyAlignment="1">
      <alignment horizontal="center" vertical="center" wrapText="1" readingOrder="1"/>
    </xf>
    <xf numFmtId="9" fontId="4" fillId="4" borderId="6" xfId="0" applyNumberFormat="1" applyFont="1" applyFill="1" applyBorder="1" applyAlignment="1">
      <alignment horizontal="center" vertical="center" wrapText="1" readingOrder="1"/>
    </xf>
    <xf numFmtId="9" fontId="4" fillId="4" borderId="7" xfId="0" applyNumberFormat="1" applyFont="1" applyFill="1" applyBorder="1" applyAlignment="1">
      <alignment horizontal="center" vertical="center" wrapText="1" readingOrder="1"/>
    </xf>
    <xf numFmtId="0" fontId="8" fillId="5" borderId="0" xfId="0" applyFont="1" applyFill="1" applyAlignment="1">
      <alignment horizontal="center"/>
    </xf>
  </cellXfs>
  <cellStyles count="53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a" xfId="16" builtinId="26" customBuiltin="1"/>
    <cellStyle name="Cálculo" xfId="21" builtinId="22" customBuiltin="1"/>
    <cellStyle name="Celda de comprobación" xfId="23" builtinId="23" customBuiltin="1"/>
    <cellStyle name="Celda vinculada" xfId="22" builtinId="24" customBuiltin="1"/>
    <cellStyle name="Encabezado 1" xfId="12" builtinId="16" customBuiltin="1"/>
    <cellStyle name="Encabezado 4" xfId="15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9" builtinId="20" customBuiltin="1"/>
    <cellStyle name="Incorrecto" xfId="17" builtinId="27" customBuiltin="1"/>
    <cellStyle name="Millares" xfId="2" builtinId="3"/>
    <cellStyle name="Millares 2" xfId="10"/>
    <cellStyle name="Neutral" xfId="18" builtinId="28" customBuiltin="1"/>
    <cellStyle name="Normal" xfId="0" builtinId="0"/>
    <cellStyle name="Normal 2" xfId="7"/>
    <cellStyle name="Normal 2 2" xfId="8"/>
    <cellStyle name="Normal 3" xfId="5"/>
    <cellStyle name="Normal 4" xfId="9"/>
    <cellStyle name="Normal 5" xfId="4"/>
    <cellStyle name="Normal 6" xfId="51"/>
    <cellStyle name="Normal_Avance de Tarjetas - MAESTRO" xfId="3"/>
    <cellStyle name="Notas 2" xfId="52"/>
    <cellStyle name="Porcentaje" xfId="1" builtinId="5"/>
    <cellStyle name="Porcentual 2" xfId="6"/>
    <cellStyle name="Salida" xfId="20" builtinId="21" customBuiltin="1"/>
    <cellStyle name="Texto de advertencia" xfId="24" builtinId="11" customBuiltin="1"/>
    <cellStyle name="Texto explicativo" xfId="25" builtinId="53" customBuiltin="1"/>
    <cellStyle name="Título" xfId="11" builtinId="15" customBuiltin="1"/>
    <cellStyle name="Título 2" xfId="13" builtinId="17" customBuiltin="1"/>
    <cellStyle name="Título 3" xfId="14" builtinId="18" customBuiltin="1"/>
    <cellStyle name="Total" xfId="26" builtinId="25" customBuiltin="1"/>
  </cellStyles>
  <dxfs count="2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_ * #,##0_ ;_ * \-#,##0_ ;_ * &quot;-&quot;??_ ;_ @_ "/>
    </dxf>
    <dxf>
      <numFmt numFmtId="167" formatCode="_ * #,##0_ ;_ * \-#,##0_ ;_ * &quot;-&quot;??_ ;_ @_ "/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colors>
    <mruColors>
      <color rgb="FFD1FFFF"/>
      <color rgb="FF309060"/>
      <color rgb="FFD9E6F3"/>
      <color rgb="FF336699"/>
      <color rgb="FF008080"/>
      <color rgb="FFB2B2B2"/>
      <color rgb="FFDDDDDD"/>
      <color rgb="FF003366"/>
      <color rgb="FFDFF5EA"/>
      <color rgb="FF0062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ñoz Leslie" refreshedDate="42843.72335266204" createdVersion="5" refreshedVersion="5" minRefreshableVersion="3" recordCount="61">
  <cacheSource type="worksheet">
    <worksheetSource ref="B20:I81" sheet="PRODUCTIVIDAD UAC"/>
  </cacheSource>
  <cacheFields count="8">
    <cacheField name="Etiquetas de fila" numFmtId="0">
      <sharedItems/>
    </cacheField>
    <cacheField name="Días  Asistidos" numFmtId="0">
      <sharedItems containsSemiMixedTypes="0" containsString="0" containsNumber="1" containsInteger="1" minValue="0" maxValue="875"/>
    </cacheField>
    <cacheField name="Total Acumulado" numFmtId="0">
      <sharedItems containsSemiMixedTypes="0" containsString="0" containsNumber="1" containsInteger="1" minValue="7" maxValue="8659"/>
    </cacheField>
    <cacheField name="Logro" numFmtId="0">
      <sharedItems containsString="0" containsBlank="1" containsNumber="1" minValue="0" maxValue="33.5"/>
    </cacheField>
    <cacheField name="Meta Diaria" numFmtId="0">
      <sharedItems containsSemiMixedTypes="0" containsString="0" containsNumber="1" minValue="5" maxValue="608.87152777777783"/>
    </cacheField>
    <cacheField name="META Mes" numFmtId="3">
      <sharedItems containsSemiMixedTypes="0" containsString="0" containsNumber="1" minValue="0" maxValue="9431.3888888888905"/>
    </cacheField>
    <cacheField name="CODIGO" numFmtId="0">
      <sharedItems containsString="0" containsBlank="1" containsNumber="1" containsInteger="1" minValue="7001746" maxValue="50097856" count="60">
        <n v="7051709"/>
        <n v="7021785"/>
        <n v="50050491"/>
        <n v="50071349"/>
        <n v="7032030"/>
        <n v="7052616"/>
        <n v="50050962"/>
        <n v="50019405"/>
        <n v="7019425"/>
        <n v="50033117"/>
        <n v="50003136"/>
        <n v="7030422"/>
        <n v="50030022"/>
        <n v="50015007"/>
        <n v="7032287"/>
        <n v="50016385"/>
        <n v="7002736"/>
        <n v="50028026"/>
        <n v="50083096"/>
        <n v="50006402"/>
        <n v="50097856"/>
        <n v="50062066"/>
        <n v="50075738"/>
        <n v="7010952"/>
        <n v="50023969"/>
        <n v="50008507"/>
        <n v="50036060"/>
        <n v="7051956"/>
        <n v="50034651"/>
        <n v="50067909"/>
        <n v="7047319"/>
        <n v="7014400"/>
        <n v="7007842"/>
        <n v="7001746"/>
        <n v="7031487"/>
        <n v="7052384"/>
        <n v="50008739"/>
        <n v="7024375"/>
        <n v="7048713"/>
        <n v="7029903"/>
        <n v="7017700"/>
        <n v="7051170"/>
        <n v="7028749"/>
        <n v="7015480"/>
        <n v="50044239"/>
        <n v="50018993"/>
        <n v="7054026"/>
        <n v="50022466"/>
        <n v="7017353"/>
        <n v="7003932"/>
        <n v="7019961"/>
        <n v="7017148"/>
        <n v="7016991"/>
        <n v="50046341"/>
        <n v="50016617"/>
        <m/>
        <n v="50054337"/>
        <n v="50094481"/>
        <n v="7009426"/>
        <n v="7058852"/>
      </sharedItems>
    </cacheField>
    <cacheField name="GRUP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uñoz Leslie" refreshedDate="42843.739607754629" createdVersion="5" refreshedVersion="5" minRefreshableVersion="3" recordCount="31">
  <cacheSource type="worksheet">
    <worksheetSource ref="A2:AI49" sheet="CALIDAD"/>
  </cacheSource>
  <cacheFields count="35">
    <cacheField name="SEMANA" numFmtId="0">
      <sharedItems containsBlank="1"/>
    </cacheField>
    <cacheField name="FECHA DE LA MUESTRA" numFmtId="0">
      <sharedItems containsNonDate="0" containsDate="1" containsString="0" containsBlank="1" minDate="2017-03-10T00:00:00" maxDate="2017-04-04T00:00:00"/>
    </cacheField>
    <cacheField name="MES" numFmtId="1">
      <sharedItems containsString="0" containsBlank="1" containsNumber="1" containsInteger="1" minValue="2" maxValue="3"/>
    </cacheField>
    <cacheField name="N° INCIDENTE" numFmtId="1">
      <sharedItems containsString="0" containsBlank="1" containsNumber="1" containsInteger="1" minValue="1855413" maxValue="1988436"/>
    </cacheField>
    <cacheField name="NOMBRE DEL ESPECIALISTA" numFmtId="0">
      <sharedItems containsBlank="1" count="70">
        <s v="Sasha Asmat"/>
        <s v="Maria Paniagua"/>
        <s v="Giancarlos Giron"/>
        <s v="Diana Sanchez"/>
        <s v="Enrique Gutierrez"/>
        <s v="FERNANDO ALEXIS"/>
        <s v="Vanessa Alvarado"/>
        <s v="ANGIE MERLY"/>
        <s v="Miguel Gayoso"/>
        <s v="Abraham José"/>
        <s v="Alis Villanueva"/>
        <s v="Diana Espinal"/>
        <s v="Alan Tarrillo"/>
        <s v="Aleida Cárdenas"/>
        <s v="Jhonatan Saldaña"/>
        <s v="Ketty Berrospi"/>
        <s v="Fiorella Valdiviezo"/>
        <s v="Magdalena Vicente"/>
        <s v="Yissel Huaman"/>
        <m/>
        <s v="Giovanny Ramos" u="1"/>
        <s v="Vilma Bocanegra" u="1"/>
        <s v="Christian Rengifo" u="1"/>
        <s v="Juan Zorrilla" u="1"/>
        <s v="Yajahira Aguirre " u="1"/>
        <s v="Alan Tarrillo R." u="1"/>
        <s v="Jonathan Saldaña" u="1"/>
        <s v="Marco Zuñiga" u="1"/>
        <s v="Luzmila Valiente" u="1"/>
        <s v="Britt Loayza" u="1"/>
        <s v="Angel Yamunaque" u="1"/>
        <s v="Giovanni Ramos" u="1"/>
        <s v="Carmen Salas" u="1"/>
        <s v="Jenny Sanchez R." u="1"/>
        <s v="Yajahira Aguirre" u="1"/>
        <s v="Maria del" u="1"/>
        <s v="Victor Saavedra" u="1"/>
        <s v="Alexandra Quispe" u="1"/>
        <s v="Jose Fiestas D." u="1"/>
        <s v="Luis Alberto" u="1"/>
        <s v="Luz Oblitas" u="1"/>
        <s v="Yahaira Aguirre" u="1"/>
        <s v="Vanessa Alvarado " u="1"/>
        <s v="Angie Suarez" u="1"/>
        <s v="Abraham Flores H." u="1"/>
        <s v="Silvana Bocardo" u="1"/>
        <s v="Jonathan Saldaña " u="1"/>
        <s v="Jessica Colomer" u="1"/>
        <s v="Julio César" u="1"/>
        <s v="Sharon Reyes" u="1"/>
        <s v="Fernando Chumbes" u="1"/>
        <s v="Jessica Palomino" u="1"/>
        <s v="Aleida Cardenas" u="1"/>
        <s v="Juan Carlos" u="1"/>
        <s v="Vilma Carrera" u="1"/>
        <s v="Ermes Villavicencio T." u="1"/>
        <s v="Vilma Carrera " u="1"/>
        <s v="Erika Mauricio" u="1"/>
        <s v="Gladys Sivincha" u="1"/>
        <s v="Richard Rodas" u="1"/>
        <s v="Julia Patricia" u="1"/>
        <s v="Katherine Cabanillas" u="1"/>
        <s v="Maria Luisa" u="1"/>
        <s v="Mario Huamanchumo" u="1"/>
        <s v="Marialuisa Cienfuegos" u="1"/>
        <s v="Gloria Alor" u="1"/>
        <s v="Manuel Luciano" u="1"/>
        <s v="Junior Villegas" u="1"/>
        <s v="Hamilton Madueño" u="1"/>
        <s v="Jonathan Saldaña P." u="1"/>
      </sharedItems>
    </cacheField>
    <cacheField name="COD EMPLEADO" numFmtId="0">
      <sharedItems containsString="0" containsBlank="1" containsNumber="1" containsInteger="1" minValue="7001746" maxValue="50101039" count="56">
        <n v="50016385"/>
        <n v="50030022"/>
        <n v="50097856"/>
        <n v="7002736"/>
        <n v="7024375"/>
        <n v="7052384"/>
        <n v="50071349"/>
        <n v="7051709"/>
        <n v="7030422"/>
        <n v="7019425"/>
        <n v="50050962"/>
        <n v="50033117"/>
        <n v="50044239"/>
        <n v="7032287"/>
        <n v="50050491"/>
        <n v="7007842"/>
        <n v="7052616"/>
        <n v="7028749"/>
        <n v="7003932"/>
        <m/>
        <n v="7017700" u="1"/>
        <n v="7032030" u="1"/>
        <n v="7017148" u="1"/>
        <n v="7017353" u="1"/>
        <n v="50100924" u="1"/>
        <n v="50083096" u="1"/>
        <n v="7015480" u="1"/>
        <n v="50021989" u="1"/>
        <n v="7010952" u="1"/>
        <n v="7019961" u="1"/>
        <n v="50003136" u="1"/>
        <n v="7031487" u="1"/>
        <n v="50018993" u="1"/>
        <n v="50019405" u="1"/>
        <n v="50101039" u="1"/>
        <n v="7001746" u="1"/>
        <n v="7051170" u="1"/>
        <n v="50067909" u="1"/>
        <n v="50036060" u="1"/>
        <n v="7051956" u="1"/>
        <n v="7021785" u="1"/>
        <n v="7029903" u="1"/>
        <n v="50094929" u="1"/>
        <n v="50097914" u="1"/>
        <n v="50006402" u="1"/>
        <n v="50032846" u="1"/>
        <n v="50062066" u="1"/>
        <n v="50022466" u="1"/>
        <n v="7041528" u="1"/>
        <n v="50015007" u="1"/>
        <n v="50046341" u="1"/>
        <n v="50023969" u="1"/>
        <n v="7021751" u="1"/>
        <n v="50028026" u="1"/>
        <n v="50075738" u="1"/>
        <n v="50100965" u="1"/>
      </sharedItems>
    </cacheField>
    <cacheField name="PROCESO" numFmtId="0">
      <sharedItems containsBlank="1" containsMixedTypes="1" containsNumber="1" containsInteger="1" minValue="23" maxValue="23"/>
    </cacheField>
    <cacheField name="TIPO DE MONITOREO_x000a_N:NORMAL_x000a_A:ADICIONAL" numFmtId="0">
      <sharedItems containsBlank="1"/>
    </cacheField>
    <cacheField name="1" numFmtId="0">
      <sharedItems containsString="0" containsBlank="1" containsNumber="1" minValue="0" maxValue="20"/>
    </cacheField>
    <cacheField name="2" numFmtId="0">
      <sharedItems containsString="0" containsBlank="1" containsNumber="1" minValue="0" maxValue="15"/>
    </cacheField>
    <cacheField name="3" numFmtId="0">
      <sharedItems containsString="0" containsBlank="1" containsNumber="1" minValue="0" maxValue="22"/>
    </cacheField>
    <cacheField name="4" numFmtId="0">
      <sharedItems containsString="0" containsBlank="1" containsNumber="1" minValue="0" maxValue="20"/>
    </cacheField>
    <cacheField name="5" numFmtId="0">
      <sharedItems containsString="0" containsBlank="1" containsNumber="1" minValue="0" maxValue="22"/>
    </cacheField>
    <cacheField name="6" numFmtId="0">
      <sharedItems containsString="0" containsBlank="1" containsNumber="1" minValue="0" maxValue="21"/>
    </cacheField>
    <cacheField name="7" numFmtId="0">
      <sharedItems containsString="0" containsBlank="1" containsNumber="1" minValue="0.05" maxValue="23"/>
    </cacheField>
    <cacheField name="CR" numFmtId="0">
      <sharedItems containsString="0" containsBlank="1" containsNumber="1" minValue="0.15000000000000002" maxValue="10"/>
    </cacheField>
    <cacheField name="8" numFmtId="0">
      <sharedItems containsString="0" containsBlank="1" containsNumber="1" minValue="0" maxValue="21"/>
    </cacheField>
    <cacheField name="9" numFmtId="0">
      <sharedItems containsString="0" containsBlank="1" containsNumber="1" minValue="0" maxValue="20"/>
    </cacheField>
    <cacheField name="CD" numFmtId="0">
      <sharedItems containsString="0" containsBlank="1" containsNumber="1" minValue="0" maxValue="19"/>
    </cacheField>
    <cacheField name="10" numFmtId="0">
      <sharedItems containsString="0" containsBlank="1" containsNumber="1" minValue="0" maxValue="22"/>
    </cacheField>
    <cacheField name="CP" numFmtId="0">
      <sharedItems containsString="0" containsBlank="1" containsNumber="1" minValue="0" maxValue="22"/>
    </cacheField>
    <cacheField name="11" numFmtId="0">
      <sharedItems containsString="0" containsBlank="1" containsNumber="1" minValue="0.08" maxValue="23"/>
    </cacheField>
    <cacheField name="12" numFmtId="0">
      <sharedItems containsString="0" containsBlank="1" containsNumber="1" minValue="0" maxValue="19"/>
    </cacheField>
    <cacheField name="OR" numFmtId="0">
      <sharedItems containsString="0" containsBlank="1" containsNumber="1" minValue="0.08" maxValue="19"/>
    </cacheField>
    <cacheField name="13" numFmtId="0">
      <sharedItems containsString="0" containsBlank="1" containsNumber="1" minValue="0.05" maxValue="23"/>
    </cacheField>
    <cacheField name="14" numFmtId="0">
      <sharedItems containsString="0" containsBlank="1" containsNumber="1" minValue="0.06" maxValue="23"/>
    </cacheField>
    <cacheField name="15" numFmtId="0">
      <sharedItems containsString="0" containsBlank="1" containsNumber="1" minValue="0" maxValue="21"/>
    </cacheField>
    <cacheField name="16" numFmtId="0">
      <sharedItems containsString="0" containsBlank="1" containsNumber="1" minValue="0" maxValue="19"/>
    </cacheField>
    <cacheField name="PF" numFmtId="0">
      <sharedItems containsString="0" containsBlank="1" containsNumber="1" minValue="0.11" maxValue="18"/>
    </cacheField>
    <cacheField name="17" numFmtId="0">
      <sharedItems containsString="0" containsBlank="1" containsNumber="1" containsInteger="1" minValue="0" maxValue="17"/>
    </cacheField>
    <cacheField name="18" numFmtId="0">
      <sharedItems containsString="0" containsBlank="1" containsNumber="1" containsInteger="1" minValue="0" maxValue="18"/>
    </cacheField>
    <cacheField name="19" numFmtId="0">
      <sharedItems containsString="0" containsBlank="1" containsNumber="1" containsInteger="1" minValue="0" maxValue="19"/>
    </cacheField>
    <cacheField name="LG" numFmtId="0">
      <sharedItems containsString="0" containsBlank="1" containsNumber="1" containsInteger="1" minValue="0" maxValue="4"/>
    </cacheField>
    <cacheField name="Nota" numFmtId="0">
      <sharedItems containsString="0" containsBlank="1" containsNumber="1" minValue="0" maxValue="4"/>
    </cacheField>
    <cacheField name="Cumple con los estandares de Calida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uñoz Leslie" refreshedDate="42843.742350925924" createdVersion="3" refreshedVersion="5" minRefreshableVersion="3" recordCount="62">
  <cacheSource type="worksheet">
    <worksheetSource ref="A7:N1048576" sheet="ESPECIALISTA"/>
  </cacheSource>
  <cacheFields count="14">
    <cacheField name="GRUPO" numFmtId="0">
      <sharedItems containsBlank="1" containsMixedTypes="1" containsNumber="1" containsInteger="1" minValue="0" maxValue="0" count="14">
        <s v="G3"/>
        <s v="G9"/>
        <s v="G8"/>
        <s v="G7"/>
        <s v="Impugnaciones"/>
        <s v="G4"/>
        <s v="Alo Banco"/>
        <s v="G1"/>
        <s v="G5"/>
        <s v="G2"/>
        <s v="Masivos"/>
        <s v="Contáctenos"/>
        <m/>
        <n v="0" u="1"/>
      </sharedItems>
    </cacheField>
    <cacheField name="SUPERVISOR" numFmtId="0">
      <sharedItems containsBlank="1"/>
    </cacheField>
    <cacheField name="CÓDIGO EMPLEADO" numFmtId="0">
      <sharedItems containsString="0" containsBlank="1" containsNumber="1" containsInteger="1" minValue="7001746" maxValue="50097856"/>
    </cacheField>
    <cacheField name="NOMBRE" numFmtId="0">
      <sharedItems containsBlank="1"/>
    </cacheField>
    <cacheField name="CARGO" numFmtId="0">
      <sharedItems containsBlank="1"/>
    </cacheField>
    <cacheField name="DIAS LABORADOS" numFmtId="0">
      <sharedItems containsString="0" containsBlank="1" containsNumber="1" containsInteger="1" minValue="10" maxValue="28"/>
    </cacheField>
    <cacheField name="META TOTAL" numFmtId="0">
      <sharedItems containsString="0" containsBlank="1" containsNumber="1" minValue="0" maxValue="600"/>
    </cacheField>
    <cacheField name="N° CASOS CERRADOS" numFmtId="0">
      <sharedItems containsString="0" containsBlank="1" containsNumber="1" containsInteger="1" minValue="7" maxValue="670"/>
    </cacheField>
    <cacheField name="% CUMP" numFmtId="0">
      <sharedItems containsString="0" containsBlank="1" containsNumber="1" minValue="0" maxValue="1.7749999999999999"/>
    </cacheField>
    <cacheField name="NOTA (1)" numFmtId="0">
      <sharedItems containsString="0" containsBlank="1" containsNumber="1" minValue="0" maxValue="0.88749999999999996"/>
    </cacheField>
    <cacheField name="TOTAL SLA" numFmtId="0">
      <sharedItems containsString="0" containsBlank="1" containsNumber="1" containsInteger="1" minValue="0" maxValue="653"/>
    </cacheField>
    <cacheField name="N° CASOS SLA" numFmtId="0">
      <sharedItems containsString="0" containsBlank="1" containsNumber="1" containsInteger="1" minValue="0" maxValue="648"/>
    </cacheField>
    <cacheField name="% CUMP2" numFmtId="0">
      <sharedItems containsString="0" containsBlank="1" containsNumber="1" minValue="0" maxValue="1"/>
    </cacheField>
    <cacheField name="NOTA (2)" numFmtId="0">
      <sharedItems containsString="0" containsBlank="1" containsNumber="1" minValue="0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uñoz Leslie" refreshedDate="42851.406883333337" createdVersion="5" refreshedVersion="5" minRefreshableVersion="3" recordCount="60">
  <cacheSource type="worksheet">
    <worksheetSource ref="A3:E63" sheet="SLA UAC"/>
  </cacheSource>
  <cacheFields count="5">
    <cacheField name="Etiquetas de fila" numFmtId="0">
      <sharedItems/>
    </cacheField>
    <cacheField name="Dentro de Plazo" numFmtId="3">
      <sharedItems containsString="0" containsBlank="1" containsNumber="1" containsInteger="1" minValue="2" maxValue="648"/>
    </cacheField>
    <cacheField name="Fuera de Plazo" numFmtId="3">
      <sharedItems containsString="0" containsBlank="1" containsNumber="1" containsInteger="1" minValue="1" maxValue="114"/>
    </cacheField>
    <cacheField name="Total general" numFmtId="3">
      <sharedItems containsString="0" containsBlank="1" containsNumber="1" containsInteger="1" minValue="2" maxValue="653"/>
    </cacheField>
    <cacheField name="CODIGO" numFmtId="0">
      <sharedItems containsSemiMixedTypes="0" containsString="0" containsNumber="1" containsInteger="1" minValue="7001746" maxValue="50097856" count="59">
        <n v="50050491"/>
        <n v="7021785"/>
        <n v="7051709"/>
        <n v="50071349"/>
        <n v="7032030"/>
        <n v="50019405"/>
        <n v="50050962"/>
        <n v="7052616"/>
        <n v="7030422"/>
        <n v="50033117"/>
        <n v="50016385"/>
        <n v="50028026"/>
        <n v="7019425"/>
        <n v="7032287"/>
        <n v="7002736"/>
        <n v="50006402"/>
        <n v="50003136"/>
        <n v="50015007"/>
        <n v="50083096"/>
        <n v="50030022"/>
        <n v="7019961"/>
        <n v="7016991"/>
        <n v="7017148"/>
        <n v="50046341"/>
        <n v="50016617"/>
        <n v="7031487"/>
        <n v="7001746"/>
        <n v="50008739"/>
        <n v="7051170"/>
        <n v="7007842"/>
        <n v="7028749"/>
        <n v="7029903"/>
        <n v="7052384"/>
        <n v="7048713"/>
        <n v="7015480"/>
        <n v="7024375"/>
        <n v="7017700"/>
        <n v="50044239"/>
        <n v="7003932"/>
        <n v="7054026"/>
        <n v="7017353"/>
        <n v="50022466"/>
        <n v="50062066"/>
        <n v="50018993"/>
        <n v="50097856"/>
        <n v="50075738"/>
        <n v="50036060"/>
        <n v="7051956"/>
        <n v="7010952"/>
        <n v="50023969"/>
        <n v="50008507"/>
        <n v="7014400"/>
        <n v="50034651"/>
        <n v="7047319"/>
        <n v="50067909"/>
        <n v="50054337"/>
        <n v="50094481"/>
        <n v="7009426"/>
        <n v="70588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s v="ANGIE MERLY SUAREZ GUEVARA"/>
    <n v="19"/>
    <n v="505"/>
    <n v="26.578947368421051"/>
    <n v="25"/>
    <n v="475"/>
    <x v="0"/>
    <s v="G1"/>
  </r>
  <r>
    <s v="Giovani Ramos Bautista"/>
    <n v="20"/>
    <n v="395"/>
    <n v="19.75"/>
    <n v="25"/>
    <n v="500"/>
    <x v="1"/>
    <s v="G1"/>
  </r>
  <r>
    <s v="Jhonatan Saldaña Paredes"/>
    <n v="19"/>
    <n v="334"/>
    <n v="17.578947368421051"/>
    <n v="25"/>
    <n v="475"/>
    <x v="2"/>
    <s v="G1"/>
  </r>
  <r>
    <s v="Vanessa Alvarado Soldevilla"/>
    <n v="14"/>
    <n v="248"/>
    <n v="17.714285714285715"/>
    <n v="25"/>
    <n v="350"/>
    <x v="3"/>
    <s v="G1"/>
  </r>
  <r>
    <s v="Mario Huamanchumo Coveñas"/>
    <n v="16"/>
    <n v="246"/>
    <n v="15.375"/>
    <n v="25"/>
    <n v="400"/>
    <x v="4"/>
    <s v="G1"/>
  </r>
  <r>
    <s v="Fyorella Valdiviezo Falcon"/>
    <n v="16"/>
    <n v="208"/>
    <n v="13"/>
    <n v="10"/>
    <n v="160"/>
    <x v="5"/>
    <s v="G9"/>
  </r>
  <r>
    <s v="Alis Villanueva Ramirez"/>
    <n v="16"/>
    <n v="192"/>
    <n v="12"/>
    <n v="10"/>
    <n v="160"/>
    <x v="6"/>
    <s v="G9"/>
  </r>
  <r>
    <s v="Gladis Sivincha Millio"/>
    <n v="16"/>
    <n v="192"/>
    <n v="12"/>
    <n v="10"/>
    <n v="160"/>
    <x v="7"/>
    <s v="G9"/>
  </r>
  <r>
    <s v="Abraham José Flores Hernandez"/>
    <n v="20"/>
    <n v="186"/>
    <n v="9.3000000000000007"/>
    <n v="10"/>
    <n v="200"/>
    <x v="8"/>
    <s v="G9"/>
  </r>
  <r>
    <s v="Diana Marisol Espinal Martinez"/>
    <n v="16"/>
    <n v="175"/>
    <n v="10.9375"/>
    <n v="10"/>
    <n v="160"/>
    <x v="9"/>
    <s v="G9"/>
  </r>
  <r>
    <s v="Junior Javier Villegas Solano"/>
    <n v="20"/>
    <n v="169"/>
    <n v="8.4499999999999993"/>
    <n v="10"/>
    <n v="200"/>
    <x v="10"/>
    <s v="G9"/>
  </r>
  <r>
    <s v="Miguel Gayoso Galarza"/>
    <n v="16"/>
    <n v="159"/>
    <n v="9.9375"/>
    <n v="10"/>
    <n v="160"/>
    <x v="11"/>
    <s v="G9"/>
  </r>
  <r>
    <s v="Maria Rocio Paniagua Machuca"/>
    <n v="16"/>
    <n v="157"/>
    <n v="9.8125"/>
    <n v="8.8888888888889088"/>
    <n v="142.22222222222254"/>
    <x v="12"/>
    <s v="G9"/>
  </r>
  <r>
    <s v="Vilma Carrera Sanchez"/>
    <n v="15"/>
    <n v="150"/>
    <n v="10"/>
    <n v="10"/>
    <n v="150"/>
    <x v="13"/>
    <s v="G9"/>
  </r>
  <r>
    <s v="Aleida Cárdenas"/>
    <n v="13"/>
    <n v="146"/>
    <n v="11.23076923076923"/>
    <n v="8.888888888888907"/>
    <n v="115.5555555555558"/>
    <x v="14"/>
    <s v="G9"/>
  </r>
  <r>
    <s v="Sasha Romina Asmat Salcedo"/>
    <n v="16"/>
    <n v="131"/>
    <n v="8.1875"/>
    <n v="10"/>
    <n v="160"/>
    <x v="15"/>
    <s v="G9"/>
  </r>
  <r>
    <s v="Diana  Sánchez"/>
    <n v="15"/>
    <n v="127"/>
    <n v="8.4666666666666668"/>
    <n v="10"/>
    <n v="150"/>
    <x v="16"/>
    <s v="G9"/>
  </r>
  <r>
    <s v="Hamilton Madueño Tunque"/>
    <n v="4"/>
    <n v="71"/>
    <n v="17.75"/>
    <n v="10"/>
    <n v="40"/>
    <x v="17"/>
    <s v="G9"/>
  </r>
  <r>
    <s v="Richard Rodas Diaz"/>
    <n v="7"/>
    <n v="64"/>
    <n v="9.1428571428571423"/>
    <n v="10"/>
    <n v="70"/>
    <x v="18"/>
    <s v="G9"/>
  </r>
  <r>
    <s v="Angel Yamunaque Miranda"/>
    <n v="0"/>
    <n v="7"/>
    <n v="0"/>
    <n v="10"/>
    <n v="0"/>
    <x v="19"/>
    <s v="G9"/>
  </r>
  <r>
    <s v="Giancarlos Giron Santos"/>
    <n v="20"/>
    <n v="670"/>
    <n v="33.5"/>
    <n v="30"/>
    <n v="600"/>
    <x v="20"/>
    <s v="G2"/>
  </r>
  <r>
    <s v="Juan Carlos Ortega Salinas"/>
    <n v="9"/>
    <n v="286"/>
    <n v="31.777777777777779"/>
    <n v="30"/>
    <n v="270"/>
    <x v="21"/>
    <s v="G2"/>
  </r>
  <r>
    <s v="Britt Loayza Allcca"/>
    <n v="8"/>
    <n v="263"/>
    <n v="32.875"/>
    <n v="30"/>
    <n v="240"/>
    <x v="22"/>
    <s v="G2"/>
  </r>
  <r>
    <s v="Julia Patricia Perez Palma Garreta"/>
    <n v="20"/>
    <n v="197"/>
    <n v="9.85"/>
    <n v="8"/>
    <n v="160"/>
    <x v="23"/>
    <s v="G7"/>
  </r>
  <r>
    <s v="Marco Zuñiga Colchado"/>
    <n v="19"/>
    <n v="172"/>
    <n v="9.0526315789473681"/>
    <n v="8"/>
    <n v="152"/>
    <x v="24"/>
    <s v="G7"/>
  </r>
  <r>
    <s v="Johnny Gerardo Rincon Chugna"/>
    <n v="16"/>
    <n v="129"/>
    <n v="8.0625"/>
    <n v="7.09375"/>
    <n v="113.5"/>
    <x v="25"/>
    <s v="G7"/>
  </r>
  <r>
    <s v="Carmen Salas"/>
    <n v="20"/>
    <n v="116"/>
    <n v="5.8"/>
    <n v="7"/>
    <n v="140"/>
    <x v="26"/>
    <s v="G7"/>
  </r>
  <r>
    <s v="CHRISTIAN RENGIFO BALAREZO"/>
    <n v="8"/>
    <n v="35"/>
    <n v="4.375"/>
    <n v="7"/>
    <n v="56"/>
    <x v="27"/>
    <s v="G7"/>
  </r>
  <r>
    <s v="Kiara Patricia Ajen Montero"/>
    <n v="20"/>
    <n v="118"/>
    <n v="5.9"/>
    <n v="8"/>
    <n v="160"/>
    <x v="28"/>
    <s v="Impugnaciones"/>
  </r>
  <r>
    <s v="Alexandra Cecilia Quispe Toro"/>
    <n v="18"/>
    <n v="117"/>
    <n v="6.5"/>
    <n v="8"/>
    <n v="144"/>
    <x v="29"/>
    <s v="Impugnaciones"/>
  </r>
  <r>
    <s v="Roberto Ampuero Alvarez"/>
    <n v="18"/>
    <n v="102"/>
    <n v="5.666666666666667"/>
    <n v="8"/>
    <n v="144"/>
    <x v="30"/>
    <s v="Impugnaciones"/>
  </r>
  <r>
    <s v="Fani López"/>
    <n v="15"/>
    <n v="94"/>
    <n v="6.2666666666666666"/>
    <n v="8"/>
    <n v="120"/>
    <x v="31"/>
    <s v="Impugnaciones"/>
  </r>
  <r>
    <s v="Ketty Betsabe Berrospi Velasquez"/>
    <n v="20"/>
    <n v="123"/>
    <n v="6.15"/>
    <n v="7"/>
    <n v="140"/>
    <x v="32"/>
    <s v="G3"/>
  </r>
  <r>
    <s v="Luzmilla Valiente"/>
    <n v="14"/>
    <n v="121"/>
    <n v="8.6428571428571423"/>
    <n v="7"/>
    <n v="98"/>
    <x v="33"/>
    <s v="G3"/>
  </r>
  <r>
    <s v="Erika Mauricio Beramendi"/>
    <n v="20"/>
    <n v="117"/>
    <n v="5.85"/>
    <n v="7"/>
    <n v="140"/>
    <x v="34"/>
    <s v="G3"/>
  </r>
  <r>
    <s v="FERNANDO ALEXIS CHUMBES CHIPAU"/>
    <n v="20"/>
    <n v="113"/>
    <n v="5.65"/>
    <n v="7"/>
    <n v="140"/>
    <x v="35"/>
    <s v="G3"/>
  </r>
  <r>
    <s v="Karen Cristina Meneses Alegre"/>
    <n v="15"/>
    <n v="98"/>
    <n v="6.5333333333333332"/>
    <n v="7"/>
    <n v="105"/>
    <x v="36"/>
    <s v="G3"/>
  </r>
  <r>
    <s v="Enrique Gutierrez Chiri"/>
    <n v="20"/>
    <n v="96"/>
    <n v="4.8"/>
    <n v="7"/>
    <n v="140"/>
    <x v="37"/>
    <s v="G3"/>
  </r>
  <r>
    <s v="Luis Manuel Mamani Bravo"/>
    <n v="16"/>
    <n v="82"/>
    <n v="5.125"/>
    <n v="7"/>
    <n v="112"/>
    <x v="38"/>
    <s v="G3"/>
  </r>
  <r>
    <s v="Manuel Luciano Vilchez Cordova"/>
    <n v="20"/>
    <n v="66"/>
    <n v="3.3"/>
    <n v="7"/>
    <n v="140"/>
    <x v="39"/>
    <s v="G3"/>
  </r>
  <r>
    <s v="JENY SANCHEZ RODRIGUEZ"/>
    <n v="13"/>
    <n v="52"/>
    <n v="4"/>
    <n v="6.2222222222222268"/>
    <n v="80.888888888888943"/>
    <x v="40"/>
    <s v="G3"/>
  </r>
  <r>
    <s v="Luis Alberto Torres Felix"/>
    <n v="7"/>
    <n v="44"/>
    <n v="6.2857142857142856"/>
    <n v="7"/>
    <n v="49"/>
    <x v="41"/>
    <s v="G3"/>
  </r>
  <r>
    <s v="Magdalena Beatriz Vicente Palacios"/>
    <n v="7"/>
    <n v="30"/>
    <n v="4.2857142857142856"/>
    <n v="7"/>
    <n v="49"/>
    <x v="42"/>
    <s v="G3"/>
  </r>
  <r>
    <s v="Victor Saavedra Enciso"/>
    <n v="9"/>
    <n v="22"/>
    <n v="2.4444444444444446"/>
    <n v="7"/>
    <n v="63"/>
    <x v="43"/>
    <s v="G3"/>
  </r>
  <r>
    <s v="Alan Tarrillo Ramos"/>
    <n v="20"/>
    <n v="179"/>
    <n v="8.9499999999999993"/>
    <n v="8"/>
    <n v="160"/>
    <x v="44"/>
    <s v="G8"/>
  </r>
  <r>
    <s v="Vilma Bocanegra Uscumayta"/>
    <n v="20"/>
    <n v="162"/>
    <n v="8.1"/>
    <n v="8"/>
    <n v="160"/>
    <x v="45"/>
    <s v="G8"/>
  </r>
  <r>
    <s v="Christian Corrales Jayo "/>
    <n v="20"/>
    <n v="140"/>
    <n v="7"/>
    <n v="8"/>
    <n v="160"/>
    <x v="46"/>
    <s v="G8"/>
  </r>
  <r>
    <s v="Juan Tomas Zorrilla Miranda"/>
    <n v="19"/>
    <n v="130"/>
    <n v="6.8421052631578947"/>
    <n v="8"/>
    <n v="152"/>
    <x v="47"/>
    <s v="G8"/>
  </r>
  <r>
    <s v="Luz Oblitas Diaz"/>
    <n v="19"/>
    <n v="127"/>
    <n v="6.6842105263157894"/>
    <n v="8"/>
    <n v="152"/>
    <x v="48"/>
    <s v="G8"/>
  </r>
  <r>
    <s v="Juan Carlos Ortega Salinas"/>
    <n v="11"/>
    <n v="76"/>
    <n v="6.9090909090909092"/>
    <n v="8"/>
    <n v="88"/>
    <x v="21"/>
    <s v="G8"/>
  </r>
  <r>
    <s v="Huamán Yissel"/>
    <n v="12"/>
    <n v="69"/>
    <n v="5.75"/>
    <n v="8"/>
    <n v="96"/>
    <x v="49"/>
    <s v="G8"/>
  </r>
  <r>
    <s v="Maria Luisa Cienfuegos Laithon"/>
    <n v="15"/>
    <n v="77"/>
    <n v="5.1333333333333337"/>
    <n v="5"/>
    <n v="75"/>
    <x v="50"/>
    <s v="Alo Banco"/>
  </r>
  <r>
    <s v="Julio César Sánchez Guevara"/>
    <n v="20"/>
    <n v="218"/>
    <n v="10.9"/>
    <n v="11"/>
    <n v="220"/>
    <x v="51"/>
    <s v="G4"/>
  </r>
  <r>
    <s v="Pamela Vargas"/>
    <n v="17"/>
    <n v="157"/>
    <n v="9.235294117647058"/>
    <n v="9.7777777777778088"/>
    <n v="166.22222222222274"/>
    <x v="52"/>
    <s v="G4"/>
  </r>
  <r>
    <s v="Jessica Colomer Valera"/>
    <n v="19"/>
    <n v="115"/>
    <n v="6.0526315789473681"/>
    <n v="7"/>
    <n v="133"/>
    <x v="53"/>
    <s v="G5"/>
  </r>
  <r>
    <s v="Janniz Cordova Li"/>
    <n v="17"/>
    <n v="84"/>
    <n v="4.9411764705882355"/>
    <n v="5"/>
    <n v="85"/>
    <x v="54"/>
    <s v="Masivos"/>
  </r>
  <r>
    <s v="Total general"/>
    <n v="875"/>
    <n v="8659"/>
    <n v="9.8960000000000008"/>
    <n v="608.87152777777783"/>
    <n v="9431.3888888888905"/>
    <x v="55"/>
    <m/>
  </r>
  <r>
    <s v="Ivonne Mallqui Olivos"/>
    <n v="23"/>
    <n v="440"/>
    <m/>
    <n v="20"/>
    <n v="460"/>
    <x v="56"/>
    <s v="Contáctenos"/>
  </r>
  <r>
    <s v="Juana Veronica Castro Olivares"/>
    <n v="22"/>
    <n v="482"/>
    <m/>
    <n v="20"/>
    <n v="440"/>
    <x v="57"/>
    <s v="Contáctenos"/>
  </r>
  <r>
    <s v="Matilde Rojas Lopez"/>
    <n v="20"/>
    <n v="340"/>
    <m/>
    <n v="20"/>
    <n v="400"/>
    <x v="58"/>
    <s v="Contáctenos"/>
  </r>
  <r>
    <s v="Miguel Angel Pradera Perez"/>
    <n v="21"/>
    <n v="429"/>
    <m/>
    <n v="20"/>
    <n v="420"/>
    <x v="59"/>
    <s v="Contácteno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s v="Del 06/03/2017 al 10/03/2017"/>
    <d v="2017-03-10T00:00:00"/>
    <n v="3"/>
    <n v="1879255"/>
    <x v="0"/>
    <x v="0"/>
    <s v="Consumo No Reconocido"/>
    <s v="si"/>
    <n v="0.15"/>
    <n v="0.05"/>
    <n v="0.1"/>
    <n v="0.08"/>
    <n v="0.05"/>
    <n v="0.05"/>
    <n v="0.05"/>
    <n v="0.53"/>
    <n v="0"/>
    <n v="0.03"/>
    <n v="0.03"/>
    <n v="0.04"/>
    <n v="0.04"/>
    <n v="0.08"/>
    <n v="0.06"/>
    <n v="0.14000000000000001"/>
    <n v="0.05"/>
    <n v="0.06"/>
    <n v="0.04"/>
    <n v="0.06"/>
    <n v="0.21"/>
    <n v="0"/>
    <n v="0"/>
    <n v="0"/>
    <n v="0"/>
    <n v="0.95000000000000018"/>
    <s v="NO"/>
  </r>
  <r>
    <s v="Del 06/03/2017 al 10/03/2017"/>
    <d v="2017-03-10T00:00:00"/>
    <n v="3"/>
    <n v="1941888"/>
    <x v="1"/>
    <x v="1"/>
    <s v="Consumo No Reconocido"/>
    <s v="si"/>
    <n v="0.15"/>
    <n v="0"/>
    <n v="0.1"/>
    <n v="0.08"/>
    <n v="0.05"/>
    <n v="0.05"/>
    <n v="0.05"/>
    <n v="0.48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0.95000000000000018"/>
    <s v="NO"/>
  </r>
  <r>
    <s v="Del 06/03/2017 al 10/03/2017"/>
    <d v="2017-03-10T00:00:00"/>
    <n v="3"/>
    <n v="1938762"/>
    <x v="2"/>
    <x v="2"/>
    <s v="Problemas en el Envío de Estado de Cuenta"/>
    <s v="si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"/>
    <n v="0"/>
    <n v="0.11"/>
    <n v="0"/>
    <n v="0"/>
    <n v="0"/>
    <n v="0"/>
    <n v="0.90000000000000013"/>
    <s v="NO"/>
  </r>
  <r>
    <s v="Del 06/03/2017 al 10/03/2017"/>
    <d v="2017-03-10T00:00:00"/>
    <n v="3"/>
    <n v="1864029"/>
    <x v="3"/>
    <x v="3"/>
    <s v="Consumo No Reconocido"/>
    <s v="si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13/03/2017 al 17/03/2017"/>
    <d v="2017-03-13T00:00:00"/>
    <n v="3"/>
    <n v="1923329"/>
    <x v="0"/>
    <x v="0"/>
    <s v="Consumo No Reconocido"/>
    <s v="si"/>
    <n v="0.15"/>
    <n v="0"/>
    <n v="0.1"/>
    <n v="0.08"/>
    <n v="0.05"/>
    <n v="0.05"/>
    <n v="0.05"/>
    <n v="0.48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0.95000000000000018"/>
    <s v="NO"/>
  </r>
  <r>
    <s v="Del 13/03/2017 al 17/03/2017"/>
    <d v="2017-03-13T00:00:00"/>
    <n v="3"/>
    <n v="1937763"/>
    <x v="4"/>
    <x v="4"/>
    <s v="Problemas con Pagos"/>
    <s v="si"/>
    <n v="0.15"/>
    <n v="0.05"/>
    <n v="0.1"/>
    <n v="0.08"/>
    <n v="0.05"/>
    <n v="0.05"/>
    <n v="0.05"/>
    <n v="0.53"/>
    <n v="0.05"/>
    <n v="0.03"/>
    <n v="0.08"/>
    <n v="0.04"/>
    <n v="0.04"/>
    <n v="0.08"/>
    <n v="0"/>
    <n v="0.08"/>
    <n v="0.05"/>
    <n v="0.06"/>
    <n v="0.04"/>
    <n v="0.06"/>
    <n v="0.21"/>
    <n v="0"/>
    <n v="0"/>
    <n v="0"/>
    <n v="0"/>
    <n v="0.94000000000000017"/>
    <s v="NO"/>
  </r>
  <r>
    <s v="Del 13/03/2017 al 17/03/2017"/>
    <d v="2017-03-14T00:00:00"/>
    <n v="3"/>
    <n v="1888130"/>
    <x v="5"/>
    <x v="5"/>
    <s v="Modificación de Tasa"/>
    <s v="si"/>
    <n v="0.15"/>
    <n v="0.05"/>
    <n v="0.1"/>
    <n v="0.08"/>
    <n v="0.05"/>
    <n v="0"/>
    <n v="0.05"/>
    <n v="0.48000000000000004"/>
    <n v="0"/>
    <n v="0"/>
    <n v="0"/>
    <n v="0.04"/>
    <n v="0.04"/>
    <n v="0.08"/>
    <n v="0"/>
    <n v="0.08"/>
    <n v="0.05"/>
    <n v="0.06"/>
    <n v="0.04"/>
    <n v="0.06"/>
    <n v="0.21"/>
    <n v="0"/>
    <n v="0"/>
    <n v="0"/>
    <n v="0"/>
    <n v="0.81"/>
    <s v="NO"/>
  </r>
  <r>
    <s v="Del 13/03/2017 al 17/03/2017"/>
    <d v="2017-03-17T00:00:00"/>
    <n v="3"/>
    <n v="1952718"/>
    <x v="6"/>
    <x v="6"/>
    <s v="Extornos"/>
    <s v="si"/>
    <n v="0.15"/>
    <n v="0"/>
    <n v="0.1"/>
    <n v="0.08"/>
    <n v="0.05"/>
    <n v="0.05"/>
    <n v="0.05"/>
    <n v="0.48"/>
    <n v="0.05"/>
    <n v="0.03"/>
    <n v="0.08"/>
    <n v="0.04"/>
    <n v="0.04"/>
    <n v="0.08"/>
    <n v="0.06"/>
    <n v="0.14000000000000001"/>
    <n v="0.05"/>
    <n v="0.06"/>
    <n v="0.04"/>
    <n v="0"/>
    <n v="0.15"/>
    <n v="0"/>
    <n v="0"/>
    <n v="0"/>
    <n v="0"/>
    <n v="0.89000000000000012"/>
    <s v="NO"/>
  </r>
  <r>
    <s v="Del 20/03/2017 al 24/03/2017"/>
    <d v="2017-03-22T00:00:00"/>
    <n v="3"/>
    <n v="1981539"/>
    <x v="7"/>
    <x v="7"/>
    <s v="Extornos"/>
    <s v="si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0/03/2017 al 24/03/2017"/>
    <d v="2017-03-24T00:00:00"/>
    <n v="3"/>
    <n v="1971209"/>
    <x v="8"/>
    <x v="8"/>
    <s v="Consumo No Reconocido"/>
    <s v="si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7/03/2017 al 31/03/2017"/>
    <d v="2017-03-27T00:00:00"/>
    <n v="3"/>
    <n v="1856016"/>
    <x v="9"/>
    <x v="9"/>
    <s v="Consumo No Reconocido"/>
    <s v="si"/>
    <n v="0.15"/>
    <n v="0"/>
    <n v="0.1"/>
    <n v="0"/>
    <n v="0.05"/>
    <n v="0.05"/>
    <n v="0.05"/>
    <n v="0.39999999999999997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0.87000000000000011"/>
    <s v="NO"/>
  </r>
  <r>
    <s v="Del 27/03/2017 al 31/03/2017"/>
    <d v="2017-03-31T00:00:00"/>
    <n v="3"/>
    <n v="1855413"/>
    <x v="10"/>
    <x v="10"/>
    <s v="Consumo No Reconocido"/>
    <s v="si"/>
    <n v="0.15"/>
    <n v="0"/>
    <n v="0.1"/>
    <n v="0.08"/>
    <n v="0.05"/>
    <n v="0.05"/>
    <n v="0.05"/>
    <n v="0.48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0.95000000000000018"/>
    <s v="NO"/>
  </r>
  <r>
    <s v="Del 20/03/2017 al 24/03/2017"/>
    <d v="2017-03-22T00:00:00"/>
    <n v="3"/>
    <n v="1954988"/>
    <x v="11"/>
    <x v="11"/>
    <s v="Consumo No Reconocido"/>
    <s v="si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20/03/2017 al 24/03/2017"/>
    <d v="2017-03-24T00:00:00"/>
    <n v="3"/>
    <n v="1908628"/>
    <x v="9"/>
    <x v="9"/>
    <s v="Consumo No Reconocido"/>
    <s v="si"/>
    <n v="0.15"/>
    <n v="0.05"/>
    <n v="0.1"/>
    <n v="0"/>
    <n v="0.05"/>
    <n v="0.05"/>
    <n v="0.05"/>
    <n v="0.45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0.92000000000000015"/>
    <s v="NO"/>
  </r>
  <r>
    <s v="Del 27/03/2017 al 31/03/2017"/>
    <d v="2017-03-30T00:00:00"/>
    <n v="3"/>
    <n v="1988436"/>
    <x v="6"/>
    <x v="6"/>
    <s v="Extorno"/>
    <s v="si"/>
    <n v="0.15"/>
    <n v="0"/>
    <n v="0.1"/>
    <n v="0.08"/>
    <n v="0.05"/>
    <n v="0.05"/>
    <n v="0.05"/>
    <n v="0.48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0.95000000000000018"/>
    <s v="NO"/>
  </r>
  <r>
    <s v="Del 13/02/2017 al 17/02/2017"/>
    <d v="2017-03-27T00:00:00"/>
    <n v="2"/>
    <n v="1966191"/>
    <x v="12"/>
    <x v="12"/>
    <s v="Inadecuada o Insuficiente inormacion"/>
    <s v="no"/>
    <n v="0"/>
    <n v="0"/>
    <n v="0.1"/>
    <n v="0.08"/>
    <n v="0.05"/>
    <n v="0.05"/>
    <n v="0.05"/>
    <n v="0.32999999999999996"/>
    <n v="0.05"/>
    <n v="0.03"/>
    <n v="0.08"/>
    <n v="0"/>
    <n v="0"/>
    <n v="0.08"/>
    <n v="0.06"/>
    <n v="0.14000000000000001"/>
    <n v="0.05"/>
    <n v="0.06"/>
    <n v="0.04"/>
    <n v="0.06"/>
    <n v="0.21"/>
    <n v="1"/>
    <n v="1"/>
    <n v="0"/>
    <n v="1"/>
    <n v="0"/>
    <s v="NO"/>
  </r>
  <r>
    <s v="Del 06/03/2017 al 10/03/2017"/>
    <d v="2017-03-27T00:00:00"/>
    <n v="3"/>
    <n v="1902528"/>
    <x v="13"/>
    <x v="13"/>
    <s v="Consumo No Reconocido"/>
    <s v="si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"/>
    <n v="0.06"/>
    <n v="0.16999999999999998"/>
    <n v="0"/>
    <n v="1"/>
    <n v="0"/>
    <n v="1"/>
    <n v="0"/>
    <s v="NO"/>
  </r>
  <r>
    <s v="Del 06/02/2017 al 10/02/2017"/>
    <d v="2017-03-27T00:00:00"/>
    <n v="2"/>
    <n v="1959840"/>
    <x v="7"/>
    <x v="7"/>
    <s v="Extornos"/>
    <s v="no"/>
    <n v="0"/>
    <n v="0.05"/>
    <n v="0.1"/>
    <n v="0.08"/>
    <n v="0.05"/>
    <n v="0.05"/>
    <n v="0.05"/>
    <n v="0.38"/>
    <n v="0.05"/>
    <n v="0.03"/>
    <n v="0.08"/>
    <n v="0.04"/>
    <n v="0.04"/>
    <n v="0.08"/>
    <n v="0.06"/>
    <n v="0.14000000000000001"/>
    <n v="0.05"/>
    <n v="0.06"/>
    <n v="0.04"/>
    <n v="0"/>
    <n v="0.15"/>
    <n v="0"/>
    <n v="0"/>
    <n v="0"/>
    <n v="0"/>
    <n v="0.79"/>
    <s v="NO"/>
  </r>
  <r>
    <s v="Del 06/02/2017 al 10/02/2017"/>
    <d v="2017-03-27T00:00:00"/>
    <n v="2"/>
    <n v="1952049"/>
    <x v="14"/>
    <x v="14"/>
    <s v="Extornos"/>
    <s v="no"/>
    <n v="0"/>
    <n v="0.05"/>
    <n v="0"/>
    <n v="0"/>
    <n v="0"/>
    <n v="0.05"/>
    <n v="0.05"/>
    <n v="0.15000000000000002"/>
    <n v="0.05"/>
    <n v="0.03"/>
    <n v="0.08"/>
    <n v="0.04"/>
    <n v="0.04"/>
    <n v="0.08"/>
    <n v="0.06"/>
    <n v="0.14000000000000001"/>
    <n v="0.05"/>
    <n v="0.06"/>
    <n v="0.04"/>
    <n v="0"/>
    <n v="0.15"/>
    <n v="0"/>
    <n v="1"/>
    <n v="0"/>
    <n v="1"/>
    <n v="0"/>
    <s v="NO"/>
  </r>
  <r>
    <s v="Del 13/03/2017 al 17/03/2017"/>
    <d v="2017-04-03T00:00:00"/>
    <n v="3"/>
    <n v="1955660"/>
    <x v="15"/>
    <x v="15"/>
    <s v="Modificacion Tasa SC"/>
    <s v="si"/>
    <n v="0.15"/>
    <n v="0.05"/>
    <n v="0.1"/>
    <n v="0.08"/>
    <n v="0.05"/>
    <n v="0"/>
    <n v="0.05"/>
    <n v="0.48000000000000004"/>
    <n v="0.05"/>
    <n v="0"/>
    <n v="0.05"/>
    <n v="0.04"/>
    <n v="0.04"/>
    <n v="0.08"/>
    <n v="0"/>
    <n v="0.08"/>
    <n v="0.05"/>
    <n v="0.06"/>
    <n v="0.04"/>
    <n v="0.06"/>
    <n v="0.21"/>
    <n v="0"/>
    <n v="0"/>
    <n v="0"/>
    <n v="0"/>
    <n v="0.8600000000000001"/>
    <s v="NO"/>
  </r>
  <r>
    <s v="Del 13/03/2017 al 17/03/2017"/>
    <d v="2017-04-03T00:00:00"/>
    <n v="3"/>
    <n v="1972553"/>
    <x v="16"/>
    <x v="16"/>
    <s v="Consumo No Reconocido"/>
    <s v="si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s v="Del 06/03/2017 al 10/03/2017"/>
    <d v="2017-04-03T00:00:00"/>
    <n v="3"/>
    <n v="1975407"/>
    <x v="17"/>
    <x v="17"/>
    <s v="Disconformidad en la Atencion"/>
    <s v="si"/>
    <n v="0.15"/>
    <n v="0"/>
    <n v="0.1"/>
    <n v="0.08"/>
    <n v="0.05"/>
    <n v="0.05"/>
    <n v="0.05"/>
    <n v="0.48"/>
    <n v="0.05"/>
    <n v="0"/>
    <n v="0.05"/>
    <n v="0.04"/>
    <n v="0.04"/>
    <n v="0.08"/>
    <n v="0"/>
    <n v="0.08"/>
    <n v="0.05"/>
    <n v="0.06"/>
    <n v="0.04"/>
    <n v="0.06"/>
    <n v="0.21"/>
    <n v="1"/>
    <n v="0"/>
    <n v="0"/>
    <n v="1"/>
    <n v="0"/>
    <s v="NO"/>
  </r>
  <r>
    <s v="Del 13/02/2017 al 17/02/2017"/>
    <d v="2017-04-03T00:00:00"/>
    <n v="3"/>
    <n v="1969624"/>
    <x v="18"/>
    <x v="18"/>
    <s v="Notificaciones a Terceros"/>
    <s v="si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0"/>
    <n v="0"/>
    <n v="0"/>
    <n v="0"/>
    <n v="1.0000000000000002"/>
    <s v="SI"/>
  </r>
  <r>
    <m/>
    <m/>
    <m/>
    <m/>
    <x v="19"/>
    <x v="19"/>
    <n v="23"/>
    <s v="Aprobados"/>
    <n v="20"/>
    <n v="15"/>
    <n v="22"/>
    <n v="20"/>
    <n v="22"/>
    <n v="21"/>
    <n v="23"/>
    <n v="10"/>
    <n v="21"/>
    <n v="20"/>
    <n v="19"/>
    <n v="22"/>
    <n v="22"/>
    <n v="23"/>
    <n v="19"/>
    <n v="19"/>
    <n v="23"/>
    <n v="23"/>
    <n v="21"/>
    <n v="19"/>
    <n v="18"/>
    <n v="2"/>
    <n v="3"/>
    <n v="0"/>
    <n v="4"/>
    <n v="4"/>
    <m/>
  </r>
  <r>
    <m/>
    <m/>
    <m/>
    <m/>
    <x v="19"/>
    <x v="19"/>
    <m/>
    <s v="% Nota"/>
    <n v="0.15"/>
    <n v="0.05"/>
    <n v="0.1"/>
    <n v="0.08"/>
    <n v="0.05"/>
    <n v="0.05"/>
    <n v="0.05"/>
    <n v="0.53"/>
    <n v="0.05"/>
    <n v="0.03"/>
    <n v="0.08"/>
    <n v="0.04"/>
    <n v="0.04"/>
    <n v="0.08"/>
    <n v="0.06"/>
    <n v="0.14000000000000001"/>
    <n v="0.05"/>
    <n v="0.06"/>
    <n v="0.04"/>
    <n v="0.06"/>
    <n v="0.21"/>
    <n v="1"/>
    <n v="1"/>
    <n v="1"/>
    <n v="1"/>
    <m/>
    <m/>
  </r>
  <r>
    <m/>
    <m/>
    <m/>
    <m/>
    <x v="19"/>
    <x v="19"/>
    <m/>
    <s v="Indicador"/>
    <n v="1"/>
    <n v="2"/>
    <n v="3"/>
    <n v="4"/>
    <n v="5"/>
    <n v="6"/>
    <n v="7"/>
    <m/>
    <n v="8"/>
    <n v="9"/>
    <m/>
    <n v="10"/>
    <m/>
    <n v="11"/>
    <n v="12"/>
    <m/>
    <n v="13"/>
    <n v="14"/>
    <n v="15"/>
    <n v="16"/>
    <m/>
    <n v="17"/>
    <n v="18"/>
    <n v="19"/>
    <m/>
    <m/>
    <m/>
  </r>
  <r>
    <m/>
    <m/>
    <m/>
    <m/>
    <x v="19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9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9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9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x v="19"/>
    <x v="1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2">
  <r>
    <x v="0"/>
    <s v="PEREZ DIAZ ROSA MARIA"/>
    <n v="7001746"/>
    <s v="VALIENTE NEIRA LUZMILA TERESA"/>
    <s v="Especialista UAC"/>
    <n v="28"/>
    <n v="98"/>
    <n v="121"/>
    <n v="1.2346938775510203"/>
    <n v="0.61734693877551017"/>
    <n v="93"/>
    <n v="49"/>
    <n v="0.5268817204301075"/>
    <n v="0.26344086021505375"/>
  </r>
  <r>
    <x v="1"/>
    <s v="ROBALINO CALLA HILDA MARISOL"/>
    <n v="7002736"/>
    <s v="SANCHEZ CAMPOS DIANA KARINA"/>
    <s v="Especialista UAC"/>
    <n v="28"/>
    <n v="150"/>
    <n v="127"/>
    <n v="0.84666666666666668"/>
    <n v="0.42333333333333334"/>
    <n v="111"/>
    <n v="101"/>
    <n v="0.90990990990990994"/>
    <n v="0.45495495495495497"/>
  </r>
  <r>
    <x v="2"/>
    <s v="PONCE ENCISO PABLO FERNANDO"/>
    <n v="7003932"/>
    <s v="HUAMAN ALVAREZ NANCY YISSEL"/>
    <s v="Especialista UAC"/>
    <n v="26"/>
    <n v="96"/>
    <n v="69"/>
    <n v="0.71875"/>
    <n v="0.359375"/>
    <n v="64"/>
    <n v="25"/>
    <n v="0.390625"/>
    <n v="0.1953125"/>
  </r>
  <r>
    <x v="0"/>
    <s v="PEREZ DIAZ ROSA MARIA"/>
    <n v="7007842"/>
    <s v="BERROSPI VELASQUEZ KETTY BETSABE"/>
    <s v="Especialista UAC"/>
    <n v="13"/>
    <n v="140"/>
    <n v="123"/>
    <n v="0.87857142857142856"/>
    <n v="0.43928571428571428"/>
    <n v="121"/>
    <n v="79"/>
    <n v="0.65289256198347112"/>
    <n v="0.32644628099173556"/>
  </r>
  <r>
    <x v="3"/>
    <s v="PEREZ DIAZ ROSA MARIA"/>
    <n v="7010952"/>
    <s v="PEREZ PALMA GARRETA JULIA PATRICIA"/>
    <s v="Especialista UAC"/>
    <n v="28"/>
    <n v="160"/>
    <n v="197"/>
    <n v="1.23125"/>
    <n v="0.61562499999999998"/>
    <n v="0"/>
    <n v="0"/>
    <n v="0"/>
    <n v="0"/>
  </r>
  <r>
    <x v="4"/>
    <s v="GALARZA GALARRETA MARIA TERESA"/>
    <n v="7014400"/>
    <s v="LOPEZ NIÑO DE GUZMAN REYNA FANNY"/>
    <s v="Especialista UAC"/>
    <n v="28"/>
    <n v="120"/>
    <n v="94"/>
    <n v="0.78333333333333333"/>
    <n v="0.39166666666666666"/>
    <n v="90"/>
    <n v="89"/>
    <n v="0.98888888888888893"/>
    <n v="0.49444444444444446"/>
  </r>
  <r>
    <x v="5"/>
    <s v="GALARZA GALARRETA MARIA TERESA"/>
    <n v="7017148"/>
    <s v="SANCHEZ GUEVARA JULIO CESAR"/>
    <s v="Especialista UAC"/>
    <n v="25"/>
    <n v="220"/>
    <n v="218"/>
    <n v="0.99090909090909096"/>
    <n v="0.49545454545454548"/>
    <n v="209"/>
    <n v="196"/>
    <n v="0.93779904306220097"/>
    <n v="0.46889952153110048"/>
  </r>
  <r>
    <x v="2"/>
    <s v="PONCE ENCISO PABLO FERNANDO"/>
    <n v="7017353"/>
    <s v="OBLITAS DIAZ LUZ MERY"/>
    <s v="Apoyo UAC"/>
    <n v="28"/>
    <n v="152"/>
    <n v="127"/>
    <n v="0.83552631578947367"/>
    <n v="0.41776315789473684"/>
    <n v="115"/>
    <n v="75"/>
    <n v="0.65217391304347827"/>
    <n v="0.32608695652173914"/>
  </r>
  <r>
    <x v="1"/>
    <s v="ROBALINO CALLA HILDA MARISOL"/>
    <n v="7019425"/>
    <s v="FLORES HERNANDEZ ABRAHAM JOSE"/>
    <s v="Especialista UAC"/>
    <n v="13"/>
    <n v="200"/>
    <n v="186"/>
    <n v="0.93"/>
    <n v="0.46500000000000002"/>
    <n v="166"/>
    <n v="148"/>
    <n v="0.89156626506024095"/>
    <n v="0.44578313253012047"/>
  </r>
  <r>
    <x v="6"/>
    <s v="GALARZA GALARRETA MARIA TERESA"/>
    <n v="7019961"/>
    <s v="CIENFUEGOS LAITHON MARIA LUISA"/>
    <s v="Especialista UAC"/>
    <n v="28"/>
    <n v="75"/>
    <n v="77"/>
    <n v="1.0266666666666666"/>
    <n v="0.51333333333333331"/>
    <n v="70"/>
    <n v="51"/>
    <n v="0.72857142857142854"/>
    <n v="0.36428571428571427"/>
  </r>
  <r>
    <x v="7"/>
    <s v="PONCE ENCISO PABLO FERNANDO"/>
    <n v="7021785"/>
    <s v="RAMOS BAUTISTA GIOVANI RAUL"/>
    <s v="Apoyo UAC"/>
    <n v="28"/>
    <n v="500"/>
    <n v="395"/>
    <n v="0.79"/>
    <n v="0.39500000000000002"/>
    <n v="388"/>
    <n v="347"/>
    <n v="0.89432989690721654"/>
    <n v="0.44716494845360827"/>
  </r>
  <r>
    <x v="0"/>
    <s v="PEREZ DIAZ ROSA MARIA"/>
    <n v="7028749"/>
    <s v="VICENTE PALACIOS MAGDALENA BEATRIZ"/>
    <s v="Especialista UAC"/>
    <n v="15"/>
    <n v="49"/>
    <n v="30"/>
    <n v="0.61224489795918369"/>
    <n v="0.30612244897959184"/>
    <n v="28"/>
    <n v="27"/>
    <n v="0.9642857142857143"/>
    <n v="0.48214285714285715"/>
  </r>
  <r>
    <x v="0"/>
    <s v="PEREZ DIAZ ROSA MARIA"/>
    <n v="7029903"/>
    <s v="VILCHEZ CORDOVA MANUEL LUCIANO"/>
    <s v="Apoyo UAC"/>
    <n v="28"/>
    <n v="140"/>
    <n v="66"/>
    <n v="0.47142857142857142"/>
    <n v="0.23571428571428571"/>
    <n v="44"/>
    <n v="9"/>
    <n v="0.20454545454545456"/>
    <n v="0.10227272727272728"/>
  </r>
  <r>
    <x v="0"/>
    <s v="PEREZ DIAZ ROSA MARIA"/>
    <n v="7031487"/>
    <s v="MAURICIO BERAMENDI ERIKA ESTRIC"/>
    <s v="Apoyo UAC"/>
    <n v="25"/>
    <n v="140"/>
    <n v="117"/>
    <n v="0.83571428571428574"/>
    <n v="0.41785714285714287"/>
    <n v="115"/>
    <n v="79"/>
    <n v="0.68695652173913047"/>
    <n v="0.34347826086956523"/>
  </r>
  <r>
    <x v="4"/>
    <s v="GALARZA GALARRETA MARIA TERESA"/>
    <n v="7047319"/>
    <s v="AMPUERO ALVAREZ ROBERTO FERNANDO"/>
    <s v="Especialista UAC"/>
    <n v="28"/>
    <n v="144"/>
    <n v="102"/>
    <n v="0.70833333333333337"/>
    <n v="0.35416666666666669"/>
    <n v="74"/>
    <n v="62"/>
    <n v="0.83783783783783783"/>
    <n v="0.41891891891891891"/>
  </r>
  <r>
    <x v="0"/>
    <s v="PEREZ DIAZ ROSA MARIA"/>
    <n v="7048713"/>
    <s v="MAMANI BRAVO LUIS MANUEL"/>
    <s v="Apoyo UAC"/>
    <n v="28"/>
    <n v="112"/>
    <n v="82"/>
    <n v="0.7321428571428571"/>
    <n v="0.36607142857142855"/>
    <n v="62"/>
    <n v="49"/>
    <n v="0.79032258064516125"/>
    <n v="0.39516129032258063"/>
  </r>
  <r>
    <x v="0"/>
    <s v="PEREZ DIAZ ROSA MARIA"/>
    <n v="7051170"/>
    <s v="TORRES FELIX LUIS ALBERTO"/>
    <s v="Apoyo UAC"/>
    <n v="19"/>
    <n v="49"/>
    <n v="44"/>
    <n v="0.89795918367346939"/>
    <n v="0.44897959183673469"/>
    <n v="42"/>
    <n v="42"/>
    <n v="1"/>
    <n v="0.5"/>
  </r>
  <r>
    <x v="7"/>
    <s v="PONCE ENCISO PABLO FERNANDO"/>
    <n v="7051709"/>
    <s v="SUAREZ GUEVARA ANGIE MERLY"/>
    <s v="Especialista UAC"/>
    <n v="28"/>
    <n v="475"/>
    <n v="505"/>
    <n v="1.0631578947368421"/>
    <n v="0.53157894736842104"/>
    <n v="488"/>
    <n v="420"/>
    <n v="0.86065573770491799"/>
    <n v="0.43032786885245899"/>
  </r>
  <r>
    <x v="3"/>
    <s v="PEREZ DIAZ ROSA MARIA"/>
    <n v="7051956"/>
    <s v="RENGIFO BALAREZO CHRISTIAN"/>
    <s v="Especialista UAC"/>
    <n v="28"/>
    <n v="56"/>
    <n v="35"/>
    <n v="0.625"/>
    <n v="0.3125"/>
    <n v="0"/>
    <n v="0"/>
    <n v="0"/>
    <n v="0"/>
  </r>
  <r>
    <x v="0"/>
    <s v="PEREZ DIAZ ROSA MARIA"/>
    <n v="7052384"/>
    <s v="CHUMBES CHIPAU FERNANDO ALEXIS"/>
    <s v="Especialista UAC"/>
    <n v="13"/>
    <n v="140"/>
    <n v="113"/>
    <n v="0.80714285714285716"/>
    <n v="0.40357142857142858"/>
    <n v="109"/>
    <n v="82"/>
    <n v="0.75229357798165142"/>
    <n v="0.37614678899082571"/>
  </r>
  <r>
    <x v="1"/>
    <s v="ROBALINO CALLA HILDA MARISOL"/>
    <n v="7052616"/>
    <s v="VALDIVIESO FALCON FYORELA MARISOL"/>
    <s v="Apoyo UAC"/>
    <n v="19"/>
    <n v="160"/>
    <n v="208"/>
    <n v="1.3"/>
    <n v="0.65"/>
    <n v="138"/>
    <n v="110"/>
    <n v="0.79710144927536231"/>
    <n v="0.39855072463768115"/>
  </r>
  <r>
    <x v="1"/>
    <s v="ROBALINO CALLA HILDA MARISOL"/>
    <n v="50003136"/>
    <s v="VILLEGAS SOLANO JUNIOR JAVIER"/>
    <s v="Apoyo UAC"/>
    <n v="28"/>
    <n v="200"/>
    <n v="169"/>
    <n v="0.84499999999999997"/>
    <n v="0.42249999999999999"/>
    <n v="78"/>
    <n v="63"/>
    <n v="0.80769230769230771"/>
    <n v="0.40384615384615385"/>
  </r>
  <r>
    <x v="1"/>
    <s v="ROBALINO CALLA HILDA MARISOL"/>
    <n v="50006402"/>
    <s v="YAMUNAQUE MIRANDA ANGEL GUSTAVO"/>
    <s v="Apoyo UAC"/>
    <n v="28"/>
    <n v="0"/>
    <n v="7"/>
    <n v="0"/>
    <n v="0"/>
    <n v="2"/>
    <n v="2"/>
    <n v="1"/>
    <n v="0.5"/>
  </r>
  <r>
    <x v="3"/>
    <s v="PEREZ DIAZ ROSA MARIA"/>
    <n v="50008507"/>
    <s v="RINCON CHUGNA JOHNNY GERARDO"/>
    <s v="Especialista UAC"/>
    <n v="21"/>
    <n v="113.5"/>
    <n v="129"/>
    <n v="1.1365638766519823"/>
    <n v="0.56828193832599116"/>
    <n v="0"/>
    <n v="0"/>
    <n v="0"/>
    <n v="0"/>
  </r>
  <r>
    <x v="1"/>
    <s v="ROBALINO CALLA HILDA MARISOL"/>
    <n v="50015007"/>
    <s v="CARRERA SANCHEZ VILMA ESMERITA"/>
    <s v="Apoyo UAC"/>
    <n v="26"/>
    <n v="150"/>
    <n v="150"/>
    <n v="1"/>
    <n v="0.5"/>
    <n v="141"/>
    <n v="107"/>
    <n v="0.75886524822695034"/>
    <n v="0.37943262411347517"/>
  </r>
  <r>
    <x v="1"/>
    <s v="ROBALINO CALLA HILDA MARISOL"/>
    <n v="50016385"/>
    <s v="ASMAT SALCEDO SASHA ROMINA"/>
    <s v="Apoyo UAC"/>
    <n v="10"/>
    <n v="160"/>
    <n v="131"/>
    <n v="0.81874999999999998"/>
    <n v="0.40937499999999999"/>
    <n v="122"/>
    <n v="109"/>
    <n v="0.89344262295081966"/>
    <n v="0.44672131147540983"/>
  </r>
  <r>
    <x v="2"/>
    <s v="PONCE ENCISO PABLO FERNANDO"/>
    <n v="50018993"/>
    <s v="BOCANEGRA USCAMAYTA VILMA"/>
    <s v="Apoyo UAC"/>
    <n v="28"/>
    <n v="160"/>
    <n v="162"/>
    <n v="1.0125"/>
    <n v="0.50624999999999998"/>
    <n v="148"/>
    <n v="127"/>
    <n v="0.85810810810810811"/>
    <n v="0.42905405405405406"/>
  </r>
  <r>
    <x v="1"/>
    <s v="ROBALINO CALLA HILDA MARISOL"/>
    <n v="50019405"/>
    <s v="SIVINCHA MILLIO GLADIS"/>
    <s v="Apoyo UAC"/>
    <n v="28"/>
    <n v="160"/>
    <n v="192"/>
    <n v="1.2"/>
    <n v="0.6"/>
    <n v="91"/>
    <n v="81"/>
    <n v="0.89010989010989006"/>
    <n v="0.44505494505494503"/>
  </r>
  <r>
    <x v="2"/>
    <s v="PONCE ENCISO PABLO FERNANDO"/>
    <n v="50022466"/>
    <s v="ZORRILLA MIRANDA JUAN TOMAS"/>
    <s v="Especialista UAC"/>
    <n v="28"/>
    <n v="152"/>
    <n v="130"/>
    <n v="0.85526315789473684"/>
    <n v="0.42763157894736842"/>
    <n v="120"/>
    <n v="101"/>
    <n v="0.84166666666666667"/>
    <n v="0.42083333333333334"/>
  </r>
  <r>
    <x v="3"/>
    <s v="PEREZ DIAZ ROSA MARIA"/>
    <n v="50023969"/>
    <s v="ZUÑIGA COLCHADO MARCO ANTONIO"/>
    <s v="Apoyo UAC"/>
    <n v="28"/>
    <n v="152"/>
    <n v="172"/>
    <n v="1.131578947368421"/>
    <n v="0.56578947368421051"/>
    <n v="0"/>
    <n v="0"/>
    <n v="0"/>
    <n v="0"/>
  </r>
  <r>
    <x v="1"/>
    <s v="ROBALINO CALLA HILDA MARISOL"/>
    <n v="50028026"/>
    <s v="MADUEÑO TUNQUE HAMILTON MAURO"/>
    <s v="Apoyo UAC"/>
    <n v="26"/>
    <n v="40"/>
    <n v="71"/>
    <n v="1.7749999999999999"/>
    <n v="0.88749999999999996"/>
    <n v="31"/>
    <n v="30"/>
    <n v="0.967741935483871"/>
    <n v="0.4838709677419355"/>
  </r>
  <r>
    <x v="1"/>
    <s v="ROBALINO CALLA HILDA MARISOL"/>
    <n v="50030022"/>
    <s v="PANIAGUA MACHUCA MARIA ROCIO"/>
    <s v="Especialista UAC"/>
    <n v="26"/>
    <n v="142.22222222222254"/>
    <n v="157"/>
    <n v="1.1039062499999974"/>
    <n v="0.55195312499999871"/>
    <n v="142"/>
    <n v="113"/>
    <n v="0.79577464788732399"/>
    <n v="0.397887323943662"/>
  </r>
  <r>
    <x v="1"/>
    <s v="ROBALINO CALLA HILDA MARISOL"/>
    <n v="50033117"/>
    <s v="ESPINAL MARTINEZ DIANA MARISOL"/>
    <s v="Apoyo UAC"/>
    <n v="26"/>
    <n v="160"/>
    <n v="175"/>
    <n v="1.09375"/>
    <n v="0.546875"/>
    <n v="136"/>
    <n v="112"/>
    <n v="0.82352941176470584"/>
    <n v="0.41176470588235292"/>
  </r>
  <r>
    <x v="4"/>
    <s v="GALARZA GALARRETA MARIA TERESA"/>
    <n v="50034651"/>
    <s v="AJEN MONTERO KIARA PATRICIA"/>
    <s v="Especialista UAC"/>
    <n v="28"/>
    <n v="160"/>
    <n v="118"/>
    <n v="0.73750000000000004"/>
    <n v="0.36875000000000002"/>
    <n v="97"/>
    <n v="83"/>
    <n v="0.85567010309278346"/>
    <n v="0.42783505154639173"/>
  </r>
  <r>
    <x v="3"/>
    <s v="PEREZ DIAZ ROSA MARIA"/>
    <n v="50036060"/>
    <s v="SALAS CUBA CARMEN VALERA"/>
    <s v="Especialista UAC"/>
    <n v="27"/>
    <n v="140"/>
    <n v="116"/>
    <n v="0.82857142857142863"/>
    <n v="0.41428571428571431"/>
    <n v="0"/>
    <n v="0"/>
    <n v="0"/>
    <n v="0"/>
  </r>
  <r>
    <x v="2"/>
    <s v="PONCE ENCISO PABLO FERNANDO"/>
    <n v="50044239"/>
    <s v="TARRILLO RAMOS ALAN ALBERTO"/>
    <s v="Apoyo UAC"/>
    <n v="28"/>
    <n v="160"/>
    <n v="179"/>
    <n v="1.1187499999999999"/>
    <n v="0.55937499999999996"/>
    <n v="174"/>
    <n v="138"/>
    <n v="0.7931034482758621"/>
    <n v="0.39655172413793105"/>
  </r>
  <r>
    <x v="8"/>
    <s v="GALARZA GALARRETA MARIA TERESA"/>
    <n v="50046341"/>
    <s v="COLOMER VALERA JESSICA DEL CARMEN"/>
    <s v="Especialista UAC"/>
    <n v="14"/>
    <n v="133"/>
    <n v="115"/>
    <n v="0.86466165413533835"/>
    <n v="0.43233082706766918"/>
    <n v="110"/>
    <n v="108"/>
    <n v="0.98181818181818181"/>
    <n v="0.49090909090909091"/>
  </r>
  <r>
    <x v="7"/>
    <s v="PONCE ENCISO PABLO FERNANDO"/>
    <n v="50050491"/>
    <s v="SALDAÑA PAREDES JHONATAN JOSUE"/>
    <s v="Apoyo UAC"/>
    <n v="27"/>
    <n v="475"/>
    <n v="334"/>
    <n v="0.70315789473684209"/>
    <n v="0.35157894736842105"/>
    <n v="327"/>
    <n v="213"/>
    <n v="0.65137614678899081"/>
    <n v="0.3256880733944954"/>
  </r>
  <r>
    <x v="1"/>
    <s v="ROBALINO CALLA HILDA MARISOL"/>
    <n v="50050962"/>
    <s v="VILLANUEVA RAMIREZ ALIS SHIRLEY"/>
    <s v="Apoyo UAC"/>
    <n v="28"/>
    <n v="160"/>
    <n v="192"/>
    <n v="1.2"/>
    <n v="0.6"/>
    <n v="148"/>
    <n v="135"/>
    <n v="0.91216216216216217"/>
    <n v="0.45608108108108109"/>
  </r>
  <r>
    <x v="7"/>
    <s v="PONCE ENCISO PABLO FERNANDO"/>
    <n v="50071349"/>
    <s v="ALVARADO SOLDEVILLA VANESSA"/>
    <s v="Apoyo UAC"/>
    <n v="28"/>
    <n v="350"/>
    <n v="248"/>
    <n v="0.70857142857142852"/>
    <n v="0.35428571428571426"/>
    <n v="246"/>
    <n v="228"/>
    <n v="0.92682926829268297"/>
    <n v="0.46341463414634149"/>
  </r>
  <r>
    <x v="9"/>
    <s v="PEREZ DIAZ ROSA MARIA"/>
    <n v="50075738"/>
    <s v="LOAYZA ALLCA BRITT JOANA"/>
    <s v="Apoyo UAC"/>
    <n v="27"/>
    <n v="240"/>
    <n v="263"/>
    <n v="1.0958333333333334"/>
    <n v="0.54791666666666672"/>
    <n v="250"/>
    <n v="246"/>
    <n v="0.98399999999999999"/>
    <n v="0.49199999999999999"/>
  </r>
  <r>
    <x v="1"/>
    <s v="ROBALINO CALLA HILDA MARISOL"/>
    <n v="50083096"/>
    <s v="RODAS DIAZ RICHARD WILLIAM"/>
    <s v="Apoyo UAC"/>
    <n v="28"/>
    <n v="70"/>
    <n v="64"/>
    <n v="0.91428571428571426"/>
    <n v="0.45714285714285713"/>
    <n v="59"/>
    <n v="53"/>
    <n v="0.89830508474576276"/>
    <n v="0.44915254237288138"/>
  </r>
  <r>
    <x v="9"/>
    <s v="PEREZ DIAZ ROSA MARIA"/>
    <n v="50097856"/>
    <s v="GIRON SANTOS GIANCARLOS LEONCIO"/>
    <s v="Apoyo UAC"/>
    <n v="28"/>
    <n v="600"/>
    <n v="670"/>
    <n v="1.1166666666666667"/>
    <n v="0.55833333333333335"/>
    <n v="653"/>
    <n v="648"/>
    <n v="0.99234303215926489"/>
    <n v="0.49617151607963245"/>
  </r>
  <r>
    <x v="10"/>
    <s v="GALARZA GALARRETA MARIA TERESA"/>
    <n v="50016617"/>
    <s v="CORDOVA LI JANNIZ PATRICIA"/>
    <s v="Especialista UAC"/>
    <n v="28"/>
    <n v="85"/>
    <n v="84"/>
    <n v="0.9882352941176471"/>
    <n v="0.49411764705882355"/>
    <n v="80"/>
    <n v="76"/>
    <n v="0.95"/>
    <n v="0.47499999999999998"/>
  </r>
  <r>
    <x v="0"/>
    <s v="PEREZ DIAZ ROSA MARIA"/>
    <n v="7024375"/>
    <s v="GUTIERREZ CHIRI ENRIQUE ALEXIS"/>
    <s v="Apoyo UAC"/>
    <n v="28"/>
    <n v="140"/>
    <n v="96"/>
    <n v="0.68571428571428572"/>
    <n v="0.34285714285714286"/>
    <n v="65"/>
    <n v="36"/>
    <n v="0.55384615384615388"/>
    <n v="0.27692307692307694"/>
  </r>
  <r>
    <x v="1"/>
    <s v="ROBALINO CALLA HILDA MARISOL"/>
    <n v="7032287"/>
    <s v="CARDENAS RIOS ALEIDA"/>
    <s v="Especialista UAC"/>
    <n v="25"/>
    <n v="115.5555555555558"/>
    <n v="146"/>
    <n v="1.2634615384615357"/>
    <n v="0.63173076923076787"/>
    <n v="65"/>
    <n v="57"/>
    <n v="0.87692307692307692"/>
    <n v="0.43846153846153846"/>
  </r>
  <r>
    <x v="1"/>
    <s v="ROBALINO CALLA HILDA MARISOL"/>
    <n v="7030422"/>
    <s v="GAYOSO GALARZA MIGUEL ANGEL"/>
    <s v="Especialista UAC"/>
    <n v="28"/>
    <n v="160"/>
    <n v="159"/>
    <n v="0.99375000000000002"/>
    <n v="0.49687500000000001"/>
    <n v="52"/>
    <n v="20"/>
    <n v="0.38461538461538464"/>
    <n v="0.19230769230769232"/>
  </r>
  <r>
    <x v="5"/>
    <s v="GALARZA GALARRETA MARIA TERESA"/>
    <n v="7016991"/>
    <s v="VARGAS MIÑANO PAMELA SOLANGE"/>
    <s v="Especialista UAC"/>
    <n v="28"/>
    <n v="166.22222222222274"/>
    <n v="157"/>
    <n v="0.94451871657753717"/>
    <n v="0.47225935828876858"/>
    <n v="157"/>
    <n v="156"/>
    <n v="0.99363057324840764"/>
    <n v="0.49681528662420382"/>
  </r>
  <r>
    <x v="2"/>
    <s v="PONCE ENCISO PABLO FERNANDO"/>
    <n v="7054026"/>
    <s v="CORRALES JAYO CHRISTIAN STIVE"/>
    <s v="Apoyo UAC"/>
    <n v="28"/>
    <n v="160"/>
    <n v="140"/>
    <n v="0.875"/>
    <n v="0.4375"/>
    <n v="136"/>
    <n v="99"/>
    <n v="0.7279411764705882"/>
    <n v="0.3639705882352941"/>
  </r>
  <r>
    <x v="0"/>
    <s v="PEREZ DIAZ ROSA MARIA"/>
    <n v="50008739"/>
    <s v="MENESES ALEGRE KAREN CRISTINA"/>
    <s v="Especialista UAC"/>
    <n v="28"/>
    <n v="105"/>
    <n v="98"/>
    <n v="0.93333333333333335"/>
    <n v="0.46666666666666667"/>
    <n v="98"/>
    <n v="84"/>
    <n v="0.8571428571428571"/>
    <n v="0.42857142857142855"/>
  </r>
  <r>
    <x v="9"/>
    <s v="PEREZ DIAZ ROSA MARIA"/>
    <n v="50062066"/>
    <s v="ORTEGA SALINAS JUAN CARLOS"/>
    <s v="Apoyo UAC"/>
    <n v="28"/>
    <n v="358"/>
    <n v="362"/>
    <n v="1.011173184357542"/>
    <n v="0.505586592178771"/>
    <n v="356"/>
    <n v="352"/>
    <n v="0.9887640449438202"/>
    <n v="0.4943820224719101"/>
  </r>
  <r>
    <x v="0"/>
    <s v="PEREZ DIAZ ROSA MARIA"/>
    <n v="7017700"/>
    <s v="SANCHEZ RODRIGUEZ JENY KARINA"/>
    <s v="Especialista UAC"/>
    <n v="28"/>
    <n v="80.888888888888943"/>
    <n v="52"/>
    <n v="0.64285714285714246"/>
    <n v="0.32142857142857123"/>
    <n v="35"/>
    <n v="26"/>
    <n v="0.74285714285714288"/>
    <n v="0.37142857142857144"/>
  </r>
  <r>
    <x v="11"/>
    <s v="PEREZ DIAZ ROSA MARIA"/>
    <n v="50054337"/>
    <s v="MALLQUI OLIVOS IVONNE KARIN"/>
    <s v="Apoyo UAC"/>
    <n v="21"/>
    <n v="460"/>
    <n v="440"/>
    <n v="0.95652173913043481"/>
    <n v="0.47826086956521741"/>
    <n v="391"/>
    <n v="382"/>
    <n v="0.97698209718670082"/>
    <n v="0.48849104859335041"/>
  </r>
  <r>
    <x v="11"/>
    <s v="PEREZ DIAZ ROSA MARIA"/>
    <n v="50094481"/>
    <s v="CASTRO OLIVARES JUANA VERONICA"/>
    <s v="Apoyo UAC"/>
    <n v="28"/>
    <n v="440"/>
    <n v="482"/>
    <n v="1.0954545454545455"/>
    <n v="0.54772727272727273"/>
    <n v="407"/>
    <n v="406"/>
    <n v="0.99754299754299758"/>
    <n v="0.49877149877149879"/>
  </r>
  <r>
    <x v="11"/>
    <s v="PEREZ DIAZ ROSA MARIA"/>
    <n v="7009426"/>
    <s v="ROJAS LOPEZ MATILDE GRACIELA"/>
    <s v="Especialista UAC"/>
    <n v="28"/>
    <n v="400"/>
    <n v="340"/>
    <n v="0.85"/>
    <n v="0.42499999999999999"/>
    <n v="328"/>
    <n v="309"/>
    <n v="0.94207317073170727"/>
    <n v="0.47103658536585363"/>
  </r>
  <r>
    <x v="11"/>
    <s v="PEREZ DIAZ ROSA MARIA"/>
    <n v="7058852"/>
    <s v="PRADERA PEREZ MIGUEL ANGEL"/>
    <s v="Especialista UAC"/>
    <n v="26"/>
    <n v="420"/>
    <n v="429"/>
    <n v="1.0214285714285714"/>
    <n v="0.51071428571428568"/>
    <n v="394"/>
    <n v="391"/>
    <n v="0.99238578680203049"/>
    <n v="0.49619289340101524"/>
  </r>
  <r>
    <x v="7"/>
    <s v="PONCE ENCISO PABLO FERNANDO"/>
    <n v="7032030"/>
    <s v="HUAMANCHUMO COVEÑAS MARIO WALTHER"/>
    <s v="Apoyo UAC"/>
    <n v="26"/>
    <n v="400"/>
    <n v="246"/>
    <n v="0.61499999999999999"/>
    <n v="0.3075"/>
    <n v="244"/>
    <n v="211"/>
    <n v="0.86475409836065575"/>
    <n v="0.43237704918032788"/>
  </r>
  <r>
    <x v="4"/>
    <s v="GALARZA GALARRETA MARIA TERESA"/>
    <n v="50067909"/>
    <s v="QUISPE TORO ALEXANDRA CECILIA"/>
    <s v="Apoyo UAC"/>
    <n v="26"/>
    <n v="144"/>
    <n v="117"/>
    <n v="0.8125"/>
    <n v="0.40625"/>
    <n v="114"/>
    <n v="111"/>
    <n v="0.97368421052631582"/>
    <n v="0.48684210526315791"/>
  </r>
  <r>
    <x v="0"/>
    <s v="PEREZ DIAZ ROSA MARIA"/>
    <n v="7015480"/>
    <s v="SAAVEDRA ENCISO VICTOR MANUEL"/>
    <s v="Apoyo UAC"/>
    <n v="26"/>
    <n v="63"/>
    <n v="22"/>
    <n v="0.34920634920634919"/>
    <n v="0.17460317460317459"/>
    <n v="20"/>
    <n v="20"/>
    <n v="1"/>
    <n v="0.5"/>
  </r>
  <r>
    <x v="12"/>
    <m/>
    <n v="7018195"/>
    <s v="MUÑOZ SANCHEZ CAROL INES"/>
    <s v="Especialista UAC"/>
    <n v="26"/>
    <m/>
    <m/>
    <m/>
    <m/>
    <m/>
    <m/>
    <m/>
    <m/>
  </r>
  <r>
    <x v="12"/>
    <m/>
    <n v="7040314"/>
    <s v="DIAZ MENDEZ CESAR ALBERTO"/>
    <s v="Especialista UAC"/>
    <n v="28"/>
    <m/>
    <m/>
    <m/>
    <m/>
    <m/>
    <m/>
    <m/>
    <m/>
  </r>
  <r>
    <x v="12"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0">
  <r>
    <s v="Jhonatan Saldaña Paredes"/>
    <n v="213"/>
    <n v="114"/>
    <n v="327"/>
    <x v="0"/>
  </r>
  <r>
    <s v="Giovani Ramos Bautista"/>
    <n v="347"/>
    <n v="41"/>
    <n v="388"/>
    <x v="1"/>
  </r>
  <r>
    <s v="ANGIE MERLY SUAREZ GUEVARA"/>
    <n v="420"/>
    <n v="68"/>
    <n v="488"/>
    <x v="2"/>
  </r>
  <r>
    <s v="Vanessa Alvarado Soldevilla"/>
    <n v="228"/>
    <n v="18"/>
    <n v="246"/>
    <x v="3"/>
  </r>
  <r>
    <s v="Mario Huamanchumo Coveñas"/>
    <n v="211"/>
    <n v="33"/>
    <n v="244"/>
    <x v="4"/>
  </r>
  <r>
    <s v="Gladis Sivincha Millio"/>
    <n v="81"/>
    <n v="10"/>
    <n v="91"/>
    <x v="5"/>
  </r>
  <r>
    <s v="Alis Villanueva Ramirez"/>
    <n v="135"/>
    <n v="13"/>
    <n v="148"/>
    <x v="6"/>
  </r>
  <r>
    <s v="Fyorella Valdiviezo Falcon"/>
    <n v="110"/>
    <n v="28"/>
    <n v="138"/>
    <x v="7"/>
  </r>
  <r>
    <s v="Miguel Gayoso Galarza"/>
    <m/>
    <m/>
    <m/>
    <x v="8"/>
  </r>
  <r>
    <s v="Diana Marisol Espinal Martinez"/>
    <n v="112"/>
    <n v="24"/>
    <n v="136"/>
    <x v="9"/>
  </r>
  <r>
    <s v="Sasha Romina Asmat Salcedo"/>
    <n v="109"/>
    <n v="13"/>
    <n v="122"/>
    <x v="10"/>
  </r>
  <r>
    <s v="Hamilton Madueño Tunque"/>
    <n v="30"/>
    <n v="1"/>
    <n v="31"/>
    <x v="11"/>
  </r>
  <r>
    <s v="Abraham José Flores Hernandez"/>
    <n v="148"/>
    <n v="18"/>
    <n v="166"/>
    <x v="12"/>
  </r>
  <r>
    <s v="Aleida Cárdenas"/>
    <n v="57"/>
    <n v="8"/>
    <n v="65"/>
    <x v="13"/>
  </r>
  <r>
    <s v="Diana  Sánchez"/>
    <n v="101"/>
    <n v="10"/>
    <n v="111"/>
    <x v="14"/>
  </r>
  <r>
    <s v="Angel Yamunaque Miranda"/>
    <n v="2"/>
    <m/>
    <n v="2"/>
    <x v="15"/>
  </r>
  <r>
    <s v="Junior Javier Villegas Solano"/>
    <n v="63"/>
    <n v="15"/>
    <n v="78"/>
    <x v="16"/>
  </r>
  <r>
    <s v="Vilma Carrera Sanchez"/>
    <n v="107"/>
    <n v="34"/>
    <n v="141"/>
    <x v="17"/>
  </r>
  <r>
    <s v="Richard Rodas Diaz"/>
    <n v="53"/>
    <n v="6"/>
    <n v="59"/>
    <x v="18"/>
  </r>
  <r>
    <s v="Maria Rocio Paniagua Machuca"/>
    <n v="113"/>
    <n v="29"/>
    <n v="142"/>
    <x v="19"/>
  </r>
  <r>
    <s v="Maria Luisa Cienfuegos Laithon"/>
    <n v="51"/>
    <n v="19"/>
    <n v="70"/>
    <x v="20"/>
  </r>
  <r>
    <s v="Pamela Vargas"/>
    <n v="156"/>
    <n v="1"/>
    <n v="157"/>
    <x v="21"/>
  </r>
  <r>
    <s v="Julio César Sánchez Guevara"/>
    <n v="196"/>
    <n v="13"/>
    <n v="209"/>
    <x v="22"/>
  </r>
  <r>
    <s v="Jessica Colomer Valera"/>
    <n v="108"/>
    <n v="2"/>
    <n v="110"/>
    <x v="23"/>
  </r>
  <r>
    <s v="Janniz Cordova Li"/>
    <n v="76"/>
    <n v="4"/>
    <n v="80"/>
    <x v="24"/>
  </r>
  <r>
    <s v="Erika Mauricio Beramendi"/>
    <n v="79"/>
    <n v="36"/>
    <n v="115"/>
    <x v="25"/>
  </r>
  <r>
    <s v="Luzmilla Valiente"/>
    <m/>
    <m/>
    <m/>
    <x v="26"/>
  </r>
  <r>
    <s v="Karen Cristina Meneses Alegre"/>
    <n v="84"/>
    <n v="14"/>
    <n v="98"/>
    <x v="27"/>
  </r>
  <r>
    <s v="Luis Alberto Torres Felix"/>
    <n v="42"/>
    <m/>
    <n v="42"/>
    <x v="28"/>
  </r>
  <r>
    <s v="Ketty Betsabe Berrospi Velasquez"/>
    <n v="79"/>
    <n v="42"/>
    <n v="121"/>
    <x v="29"/>
  </r>
  <r>
    <s v="Magdalena Beatriz Vicente Palacios"/>
    <n v="27"/>
    <n v="1"/>
    <n v="28"/>
    <x v="30"/>
  </r>
  <r>
    <s v="Manuel Luciano Vilchez Cordova"/>
    <n v="9"/>
    <n v="35"/>
    <n v="44"/>
    <x v="31"/>
  </r>
  <r>
    <s v="FERNANDO ALEXIS CHUMBES CHIPAU"/>
    <n v="82"/>
    <n v="27"/>
    <n v="109"/>
    <x v="32"/>
  </r>
  <r>
    <s v="Luis Manuel Mamani Bravo"/>
    <n v="49"/>
    <n v="13"/>
    <n v="62"/>
    <x v="33"/>
  </r>
  <r>
    <s v="Victor Saavedra Enciso"/>
    <n v="20"/>
    <m/>
    <n v="20"/>
    <x v="34"/>
  </r>
  <r>
    <s v="Enrique Gutierrez Chiri"/>
    <m/>
    <m/>
    <m/>
    <x v="35"/>
  </r>
  <r>
    <s v="JENY SANCHEZ RODRIGUEZ"/>
    <n v="26"/>
    <n v="9"/>
    <n v="35"/>
    <x v="36"/>
  </r>
  <r>
    <s v="Alan Tarrillo Ramos"/>
    <n v="138"/>
    <n v="36"/>
    <n v="174"/>
    <x v="37"/>
  </r>
  <r>
    <s v="Huamán Yissel"/>
    <m/>
    <m/>
    <m/>
    <x v="38"/>
  </r>
  <r>
    <s v="Christian Corrales Jayo "/>
    <n v="99"/>
    <n v="37"/>
    <n v="136"/>
    <x v="39"/>
  </r>
  <r>
    <s v="Luz Oblitas Diaz"/>
    <n v="75"/>
    <n v="40"/>
    <n v="115"/>
    <x v="40"/>
  </r>
  <r>
    <s v="Juan Tomas Zorrilla Miranda"/>
    <n v="101"/>
    <n v="19"/>
    <n v="120"/>
    <x v="41"/>
  </r>
  <r>
    <s v="Juan Carlos Ortega Salinas"/>
    <n v="74"/>
    <n v="1"/>
    <n v="75"/>
    <x v="42"/>
  </r>
  <r>
    <s v="Vilma Bocanegra Uscumayta"/>
    <n v="127"/>
    <n v="21"/>
    <n v="148"/>
    <x v="43"/>
  </r>
  <r>
    <s v="Giancarlos Giron Santos"/>
    <n v="648"/>
    <n v="5"/>
    <n v="653"/>
    <x v="44"/>
  </r>
  <r>
    <s v="Britt Loayza Allcca"/>
    <n v="246"/>
    <n v="4"/>
    <n v="250"/>
    <x v="45"/>
  </r>
  <r>
    <s v="Juan Carlos Ortega Salinas"/>
    <n v="278"/>
    <n v="3"/>
    <n v="281"/>
    <x v="42"/>
  </r>
  <r>
    <s v="Carmen Salas"/>
    <m/>
    <m/>
    <m/>
    <x v="46"/>
  </r>
  <r>
    <s v="CHRISTIAN RENGIFO BALAREZO"/>
    <m/>
    <m/>
    <m/>
    <x v="47"/>
  </r>
  <r>
    <s v="Julia Patricia Perez Palma Garreta"/>
    <m/>
    <m/>
    <m/>
    <x v="48"/>
  </r>
  <r>
    <s v="Marco Zuñiga Colchado"/>
    <m/>
    <m/>
    <m/>
    <x v="49"/>
  </r>
  <r>
    <s v="Johnny Gerardo Rincon Chugna"/>
    <m/>
    <m/>
    <m/>
    <x v="50"/>
  </r>
  <r>
    <s v="Fani López"/>
    <n v="89"/>
    <n v="1"/>
    <n v="90"/>
    <x v="51"/>
  </r>
  <r>
    <s v="Kiara Patricia Ajen Montero"/>
    <n v="83"/>
    <n v="14"/>
    <n v="97"/>
    <x v="52"/>
  </r>
  <r>
    <s v="Roberto Ampuero Alvarez"/>
    <n v="62"/>
    <n v="12"/>
    <n v="74"/>
    <x v="53"/>
  </r>
  <r>
    <s v="Alexandra Cecilia Quispe Toro"/>
    <n v="111"/>
    <n v="3"/>
    <n v="114"/>
    <x v="54"/>
  </r>
  <r>
    <s v="Ivonne Mallqui Olivos"/>
    <n v="382"/>
    <n v="9"/>
    <n v="391"/>
    <x v="55"/>
  </r>
  <r>
    <s v="Juana Veronica Castro Olivares"/>
    <n v="406"/>
    <n v="1"/>
    <n v="407"/>
    <x v="56"/>
  </r>
  <r>
    <s v="Matilde Rojas Lopez"/>
    <n v="309"/>
    <n v="19"/>
    <n v="328"/>
    <x v="57"/>
  </r>
  <r>
    <s v="Miguel Angel Pradera Perez"/>
    <n v="391"/>
    <n v="3"/>
    <n v="394"/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3" cacheId="238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>
  <location ref="B4:D18" firstHeaderRow="1" firstDataRow="2" firstDataCol="1"/>
  <pivotFields count="14">
    <pivotField axis="axisRow" showAll="0">
      <items count="15">
        <item x="6"/>
        <item x="7"/>
        <item x="9"/>
        <item x="0"/>
        <item x="5"/>
        <item x="3"/>
        <item x="1"/>
        <item x="4"/>
        <item m="1" x="13"/>
        <item x="2"/>
        <item h="1" x="12"/>
        <item x="8"/>
        <item x="10"/>
        <item x="11"/>
        <item t="default"/>
      </items>
    </pivotField>
    <pivotField showAll="0" defaultSubtotal="0"/>
    <pivotField showAll="0"/>
    <pivotField showAll="0"/>
    <pivotField showAll="0" defaultSubtotal="0"/>
    <pivotField showAll="0" defaultSubtotal="0"/>
    <pivotField dataField="1" showAl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META TOTAL" fld="6" baseField="0" baseItem="0"/>
    <dataField name="Suma de N° CASOS CERRADOS" fld="7" baseField="0" baseItem="0"/>
  </dataFields>
  <formats count="16">
    <format dxfId="25">
      <pivotArea dataOnly="0" fieldPosition="0">
        <references count="1">
          <reference field="0" count="1">
            <x v="9"/>
          </reference>
        </references>
      </pivotArea>
    </format>
    <format dxfId="24">
      <pivotArea dataOnly="0" fieldPosition="0">
        <references count="1">
          <reference field="0" count="1">
            <x v="2"/>
          </reference>
        </references>
      </pivotArea>
    </format>
    <format dxfId="23">
      <pivotArea dataOnly="0" fieldPosition="0">
        <references count="1">
          <reference field="0" count="1">
            <x v="4"/>
          </reference>
        </references>
      </pivotArea>
    </format>
    <format dxfId="22">
      <pivotArea collapsedLevelsAreSubtotals="1" fieldPosition="0">
        <references count="1">
          <reference field="0" count="3">
            <x v="2"/>
            <x v="3"/>
            <x v="4"/>
          </reference>
        </references>
      </pivotArea>
    </format>
    <format dxfId="21">
      <pivotArea collapsedLevelsAreSubtotals="1" fieldPosition="0">
        <references count="1">
          <reference field="0" count="0"/>
        </references>
      </pivotArea>
    </format>
    <format dxfId="20">
      <pivotArea grandRow="1" outline="0" collapsedLevelsAreSubtotals="1" fieldPosition="0"/>
    </format>
    <format dxfId="19">
      <pivotArea collapsedLevelsAreSubtotals="1" fieldPosition="0">
        <references count="1">
          <reference field="0" count="0"/>
        </references>
      </pivotArea>
    </format>
    <format dxfId="18">
      <pivotArea dataOnly="0" labelOnly="1" fieldPosition="0">
        <references count="1">
          <reference field="0" count="0"/>
        </references>
      </pivotArea>
    </format>
    <format dxfId="17">
      <pivotArea collapsedLevelsAreSubtotals="1" fieldPosition="0">
        <references count="1">
          <reference field="0" count="1">
            <x v="0"/>
          </reference>
        </references>
      </pivotArea>
    </format>
    <format dxfId="16">
      <pivotArea dataOnly="0" labelOnly="1" fieldPosition="0">
        <references count="1">
          <reference field="0" count="1">
            <x v="0"/>
          </reference>
        </references>
      </pivotArea>
    </format>
    <format dxfId="15">
      <pivotArea collapsedLevelsAreSubtotals="1" fieldPosition="0">
        <references count="1">
          <reference field="0" count="1">
            <x v="2"/>
          </reference>
        </references>
      </pivotArea>
    </format>
    <format dxfId="14">
      <pivotArea dataOnly="0" labelOnly="1" fieldPosition="0">
        <references count="1">
          <reference field="0" count="1">
            <x v="2"/>
          </reference>
        </references>
      </pivotArea>
    </format>
    <format dxfId="13">
      <pivotArea collapsedLevelsAreSubtotals="1" fieldPosition="0">
        <references count="1">
          <reference field="0" count="2">
            <x v="5"/>
            <x v="6"/>
          </reference>
        </references>
      </pivotArea>
    </format>
    <format dxfId="12">
      <pivotArea dataOnly="0" labelOnly="1" fieldPosition="0">
        <references count="1">
          <reference field="0" count="2">
            <x v="5"/>
            <x v="6"/>
          </reference>
        </references>
      </pivotArea>
    </format>
    <format dxfId="11">
      <pivotArea collapsedLevelsAreSubtotals="1" fieldPosition="0">
        <references count="1">
          <reference field="0" count="1">
            <x v="12"/>
          </reference>
        </references>
      </pivotArea>
    </format>
    <format dxfId="10">
      <pivotArea dataOnly="0" labelOnly="1" fieldPosition="0">
        <references count="1">
          <reference field="0" count="1">
            <x v="12"/>
          </reference>
        </references>
      </pivotArea>
    </format>
  </formats>
  <pivotTableStyleInfo name="PivotStyleLight3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4" cacheId="236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K20:O80" firstHeaderRow="0" firstDataRow="1" firstDataCol="1"/>
  <pivotFields count="8">
    <pivotField showAll="0"/>
    <pivotField dataField="1" showAll="0" defaultSubtotal="0"/>
    <pivotField dataField="1" showAll="0"/>
    <pivotField showAll="0" defaultSubtotal="0"/>
    <pivotField dataField="1" showAll="0" defaultSubtotal="0"/>
    <pivotField dataField="1" showAll="0" defaultSubtotal="0"/>
    <pivotField axis="axisRow" showAll="0" defaultSubtotal="0">
      <items count="60">
        <item x="33"/>
        <item x="16"/>
        <item x="49"/>
        <item x="32"/>
        <item x="23"/>
        <item x="31"/>
        <item x="51"/>
        <item x="48"/>
        <item x="8"/>
        <item x="50"/>
        <item x="1"/>
        <item x="42"/>
        <item x="39"/>
        <item x="34"/>
        <item x="30"/>
        <item x="38"/>
        <item x="41"/>
        <item x="0"/>
        <item x="27"/>
        <item x="35"/>
        <item x="5"/>
        <item x="10"/>
        <item x="19"/>
        <item x="25"/>
        <item x="13"/>
        <item x="15"/>
        <item x="45"/>
        <item x="7"/>
        <item x="47"/>
        <item x="24"/>
        <item x="17"/>
        <item x="12"/>
        <item x="9"/>
        <item x="28"/>
        <item x="26"/>
        <item x="44"/>
        <item x="53"/>
        <item x="2"/>
        <item x="6"/>
        <item x="3"/>
        <item x="22"/>
        <item x="18"/>
        <item x="20"/>
        <item x="54"/>
        <item x="37"/>
        <item x="14"/>
        <item x="11"/>
        <item h="1" x="55"/>
        <item x="52"/>
        <item x="46"/>
        <item x="36"/>
        <item x="21"/>
        <item x="40"/>
        <item x="56"/>
        <item x="57"/>
        <item x="58"/>
        <item x="59"/>
        <item x="4"/>
        <item x="29"/>
        <item x="43"/>
      </items>
    </pivotField>
    <pivotField showAll="0"/>
  </pivotFields>
  <rowFields count="1">
    <field x="6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Días  Asistidos" fld="1" baseField="6" baseItem="13"/>
    <dataField name="Meta Dia" fld="4" baseField="0" baseItem="0" numFmtId="167"/>
    <dataField name="Suma de META Mes" fld="5" baseField="6" baseItem="7" numFmtId="1"/>
    <dataField name="LOGRO TOTAL" fld="2" baseField="5" baseItem="0"/>
  </dataFields>
  <formats count="9"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field="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5">
      <pivotArea field="6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4">
      <pivotArea field="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">
      <pivotArea collapsedLevelsAreSubtotals="1" fieldPosition="0">
        <references count="1">
          <reference field="6" count="1">
            <x v="23"/>
          </reference>
        </references>
      </pivotArea>
    </format>
    <format dxfId="2">
      <pivotArea dataOnly="0" labelOnly="1" fieldPosition="0">
        <references count="1">
          <reference field="6" count="1">
            <x v="23"/>
          </reference>
        </references>
      </pivotArea>
    </format>
    <format dxfId="1">
      <pivotArea collapsedLevelsAreSubtotals="1" fieldPosition="0">
        <references count="1">
          <reference field="6" count="2">
            <x v="34"/>
            <x v="35"/>
          </reference>
        </references>
      </pivotArea>
    </format>
    <format dxfId="0">
      <pivotArea dataOnly="0" labelOnly="1" fieldPosition="0">
        <references count="1">
          <reference field="6" count="2">
            <x v="34"/>
            <x v="3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23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3:I63" firstHeaderRow="0" firstDataRow="1" firstDataCol="1"/>
  <pivotFields count="5">
    <pivotField showAll="0"/>
    <pivotField dataField="1" showAll="0"/>
    <pivotField showAll="0"/>
    <pivotField dataField="1" numFmtId="3" showAll="0"/>
    <pivotField axis="axisRow" showAll="0" defaultSubtotal="0">
      <items count="59">
        <item x="26"/>
        <item x="14"/>
        <item x="38"/>
        <item x="29"/>
        <item x="48"/>
        <item x="51"/>
        <item x="22"/>
        <item x="12"/>
        <item x="20"/>
        <item x="1"/>
        <item x="30"/>
        <item x="31"/>
        <item x="8"/>
        <item x="25"/>
        <item x="53"/>
        <item x="33"/>
        <item x="28"/>
        <item x="2"/>
        <item x="47"/>
        <item x="32"/>
        <item x="7"/>
        <item x="16"/>
        <item x="15"/>
        <item x="50"/>
        <item x="17"/>
        <item x="10"/>
        <item x="5"/>
        <item x="41"/>
        <item x="49"/>
        <item x="11"/>
        <item x="9"/>
        <item x="52"/>
        <item x="46"/>
        <item x="37"/>
        <item x="23"/>
        <item x="0"/>
        <item x="6"/>
        <item x="3"/>
        <item x="45"/>
        <item x="44"/>
        <item x="24"/>
        <item x="35"/>
        <item x="13"/>
        <item x="21"/>
        <item x="27"/>
        <item x="42"/>
        <item x="36"/>
        <item x="55"/>
        <item x="57"/>
        <item x="58"/>
        <item x="56"/>
        <item x="40"/>
        <item x="43"/>
        <item x="39"/>
        <item x="18"/>
        <item x="19"/>
        <item x="4"/>
        <item x="34"/>
        <item x="54"/>
      </items>
    </pivotField>
  </pivotFields>
  <rowFields count="1">
    <field x="4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Dentro de Plazo" fld="1" baseField="0" baseItem="0"/>
    <dataField name="Suma de Total gener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3" cacheId="23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multipleFieldFilters="0">
  <location ref="AK2:AM23" firstHeaderRow="1" firstDataRow="1" firstDataCol="2"/>
  <pivotFields count="35">
    <pivotField compact="0" outline="0" showAll="0"/>
    <pivotField compact="0" numFmtId="14" outline="0" showAll="0"/>
    <pivotField compact="0" numFmtId="1" outline="0" showAll="0"/>
    <pivotField compact="0" numFmtId="1" outline="0" showAll="0"/>
    <pivotField axis="axisRow" compact="0" outline="0" showAll="0">
      <items count="71">
        <item x="11"/>
        <item m="1" x="58"/>
        <item m="1" x="65"/>
        <item m="1" x="68"/>
        <item m="1" x="47"/>
        <item x="0"/>
        <item m="1" x="54"/>
        <item m="1" x="25"/>
        <item m="1" x="33"/>
        <item x="17"/>
        <item m="1" x="69"/>
        <item m="1" x="44"/>
        <item m="1" x="38"/>
        <item m="1" x="55"/>
        <item m="1" x="59"/>
        <item m="1" x="51"/>
        <item m="1" x="36"/>
        <item x="1"/>
        <item x="3"/>
        <item x="19"/>
        <item m="1" x="30"/>
        <item x="16"/>
        <item m="1" x="61"/>
        <item x="8"/>
        <item m="1" x="62"/>
        <item m="1" x="66"/>
        <item x="14"/>
        <item m="1" x="20"/>
        <item m="1" x="32"/>
        <item x="5"/>
        <item m="1" x="28"/>
        <item m="1" x="60"/>
        <item m="1" x="45"/>
        <item x="18"/>
        <item m="1" x="48"/>
        <item m="1" x="39"/>
        <item m="1" x="22"/>
        <item m="1" x="40"/>
        <item m="1" x="67"/>
        <item x="12"/>
        <item m="1" x="24"/>
        <item m="1" x="29"/>
        <item m="1" x="42"/>
        <item m="1" x="46"/>
        <item m="1" x="41"/>
        <item x="10"/>
        <item m="1" x="64"/>
        <item x="6"/>
        <item m="1" x="26"/>
        <item m="1" x="52"/>
        <item m="1" x="31"/>
        <item m="1" x="43"/>
        <item m="1" x="50"/>
        <item m="1" x="34"/>
        <item x="13"/>
        <item x="7"/>
        <item m="1" x="49"/>
        <item x="15"/>
        <item m="1" x="35"/>
        <item m="1" x="63"/>
        <item m="1" x="23"/>
        <item x="4"/>
        <item m="1" x="56"/>
        <item m="1" x="21"/>
        <item m="1" x="27"/>
        <item m="1" x="53"/>
        <item m="1" x="37"/>
        <item m="1" x="57"/>
        <item x="2"/>
        <item x="9"/>
        <item t="default"/>
      </items>
    </pivotField>
    <pivotField axis="axisRow" compact="0" outline="0" showAll="0" defaultSubtotal="0">
      <items count="56">
        <item x="3"/>
        <item m="1" x="53"/>
        <item x="0"/>
        <item m="1" x="55"/>
        <item m="1" x="33"/>
        <item m="1" x="49"/>
        <item m="1" x="50"/>
        <item x="11"/>
        <item m="1" x="24"/>
        <item m="1" x="25"/>
        <item m="1" x="26"/>
        <item x="12"/>
        <item m="1" x="20"/>
        <item x="17"/>
        <item x="14"/>
        <item x="9"/>
        <item m="1" x="34"/>
        <item x="1"/>
        <item m="1" x="27"/>
        <item x="19"/>
        <item m="1" x="44"/>
        <item x="16"/>
        <item m="1" x="43"/>
        <item x="8"/>
        <item m="1" x="29"/>
        <item m="1" x="41"/>
        <item m="1" x="40"/>
        <item m="1" x="38"/>
        <item x="5"/>
        <item m="1" x="35"/>
        <item m="1" x="28"/>
        <item m="1" x="48"/>
        <item x="18"/>
        <item m="1" x="22"/>
        <item m="1" x="36"/>
        <item m="1" x="39"/>
        <item m="1" x="23"/>
        <item m="1" x="30"/>
        <item m="1" x="42"/>
        <item m="1" x="54"/>
        <item x="6"/>
        <item x="10"/>
        <item x="13"/>
        <item x="7"/>
        <item m="1" x="45"/>
        <item x="15"/>
        <item m="1" x="52"/>
        <item m="1" x="21"/>
        <item m="1" x="47"/>
        <item x="4"/>
        <item m="1" x="32"/>
        <item m="1" x="51"/>
        <item m="1" x="46"/>
        <item m="1" x="37"/>
        <item m="1" x="31"/>
        <item x="2"/>
      </items>
    </pivotField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dataField="1" compact="0" numFmtId="9" outline="0" showAll="0"/>
    <pivotField compact="0" outline="0" showAll="0"/>
  </pivotFields>
  <rowFields count="2">
    <field x="5"/>
    <field x="4"/>
  </rowFields>
  <rowItems count="21">
    <i>
      <x/>
      <x v="18"/>
    </i>
    <i>
      <x v="2"/>
      <x v="5"/>
    </i>
    <i>
      <x v="7"/>
      <x/>
    </i>
    <i>
      <x v="11"/>
      <x v="39"/>
    </i>
    <i>
      <x v="13"/>
      <x v="9"/>
    </i>
    <i>
      <x v="14"/>
      <x v="26"/>
    </i>
    <i>
      <x v="15"/>
      <x v="69"/>
    </i>
    <i>
      <x v="17"/>
      <x v="17"/>
    </i>
    <i>
      <x v="19"/>
      <x v="19"/>
    </i>
    <i>
      <x v="21"/>
      <x v="21"/>
    </i>
    <i>
      <x v="23"/>
      <x v="23"/>
    </i>
    <i>
      <x v="28"/>
      <x v="29"/>
    </i>
    <i>
      <x v="32"/>
      <x v="33"/>
    </i>
    <i>
      <x v="40"/>
      <x v="47"/>
    </i>
    <i>
      <x v="41"/>
      <x v="45"/>
    </i>
    <i>
      <x v="42"/>
      <x v="54"/>
    </i>
    <i>
      <x v="43"/>
      <x v="55"/>
    </i>
    <i>
      <x v="45"/>
      <x v="57"/>
    </i>
    <i>
      <x v="49"/>
      <x v="61"/>
    </i>
    <i>
      <x v="55"/>
      <x v="68"/>
    </i>
    <i t="grand">
      <x/>
    </i>
  </rowItems>
  <colItems count="1">
    <i/>
  </colItems>
  <dataFields count="1">
    <dataField name="Promedio de Nota" fld="3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09060"/>
  </sheetPr>
  <dimension ref="A1:AF68"/>
  <sheetViews>
    <sheetView showGridLines="0" tabSelected="1" zoomScale="80" zoomScaleNormal="80" workbookViewId="0">
      <pane xSplit="6" ySplit="7" topLeftCell="T8" activePane="bottomRight" state="frozen"/>
      <selection pane="topRight" activeCell="G1" sqref="G1"/>
      <selection pane="bottomLeft" activeCell="A8" sqref="A8"/>
      <selection pane="bottomRight" activeCell="X8" sqref="X8"/>
    </sheetView>
  </sheetViews>
  <sheetFormatPr baseColWidth="10" defaultRowHeight="12.75" outlineLevelCol="1" x14ac:dyDescent="0.2"/>
  <cols>
    <col min="1" max="1" width="12.5703125" style="25" customWidth="1" outlineLevel="1"/>
    <col min="2" max="2" width="30.5703125" style="25" bestFit="1" customWidth="1" outlineLevel="1"/>
    <col min="3" max="3" width="11.28515625" style="25" customWidth="1"/>
    <col min="4" max="4" width="37.7109375" style="25" customWidth="1"/>
    <col min="5" max="5" width="16.5703125" style="25" customWidth="1"/>
    <col min="6" max="6" width="12.42578125" style="25" customWidth="1"/>
    <col min="7" max="14" width="10" style="25" customWidth="1"/>
    <col min="15" max="15" width="10.7109375" style="25" hidden="1" customWidth="1" outlineLevel="1"/>
    <col min="16" max="16" width="7.7109375" style="25" hidden="1" customWidth="1" outlineLevel="1"/>
    <col min="17" max="17" width="10.5703125" style="25" customWidth="1" collapsed="1"/>
    <col min="18" max="18" width="10" style="25" customWidth="1"/>
    <col min="19" max="23" width="10.85546875" style="25" customWidth="1"/>
    <col min="24" max="24" width="16.5703125" style="25" customWidth="1"/>
    <col min="25" max="25" width="14.5703125" style="25" customWidth="1"/>
    <col min="26" max="26" width="16.7109375" style="25" customWidth="1"/>
    <col min="27" max="27" width="15.140625" style="25" customWidth="1"/>
    <col min="28" max="28" width="11" style="25" customWidth="1"/>
    <col min="29" max="29" width="11.42578125" style="25" customWidth="1"/>
    <col min="30" max="16384" width="11.42578125" style="25"/>
  </cols>
  <sheetData>
    <row r="1" spans="1:32" ht="9.75" customHeight="1" x14ac:dyDescent="0.2"/>
    <row r="2" spans="1:32" ht="12.75" customHeight="1" x14ac:dyDescent="0.2">
      <c r="A2" s="44" t="s">
        <v>209</v>
      </c>
      <c r="B2" s="44"/>
      <c r="C2" s="43"/>
      <c r="D2" s="43"/>
      <c r="S2" s="218" t="s">
        <v>251</v>
      </c>
      <c r="T2" s="218"/>
      <c r="U2" s="81"/>
      <c r="V2" s="83" t="s">
        <v>225</v>
      </c>
      <c r="W2" s="83" t="s">
        <v>268</v>
      </c>
      <c r="Z2" s="191"/>
      <c r="AA2" s="191"/>
      <c r="AB2" s="143"/>
    </row>
    <row r="3" spans="1:32" ht="12.75" customHeight="1" x14ac:dyDescent="0.2">
      <c r="A3" s="45" t="s">
        <v>536</v>
      </c>
      <c r="B3" s="45"/>
      <c r="C3" s="43"/>
      <c r="D3" s="43"/>
      <c r="I3" s="133"/>
      <c r="J3" s="134"/>
      <c r="K3" s="26"/>
      <c r="L3" s="27"/>
      <c r="M3" s="28"/>
      <c r="S3" s="218" t="s">
        <v>250</v>
      </c>
      <c r="T3" s="218"/>
      <c r="U3" s="81"/>
      <c r="V3" s="83" t="s">
        <v>225</v>
      </c>
      <c r="W3" s="83"/>
    </row>
    <row r="4" spans="1:32" ht="12.75" customHeight="1" x14ac:dyDescent="0.2">
      <c r="A4" s="45"/>
      <c r="B4" s="45"/>
      <c r="C4" s="43"/>
      <c r="D4" s="43"/>
      <c r="E4" s="143"/>
      <c r="I4" s="133"/>
      <c r="J4" s="134"/>
      <c r="K4" s="26"/>
      <c r="L4" s="27"/>
      <c r="M4" s="133"/>
      <c r="S4" s="218" t="s">
        <v>252</v>
      </c>
      <c r="T4" s="218"/>
      <c r="U4" s="81"/>
      <c r="V4" s="83"/>
      <c r="W4" s="83"/>
      <c r="Z4" s="227"/>
      <c r="AA4" s="227"/>
    </row>
    <row r="5" spans="1:32" ht="9.75" customHeight="1" x14ac:dyDescent="0.2">
      <c r="A5" s="43"/>
      <c r="B5" s="43"/>
      <c r="C5" s="43"/>
      <c r="D5" s="43"/>
      <c r="Z5" s="227"/>
      <c r="AA5" s="227"/>
    </row>
    <row r="6" spans="1:32" ht="18.75" customHeight="1" x14ac:dyDescent="0.25">
      <c r="G6" s="219" t="s">
        <v>192</v>
      </c>
      <c r="H6" s="219"/>
      <c r="I6" s="219"/>
      <c r="J6" s="41">
        <v>0.5</v>
      </c>
      <c r="K6" s="222" t="s">
        <v>198</v>
      </c>
      <c r="L6" s="223"/>
      <c r="M6" s="223"/>
      <c r="N6" s="40">
        <v>0.5</v>
      </c>
      <c r="O6" s="224" t="s">
        <v>491</v>
      </c>
      <c r="P6" s="225"/>
      <c r="Q6" s="225"/>
      <c r="R6" s="226"/>
      <c r="S6" s="220" t="s">
        <v>201</v>
      </c>
      <c r="T6" s="221"/>
      <c r="U6" s="219" t="s">
        <v>253</v>
      </c>
      <c r="V6" s="219"/>
      <c r="W6" s="219"/>
      <c r="X6" s="85">
        <f>SUM(X8:X68)</f>
        <v>0</v>
      </c>
      <c r="Y6" s="85">
        <f>SUM(Y8:Y68)</f>
        <v>238.33333333333334</v>
      </c>
      <c r="Z6" s="85">
        <f>SUM(Z8:Z68)</f>
        <v>238.33333333333334</v>
      </c>
      <c r="AA6" s="227"/>
      <c r="AB6" s="143"/>
    </row>
    <row r="7" spans="1:32" ht="35.25" customHeight="1" x14ac:dyDescent="0.2">
      <c r="A7" s="37" t="s">
        <v>0</v>
      </c>
      <c r="B7" s="37" t="s">
        <v>194</v>
      </c>
      <c r="C7" s="132" t="s">
        <v>1</v>
      </c>
      <c r="D7" s="37" t="s">
        <v>2</v>
      </c>
      <c r="E7" s="37" t="s">
        <v>189</v>
      </c>
      <c r="F7" s="132" t="s">
        <v>306</v>
      </c>
      <c r="G7" s="141" t="s">
        <v>115</v>
      </c>
      <c r="H7" s="141" t="s">
        <v>191</v>
      </c>
      <c r="I7" s="141" t="s">
        <v>204</v>
      </c>
      <c r="J7" s="141" t="s">
        <v>207</v>
      </c>
      <c r="K7" s="38" t="s">
        <v>197</v>
      </c>
      <c r="L7" s="39" t="s">
        <v>196</v>
      </c>
      <c r="M7" s="39" t="s">
        <v>204</v>
      </c>
      <c r="N7" s="39" t="s">
        <v>208</v>
      </c>
      <c r="O7" s="138" t="s">
        <v>493</v>
      </c>
      <c r="P7" s="139" t="s">
        <v>492</v>
      </c>
      <c r="Q7" s="139" t="s">
        <v>491</v>
      </c>
      <c r="R7" s="140" t="s">
        <v>116</v>
      </c>
      <c r="S7" s="142" t="s">
        <v>205</v>
      </c>
      <c r="T7" s="142" t="s">
        <v>116</v>
      </c>
      <c r="U7" s="141" t="s">
        <v>115</v>
      </c>
      <c r="V7" s="141" t="s">
        <v>191</v>
      </c>
      <c r="W7" s="141" t="s">
        <v>204</v>
      </c>
      <c r="X7" s="34" t="s">
        <v>186</v>
      </c>
      <c r="Y7" s="35" t="s">
        <v>187</v>
      </c>
      <c r="Z7" s="35" t="s">
        <v>247</v>
      </c>
      <c r="AA7" s="227"/>
    </row>
    <row r="8" spans="1:32" x14ac:dyDescent="0.2">
      <c r="A8" s="48" t="str">
        <f>VLOOKUP(C8,'PRODUCTIVIDAD UAC'!$H$21:$I$78,2,0)</f>
        <v>G3</v>
      </c>
      <c r="B8" s="48" t="str">
        <f>VLOOKUP(A8,'PRODUCTIVIDAD UAC'!$B$3:$C$17,2,0)</f>
        <v>PEREZ DIAZ ROSA MARIA</v>
      </c>
      <c r="C8" s="178">
        <v>7001746</v>
      </c>
      <c r="D8" s="50" t="str">
        <f>VLOOKUP(C8,Homologacion!$E$1:$F$130,2,0)</f>
        <v>VALIENTE NEIRA LUZMILA TERESA</v>
      </c>
      <c r="E8" s="31" t="str">
        <f>VLOOKUP(C8,Homologacion!$E$1:$G$130,3,0)</f>
        <v>Especialista UAC</v>
      </c>
      <c r="F8" s="173">
        <v>28</v>
      </c>
      <c r="G8" s="168">
        <f>VLOOKUP($C8,'PRODUCTIVIDAD UAC'!$K:$O,4,0)</f>
        <v>98</v>
      </c>
      <c r="H8" s="51">
        <f>VLOOKUP($C8,'PRODUCTIVIDAD UAC'!$K:$O,5,0)</f>
        <v>121</v>
      </c>
      <c r="I8" s="52">
        <f>IFERROR((H8/G8),0)</f>
        <v>1.2346938775510203</v>
      </c>
      <c r="J8" s="61">
        <f>+I8*$J$6</f>
        <v>0.61734693877551017</v>
      </c>
      <c r="K8" s="53">
        <f>IFERROR(VLOOKUP($C8,'SLA UAC'!$G:$I,3,0),0)</f>
        <v>0</v>
      </c>
      <c r="L8" s="51">
        <f>IFERROR(VLOOKUP($C8,'SLA UAC'!$G:$I,2,0),0)</f>
        <v>0</v>
      </c>
      <c r="M8" s="52">
        <f>IFERROR((L8/K8),0)</f>
        <v>0</v>
      </c>
      <c r="N8" s="54">
        <f>+M8*$N$6</f>
        <v>0</v>
      </c>
      <c r="O8" s="137">
        <f>SUM(J8,N8)</f>
        <v>0.61734693877551017</v>
      </c>
      <c r="P8" s="135">
        <f>SUMIF(K8,"&lt;&gt;0",$N$6)+SUMIF(G8,"&lt;&gt;0",$J$6)</f>
        <v>0.5</v>
      </c>
      <c r="Q8" s="136">
        <f>ROUND(O8/P8,2)</f>
        <v>1.23</v>
      </c>
      <c r="R8" s="78">
        <f>VLOOKUP(Q8,TABLA!$A$5:$D$16,4,1)</f>
        <v>1.2</v>
      </c>
      <c r="S8" s="55">
        <f>IFERROR(VLOOKUP(C8,CALIDAD!$AK$3:$AM$37,3,0),100%)</f>
        <v>1</v>
      </c>
      <c r="T8" s="79">
        <f>VLOOKUP(S8,TABLA!$A$20:$D$29,4,1)</f>
        <v>1.1000000000000001</v>
      </c>
      <c r="U8" s="168">
        <f>VLOOKUP(A8,EQUIPO!$B$6:$E$19,2,0)</f>
        <v>1256.8888888888889</v>
      </c>
      <c r="V8" s="168">
        <f>VLOOKUP(A8,EQUIPO!$B$6:$E$19,3,0)</f>
        <v>964</v>
      </c>
      <c r="W8" s="172">
        <f>ROUND(V8/U8,2)</f>
        <v>0.77</v>
      </c>
      <c r="X8" s="84">
        <f>IFERROR(IF(OR(M8&gt;=60%,K8=0),(R8*T8)*VLOOKUP(E8,$S$2:$U$4,3,0),0),0)/30*F8</f>
        <v>0</v>
      </c>
      <c r="Y8" s="58">
        <f>IF(AND(I8&gt;=1,E8="Especialista UAC"),VLOOKUP(W8,TABLA!$A$32:$D$36,4,1),0)/30*F8</f>
        <v>0</v>
      </c>
      <c r="Z8" s="59">
        <f>SUM(X8:Y8)</f>
        <v>0</v>
      </c>
      <c r="AA8" s="198"/>
      <c r="AB8" s="198"/>
      <c r="AC8" s="214"/>
      <c r="AD8" s="32"/>
      <c r="AE8" s="154"/>
      <c r="AF8" s="154"/>
    </row>
    <row r="9" spans="1:32" x14ac:dyDescent="0.2">
      <c r="A9" s="48" t="str">
        <f>VLOOKUP(C9,'PRODUCTIVIDAD UAC'!$H$21:$I$78,2,0)</f>
        <v>G9</v>
      </c>
      <c r="B9" s="48" t="str">
        <f>VLOOKUP(A9,'PRODUCTIVIDAD UAC'!$B$3:$C$17,2,0)</f>
        <v>ROBALINO CALLA HILDA MARISOL</v>
      </c>
      <c r="C9" s="178">
        <v>7002736</v>
      </c>
      <c r="D9" s="50" t="str">
        <f>VLOOKUP(C9,Homologacion!$E$1:$F$130,2,0)</f>
        <v>SANCHEZ CAMPOS DIANA KARINA</v>
      </c>
      <c r="E9" s="31" t="str">
        <f>VLOOKUP(C9,Homologacion!$E$1:$G$130,3,0)</f>
        <v>Especialista UAC</v>
      </c>
      <c r="F9" s="173">
        <v>25</v>
      </c>
      <c r="G9" s="168">
        <f>VLOOKUP($C9,'PRODUCTIVIDAD UAC'!$K:$O,4,0)</f>
        <v>150</v>
      </c>
      <c r="H9" s="51">
        <f>VLOOKUP($C9,'PRODUCTIVIDAD UAC'!$K:$O,5,0)</f>
        <v>127</v>
      </c>
      <c r="I9" s="52">
        <f t="shared" ref="I9:I66" si="0">IFERROR((H9/G9),0)</f>
        <v>0.84666666666666668</v>
      </c>
      <c r="J9" s="61">
        <f t="shared" ref="J9:J66" si="1">+I9*$J$6</f>
        <v>0.42333333333333334</v>
      </c>
      <c r="K9" s="53">
        <f>IFERROR(VLOOKUP($C9,'SLA UAC'!$G:$I,3,0),0)</f>
        <v>111</v>
      </c>
      <c r="L9" s="51">
        <f>IFERROR(VLOOKUP($C9,'SLA UAC'!$G:$I,2,0),0)</f>
        <v>101</v>
      </c>
      <c r="M9" s="52">
        <f t="shared" ref="M9:M66" si="2">IFERROR((L9/K9),0)</f>
        <v>0.90990990990990994</v>
      </c>
      <c r="N9" s="54">
        <f t="shared" ref="N9:N66" si="3">+M9*$N$6</f>
        <v>0.45495495495495497</v>
      </c>
      <c r="O9" s="137">
        <f t="shared" ref="O9:O63" si="4">SUM(J9,N9)</f>
        <v>0.87828828828828831</v>
      </c>
      <c r="P9" s="135">
        <f t="shared" ref="P9:P63" si="5">SUMIF(K9,"&lt;&gt;0",$N$6)+SUMIF(G9,"&lt;&gt;0",$J$6)</f>
        <v>1</v>
      </c>
      <c r="Q9" s="136">
        <f t="shared" ref="Q9:Q66" si="6">ROUND(O9/P9,2)</f>
        <v>0.88</v>
      </c>
      <c r="R9" s="78">
        <f>VLOOKUP(Q9,TABLA!$A$5:$D$16,4,1)</f>
        <v>0.8</v>
      </c>
      <c r="S9" s="55">
        <f>IFERROR(VLOOKUP(C9,CALIDAD!$AK$3:$AM$37,3,0),100%)</f>
        <v>1.0000000000000002</v>
      </c>
      <c r="T9" s="79">
        <f>VLOOKUP(S9,TABLA!$A$20:$D$29,4,1)</f>
        <v>1.1000000000000001</v>
      </c>
      <c r="U9" s="168">
        <f>VLOOKUP(A9,EQUIPO!$B$6:$E$19,2,0)</f>
        <v>2027.7777777777785</v>
      </c>
      <c r="V9" s="168">
        <f>VLOOKUP(A9,EQUIPO!$B$6:$E$19,3,0)</f>
        <v>2134</v>
      </c>
      <c r="W9" s="172">
        <f t="shared" ref="W9:W66" si="7">ROUND(V9/U9,2)</f>
        <v>1.05</v>
      </c>
      <c r="X9" s="84">
        <f t="shared" ref="X9:X63" si="8">IFERROR(IF(OR(M9&gt;=60%,K9=0),(R9*T9)*VLOOKUP(E9,$S$2:$U$4,3,0),0),0)/30*F9</f>
        <v>0</v>
      </c>
      <c r="Y9" s="58">
        <f>IF(AND(I9&gt;=1,E9="Especialista UAC"),VLOOKUP(W9,TABLA!$A$32:$D$36,4,1),0)/30*F9</f>
        <v>0</v>
      </c>
      <c r="Z9" s="59">
        <f t="shared" ref="Z9:Z63" si="9">SUM(X9:Y9)</f>
        <v>0</v>
      </c>
      <c r="AA9" s="198"/>
      <c r="AB9" s="198"/>
      <c r="AC9" s="214"/>
      <c r="AD9" s="32"/>
      <c r="AE9" s="154"/>
      <c r="AF9" s="154"/>
    </row>
    <row r="10" spans="1:32" x14ac:dyDescent="0.2">
      <c r="A10" s="48" t="str">
        <f>VLOOKUP(C10,'PRODUCTIVIDAD UAC'!$H$21:$I$78,2,0)</f>
        <v>G8</v>
      </c>
      <c r="B10" s="48" t="str">
        <f>VLOOKUP(A10,'PRODUCTIVIDAD UAC'!$B$3:$C$17,2,0)</f>
        <v>PONCE ENCISO PABLO FERNANDO</v>
      </c>
      <c r="C10" s="178">
        <v>7003932</v>
      </c>
      <c r="D10" s="50" t="str">
        <f>VLOOKUP(C10,Homologacion!$E$1:$F$130,2,0)</f>
        <v>HUAMAN ALVAREZ NANCY YISSEL</v>
      </c>
      <c r="E10" s="31" t="str">
        <f>VLOOKUP(C10,Homologacion!$E$1:$G$130,3,0)</f>
        <v>Especialista UAC</v>
      </c>
      <c r="F10" s="173">
        <v>17</v>
      </c>
      <c r="G10" s="168">
        <f>VLOOKUP($C10,'PRODUCTIVIDAD UAC'!$K:$O,4,0)</f>
        <v>96</v>
      </c>
      <c r="H10" s="51">
        <f>VLOOKUP($C10,'PRODUCTIVIDAD UAC'!$K:$O,5,0)</f>
        <v>69</v>
      </c>
      <c r="I10" s="52">
        <f t="shared" si="0"/>
        <v>0.71875</v>
      </c>
      <c r="J10" s="61">
        <f t="shared" si="1"/>
        <v>0.359375</v>
      </c>
      <c r="K10" s="53">
        <f>IFERROR(VLOOKUP($C10,'SLA UAC'!$G:$I,3,0),0)</f>
        <v>0</v>
      </c>
      <c r="L10" s="51">
        <f>IFERROR(VLOOKUP($C10,'SLA UAC'!$G:$I,2,0),0)</f>
        <v>0</v>
      </c>
      <c r="M10" s="52">
        <f t="shared" si="2"/>
        <v>0</v>
      </c>
      <c r="N10" s="54">
        <f t="shared" si="3"/>
        <v>0</v>
      </c>
      <c r="O10" s="137">
        <f t="shared" si="4"/>
        <v>0.359375</v>
      </c>
      <c r="P10" s="135">
        <f t="shared" si="5"/>
        <v>0.5</v>
      </c>
      <c r="Q10" s="136">
        <f t="shared" si="6"/>
        <v>0.72</v>
      </c>
      <c r="R10" s="78">
        <f>VLOOKUP(Q10,TABLA!$A$5:$D$16,4,1)</f>
        <v>0.6</v>
      </c>
      <c r="S10" s="55">
        <f>IFERROR(VLOOKUP(C10,CALIDAD!$AK$3:$AM$37,3,0),100%)</f>
        <v>1.0000000000000002</v>
      </c>
      <c r="T10" s="79">
        <f>VLOOKUP(S10,TABLA!$A$20:$D$29,4,1)</f>
        <v>1.1000000000000001</v>
      </c>
      <c r="U10" s="168">
        <f>VLOOKUP(A10,EQUIPO!$B$6:$E$19,2,0)</f>
        <v>880</v>
      </c>
      <c r="V10" s="168">
        <f>VLOOKUP(A10,EQUIPO!$B$6:$E$19,3,0)</f>
        <v>807</v>
      </c>
      <c r="W10" s="172">
        <f t="shared" si="7"/>
        <v>0.92</v>
      </c>
      <c r="X10" s="84">
        <f t="shared" si="8"/>
        <v>0</v>
      </c>
      <c r="Y10" s="58">
        <f>IF(AND(I10&gt;=1,E10="Especialista UAC"),VLOOKUP(W10,TABLA!$A$32:$D$36,4,1),0)/30*F10</f>
        <v>0</v>
      </c>
      <c r="Z10" s="59">
        <f t="shared" si="9"/>
        <v>0</v>
      </c>
      <c r="AA10" s="198"/>
      <c r="AB10" s="198"/>
      <c r="AC10" s="214"/>
      <c r="AD10" s="32"/>
      <c r="AE10" s="154"/>
      <c r="AF10" s="154"/>
    </row>
    <row r="11" spans="1:32" x14ac:dyDescent="0.2">
      <c r="A11" s="48" t="str">
        <f>VLOOKUP(C11,'PRODUCTIVIDAD UAC'!$H$21:$I$78,2,0)</f>
        <v>G3</v>
      </c>
      <c r="B11" s="48" t="str">
        <f>VLOOKUP(A11,'PRODUCTIVIDAD UAC'!$B$3:$C$17,2,0)</f>
        <v>PEREZ DIAZ ROSA MARIA</v>
      </c>
      <c r="C11" s="178">
        <v>7007842</v>
      </c>
      <c r="D11" s="50" t="str">
        <f>VLOOKUP(C11,Homologacion!$E$1:$F$130,2,0)</f>
        <v>BERROSPI VELASQUEZ KETTY BETSABE</v>
      </c>
      <c r="E11" s="31" t="str">
        <f>VLOOKUP(C11,Homologacion!$E$1:$G$130,3,0)</f>
        <v>Especialista UAC</v>
      </c>
      <c r="F11" s="173">
        <v>30</v>
      </c>
      <c r="G11" s="168">
        <f>VLOOKUP($C11,'PRODUCTIVIDAD UAC'!$K:$O,4,0)</f>
        <v>140</v>
      </c>
      <c r="H11" s="51">
        <f>VLOOKUP($C11,'PRODUCTIVIDAD UAC'!$K:$O,5,0)</f>
        <v>123</v>
      </c>
      <c r="I11" s="52">
        <f t="shared" si="0"/>
        <v>0.87857142857142856</v>
      </c>
      <c r="J11" s="61">
        <f t="shared" si="1"/>
        <v>0.43928571428571428</v>
      </c>
      <c r="K11" s="53">
        <f>IFERROR(VLOOKUP($C11,'SLA UAC'!$G:$I,3,0),0)</f>
        <v>121</v>
      </c>
      <c r="L11" s="51">
        <f>IFERROR(VLOOKUP($C11,'SLA UAC'!$G:$I,2,0),0)</f>
        <v>79</v>
      </c>
      <c r="M11" s="52">
        <f t="shared" si="2"/>
        <v>0.65289256198347112</v>
      </c>
      <c r="N11" s="54">
        <f t="shared" si="3"/>
        <v>0.32644628099173556</v>
      </c>
      <c r="O11" s="137">
        <f t="shared" si="4"/>
        <v>0.76573199527744984</v>
      </c>
      <c r="P11" s="135">
        <f t="shared" si="5"/>
        <v>1</v>
      </c>
      <c r="Q11" s="136">
        <f t="shared" si="6"/>
        <v>0.77</v>
      </c>
      <c r="R11" s="78">
        <f>VLOOKUP(Q11,TABLA!$A$5:$D$16,4,1)</f>
        <v>0.6</v>
      </c>
      <c r="S11" s="55">
        <f>IFERROR(VLOOKUP(C11,CALIDAD!$AK$3:$AM$37,3,0),100%)</f>
        <v>0.8600000000000001</v>
      </c>
      <c r="T11" s="79">
        <f>VLOOKUP(S11,TABLA!$A$20:$D$29,4,1)</f>
        <v>0.8</v>
      </c>
      <c r="U11" s="168">
        <f>VLOOKUP(A11,EQUIPO!$B$6:$E$19,2,0)</f>
        <v>1256.8888888888889</v>
      </c>
      <c r="V11" s="168">
        <f>VLOOKUP(A11,EQUIPO!$B$6:$E$19,3,0)</f>
        <v>964</v>
      </c>
      <c r="W11" s="172">
        <f t="shared" si="7"/>
        <v>0.77</v>
      </c>
      <c r="X11" s="84">
        <f t="shared" si="8"/>
        <v>0</v>
      </c>
      <c r="Y11" s="58">
        <f>IF(AND(I11&gt;=1,E11="Especialista UAC"),VLOOKUP(W11,TABLA!$A$32:$D$36,4,1),0)/30*F11</f>
        <v>0</v>
      </c>
      <c r="Z11" s="59">
        <f t="shared" si="9"/>
        <v>0</v>
      </c>
      <c r="AA11" s="198"/>
      <c r="AB11" s="198"/>
      <c r="AC11" s="214"/>
      <c r="AD11" s="32"/>
      <c r="AE11" s="154"/>
      <c r="AF11" s="154"/>
    </row>
    <row r="12" spans="1:32" x14ac:dyDescent="0.2">
      <c r="A12" s="48" t="str">
        <f>VLOOKUP(C12,'PRODUCTIVIDAD UAC'!$H$21:$I$78,2,0)</f>
        <v>G7</v>
      </c>
      <c r="B12" s="48" t="str">
        <f>VLOOKUP(A12,'PRODUCTIVIDAD UAC'!$B$3:$C$17,2,0)</f>
        <v>PEREZ DIAZ ROSA MARIA</v>
      </c>
      <c r="C12" s="178">
        <v>7010952</v>
      </c>
      <c r="D12" s="50" t="str">
        <f>VLOOKUP(C12,Homologacion!$E$1:$F$130,2,0)</f>
        <v>PEREZ PALMA GARRETA JULIA PATRICIA</v>
      </c>
      <c r="E12" s="31" t="str">
        <f>VLOOKUP(C12,Homologacion!$E$1:$G$130,3,0)</f>
        <v>Especialista UAC</v>
      </c>
      <c r="F12" s="173">
        <v>30</v>
      </c>
      <c r="G12" s="168">
        <f>VLOOKUP($C12,'PRODUCTIVIDAD UAC'!$K:$O,4,0)</f>
        <v>160</v>
      </c>
      <c r="H12" s="51">
        <f>VLOOKUP($C12,'PRODUCTIVIDAD UAC'!$K:$O,5,0)</f>
        <v>197</v>
      </c>
      <c r="I12" s="52">
        <f t="shared" si="0"/>
        <v>1.23125</v>
      </c>
      <c r="J12" s="61">
        <f t="shared" si="1"/>
        <v>0.61562499999999998</v>
      </c>
      <c r="K12" s="53">
        <f>IFERROR(VLOOKUP($C12,'SLA UAC'!$G:$I,3,0),0)</f>
        <v>0</v>
      </c>
      <c r="L12" s="51">
        <f>IFERROR(VLOOKUP($C12,'SLA UAC'!$G:$I,2,0),0)</f>
        <v>0</v>
      </c>
      <c r="M12" s="52">
        <f t="shared" si="2"/>
        <v>0</v>
      </c>
      <c r="N12" s="54">
        <f t="shared" si="3"/>
        <v>0</v>
      </c>
      <c r="O12" s="137">
        <f t="shared" si="4"/>
        <v>0.61562499999999998</v>
      </c>
      <c r="P12" s="135">
        <f t="shared" si="5"/>
        <v>0.5</v>
      </c>
      <c r="Q12" s="136">
        <f t="shared" si="6"/>
        <v>1.23</v>
      </c>
      <c r="R12" s="78">
        <f>VLOOKUP(Q12,TABLA!$A$5:$D$16,4,1)</f>
        <v>1.2</v>
      </c>
      <c r="S12" s="55">
        <f>IFERROR(VLOOKUP(C12,CALIDAD!$AK$3:$AM$37,3,0),100%)</f>
        <v>1</v>
      </c>
      <c r="T12" s="79">
        <f>VLOOKUP(S12,TABLA!$A$20:$D$29,4,1)</f>
        <v>1.1000000000000001</v>
      </c>
      <c r="U12" s="168">
        <f>VLOOKUP(A12,EQUIPO!$B$6:$E$19,2,0)</f>
        <v>621.5</v>
      </c>
      <c r="V12" s="168">
        <f>VLOOKUP(A12,EQUIPO!$B$6:$E$19,3,0)</f>
        <v>649</v>
      </c>
      <c r="W12" s="172">
        <f t="shared" si="7"/>
        <v>1.04</v>
      </c>
      <c r="X12" s="84">
        <f t="shared" si="8"/>
        <v>0</v>
      </c>
      <c r="Y12" s="58">
        <f>IF(AND(I12&gt;=1,E12="Especialista UAC"),VLOOKUP(W12,TABLA!$A$32:$D$36,4,1),0)/30*F12</f>
        <v>50</v>
      </c>
      <c r="Z12" s="59">
        <f t="shared" si="9"/>
        <v>50</v>
      </c>
      <c r="AA12" s="198"/>
      <c r="AB12" s="198"/>
      <c r="AC12" s="214"/>
      <c r="AD12" s="32"/>
      <c r="AE12" s="154"/>
      <c r="AF12" s="154"/>
    </row>
    <row r="13" spans="1:32" x14ac:dyDescent="0.2">
      <c r="A13" s="48" t="str">
        <f>VLOOKUP(C13,'PRODUCTIVIDAD UAC'!$H$21:$I$78,2,0)</f>
        <v>Impugnaciones</v>
      </c>
      <c r="B13" s="48" t="str">
        <f>VLOOKUP(A13,'PRODUCTIVIDAD UAC'!$B$3:$C$17,2,0)</f>
        <v>GALARZA GALARRETA MARIA TERESA</v>
      </c>
      <c r="C13" s="178">
        <v>7014400</v>
      </c>
      <c r="D13" s="50" t="str">
        <f>VLOOKUP(C13,Homologacion!$E$1:$F$130,2,0)</f>
        <v>LOPEZ NIÑO DE GUZMAN REYNA FANNY</v>
      </c>
      <c r="E13" s="31" t="str">
        <f>VLOOKUP(C13,Homologacion!$E$1:$G$130,3,0)</f>
        <v>Especialista UAC</v>
      </c>
      <c r="F13" s="173">
        <v>19</v>
      </c>
      <c r="G13" s="168">
        <f>VLOOKUP($C13,'PRODUCTIVIDAD UAC'!$K:$O,4,0)</f>
        <v>120</v>
      </c>
      <c r="H13" s="51">
        <f>VLOOKUP($C13,'PRODUCTIVIDAD UAC'!$K:$O,5,0)</f>
        <v>94</v>
      </c>
      <c r="I13" s="52">
        <f t="shared" si="0"/>
        <v>0.78333333333333333</v>
      </c>
      <c r="J13" s="61">
        <f t="shared" si="1"/>
        <v>0.39166666666666666</v>
      </c>
      <c r="K13" s="53">
        <f>IFERROR(VLOOKUP($C13,'SLA UAC'!$G:$I,3,0),0)</f>
        <v>90</v>
      </c>
      <c r="L13" s="51">
        <f>IFERROR(VLOOKUP($C13,'SLA UAC'!$G:$I,2,0),0)</f>
        <v>89</v>
      </c>
      <c r="M13" s="52">
        <f t="shared" si="2"/>
        <v>0.98888888888888893</v>
      </c>
      <c r="N13" s="54">
        <f t="shared" si="3"/>
        <v>0.49444444444444446</v>
      </c>
      <c r="O13" s="137">
        <f t="shared" si="4"/>
        <v>0.88611111111111107</v>
      </c>
      <c r="P13" s="135">
        <f t="shared" si="5"/>
        <v>1</v>
      </c>
      <c r="Q13" s="136">
        <f t="shared" si="6"/>
        <v>0.89</v>
      </c>
      <c r="R13" s="78">
        <f>VLOOKUP(Q13,TABLA!$A$5:$D$16,4,1)</f>
        <v>0.8</v>
      </c>
      <c r="S13" s="55">
        <f>IFERROR(VLOOKUP(C13,CALIDAD!$AK$3:$AM$37,3,0),100%)</f>
        <v>1</v>
      </c>
      <c r="T13" s="79">
        <f>VLOOKUP(S13,TABLA!$A$20:$D$29,4,1)</f>
        <v>1.1000000000000001</v>
      </c>
      <c r="U13" s="168">
        <f>VLOOKUP(A13,EQUIPO!$B$6:$E$19,2,0)</f>
        <v>568</v>
      </c>
      <c r="V13" s="168">
        <f>VLOOKUP(A13,EQUIPO!$B$6:$E$19,3,0)</f>
        <v>431</v>
      </c>
      <c r="W13" s="172">
        <f t="shared" si="7"/>
        <v>0.76</v>
      </c>
      <c r="X13" s="84">
        <f t="shared" si="8"/>
        <v>0</v>
      </c>
      <c r="Y13" s="58">
        <f>IF(AND(I13&gt;=1,E13="Especialista UAC"),VLOOKUP(W13,TABLA!$A$32:$D$36,4,1),0)/30*F13</f>
        <v>0</v>
      </c>
      <c r="Z13" s="59">
        <f t="shared" si="9"/>
        <v>0</v>
      </c>
      <c r="AA13" s="198"/>
      <c r="AB13" s="198"/>
      <c r="AC13" s="214"/>
      <c r="AD13" s="32"/>
      <c r="AE13" s="154"/>
      <c r="AF13" s="154"/>
    </row>
    <row r="14" spans="1:32" x14ac:dyDescent="0.2">
      <c r="A14" s="48" t="str">
        <f>VLOOKUP(C14,'PRODUCTIVIDAD UAC'!$H$21:$I$78,2,0)</f>
        <v>G4</v>
      </c>
      <c r="B14" s="48" t="str">
        <f>VLOOKUP(A14,'PRODUCTIVIDAD UAC'!$B$3:$C$17,2,0)</f>
        <v>GALARZA GALARRETA MARIA TERESA</v>
      </c>
      <c r="C14" s="178">
        <v>7017148</v>
      </c>
      <c r="D14" s="50" t="str">
        <f>VLOOKUP(C14,Homologacion!$E$1:$F$130,2,0)</f>
        <v>SANCHEZ GUEVARA JULIO CESAR</v>
      </c>
      <c r="E14" s="31" t="str">
        <f>VLOOKUP(C14,Homologacion!$E$1:$G$130,3,0)</f>
        <v>Especialista UAC</v>
      </c>
      <c r="F14" s="173">
        <v>30</v>
      </c>
      <c r="G14" s="168">
        <f>VLOOKUP($C14,'PRODUCTIVIDAD UAC'!$K:$O,4,0)</f>
        <v>220</v>
      </c>
      <c r="H14" s="51">
        <f>VLOOKUP($C14,'PRODUCTIVIDAD UAC'!$K:$O,5,0)</f>
        <v>218</v>
      </c>
      <c r="I14" s="52">
        <f t="shared" si="0"/>
        <v>0.99090909090909096</v>
      </c>
      <c r="J14" s="61">
        <f t="shared" si="1"/>
        <v>0.49545454545454548</v>
      </c>
      <c r="K14" s="53">
        <f>IFERROR(VLOOKUP($C14,'SLA UAC'!$G:$I,3,0),0)</f>
        <v>209</v>
      </c>
      <c r="L14" s="51">
        <f>IFERROR(VLOOKUP($C14,'SLA UAC'!$G:$I,2,0),0)</f>
        <v>196</v>
      </c>
      <c r="M14" s="52">
        <f t="shared" si="2"/>
        <v>0.93779904306220097</v>
      </c>
      <c r="N14" s="54">
        <f t="shared" si="3"/>
        <v>0.46889952153110048</v>
      </c>
      <c r="O14" s="137">
        <f t="shared" si="4"/>
        <v>0.96435406698564596</v>
      </c>
      <c r="P14" s="135">
        <f t="shared" si="5"/>
        <v>1</v>
      </c>
      <c r="Q14" s="136">
        <f t="shared" si="6"/>
        <v>0.96</v>
      </c>
      <c r="R14" s="78">
        <f>VLOOKUP(Q14,TABLA!$A$5:$D$16,4,1)</f>
        <v>0.95</v>
      </c>
      <c r="S14" s="55">
        <f>IFERROR(VLOOKUP(C14,CALIDAD!$AK$3:$AM$37,3,0),100%)</f>
        <v>1</v>
      </c>
      <c r="T14" s="79">
        <f>VLOOKUP(S14,TABLA!$A$20:$D$29,4,1)</f>
        <v>1.1000000000000001</v>
      </c>
      <c r="U14" s="168">
        <f>VLOOKUP(A14,EQUIPO!$B$6:$E$19,2,0)</f>
        <v>386.22222222222274</v>
      </c>
      <c r="V14" s="168">
        <f>VLOOKUP(A14,EQUIPO!$B$6:$E$19,3,0)</f>
        <v>375</v>
      </c>
      <c r="W14" s="172">
        <f t="shared" si="7"/>
        <v>0.97</v>
      </c>
      <c r="X14" s="84">
        <f t="shared" si="8"/>
        <v>0</v>
      </c>
      <c r="Y14" s="58">
        <f>IF(AND(I14&gt;=1,E14="Especialista UAC"),VLOOKUP(W14,TABLA!$A$32:$D$36,4,1),0)/30*F14</f>
        <v>0</v>
      </c>
      <c r="Z14" s="59">
        <f t="shared" si="9"/>
        <v>0</v>
      </c>
      <c r="AA14" s="198"/>
      <c r="AB14" s="198"/>
      <c r="AC14" s="214"/>
      <c r="AD14" s="32"/>
      <c r="AE14" s="154"/>
      <c r="AF14" s="154"/>
    </row>
    <row r="15" spans="1:32" x14ac:dyDescent="0.2">
      <c r="A15" s="48" t="str">
        <f>VLOOKUP(C15,'PRODUCTIVIDAD UAC'!$H$21:$I$78,2,0)</f>
        <v>G8</v>
      </c>
      <c r="B15" s="48" t="str">
        <f>VLOOKUP(A15,'PRODUCTIVIDAD UAC'!$B$3:$C$17,2,0)</f>
        <v>PONCE ENCISO PABLO FERNANDO</v>
      </c>
      <c r="C15" s="178">
        <v>7017353</v>
      </c>
      <c r="D15" s="50" t="str">
        <f>VLOOKUP(C15,Homologacion!$E$1:$F$130,2,0)</f>
        <v>OBLITAS DIAZ LUZ MERY</v>
      </c>
      <c r="E15" s="31" t="str">
        <f>VLOOKUP(C15,Homologacion!$E$1:$G$130,3,0)</f>
        <v>Apoyo UAC</v>
      </c>
      <c r="F15" s="173">
        <v>29</v>
      </c>
      <c r="G15" s="168">
        <f>VLOOKUP($C15,'PRODUCTIVIDAD UAC'!$K:$O,4,0)</f>
        <v>152</v>
      </c>
      <c r="H15" s="51">
        <f>VLOOKUP($C15,'PRODUCTIVIDAD UAC'!$K:$O,5,0)</f>
        <v>127</v>
      </c>
      <c r="I15" s="52">
        <f t="shared" si="0"/>
        <v>0.83552631578947367</v>
      </c>
      <c r="J15" s="61">
        <f t="shared" si="1"/>
        <v>0.41776315789473684</v>
      </c>
      <c r="K15" s="53">
        <f>IFERROR(VLOOKUP($C15,'SLA UAC'!$G:$I,3,0),0)</f>
        <v>115</v>
      </c>
      <c r="L15" s="51">
        <f>IFERROR(VLOOKUP($C15,'SLA UAC'!$G:$I,2,0),0)</f>
        <v>75</v>
      </c>
      <c r="M15" s="52">
        <f t="shared" si="2"/>
        <v>0.65217391304347827</v>
      </c>
      <c r="N15" s="54">
        <f t="shared" si="3"/>
        <v>0.32608695652173914</v>
      </c>
      <c r="O15" s="137">
        <f t="shared" si="4"/>
        <v>0.74385011441647597</v>
      </c>
      <c r="P15" s="135">
        <f t="shared" si="5"/>
        <v>1</v>
      </c>
      <c r="Q15" s="136">
        <f t="shared" si="6"/>
        <v>0.74</v>
      </c>
      <c r="R15" s="78">
        <f>VLOOKUP(Q15,TABLA!$A$5:$D$16,4,1)</f>
        <v>0.6</v>
      </c>
      <c r="S15" s="55">
        <f>IFERROR(VLOOKUP(C15,CALIDAD!$AK$3:$AM$37,3,0),100%)</f>
        <v>1</v>
      </c>
      <c r="T15" s="79">
        <f>VLOOKUP(S15,TABLA!$A$20:$D$29,4,1)</f>
        <v>1.1000000000000001</v>
      </c>
      <c r="U15" s="168">
        <f>VLOOKUP(A15,EQUIPO!$B$6:$E$19,2,0)</f>
        <v>880</v>
      </c>
      <c r="V15" s="168">
        <f>VLOOKUP(A15,EQUIPO!$B$6:$E$19,3,0)</f>
        <v>807</v>
      </c>
      <c r="W15" s="172">
        <f t="shared" si="7"/>
        <v>0.92</v>
      </c>
      <c r="X15" s="84">
        <f t="shared" si="8"/>
        <v>0</v>
      </c>
      <c r="Y15" s="58">
        <f>IF(AND(I15&gt;=1,E15="Especialista UAC"),VLOOKUP(W15,TABLA!$A$32:$D$36,4,1),0)/30*F15</f>
        <v>0</v>
      </c>
      <c r="Z15" s="59">
        <f t="shared" si="9"/>
        <v>0</v>
      </c>
      <c r="AA15" s="198"/>
      <c r="AB15" s="198"/>
      <c r="AC15" s="214"/>
      <c r="AD15" s="32"/>
      <c r="AE15" s="154"/>
      <c r="AF15" s="154"/>
    </row>
    <row r="16" spans="1:32" x14ac:dyDescent="0.2">
      <c r="A16" s="48" t="str">
        <f>VLOOKUP(C16,'PRODUCTIVIDAD UAC'!$H$21:$I$78,2,0)</f>
        <v>G9</v>
      </c>
      <c r="B16" s="48" t="str">
        <f>VLOOKUP(A16,'PRODUCTIVIDAD UAC'!$B$3:$C$17,2,0)</f>
        <v>ROBALINO CALLA HILDA MARISOL</v>
      </c>
      <c r="C16" s="178">
        <v>7019425</v>
      </c>
      <c r="D16" s="50" t="str">
        <f>VLOOKUP(C16,Homologacion!$E$1:$F$130,2,0)</f>
        <v>FLORES HERNANDEZ ABRAHAM JOSE</v>
      </c>
      <c r="E16" s="31" t="str">
        <f>VLOOKUP(C16,Homologacion!$E$1:$G$130,3,0)</f>
        <v>Especialista UAC</v>
      </c>
      <c r="F16" s="173">
        <v>30</v>
      </c>
      <c r="G16" s="168">
        <f>VLOOKUP($C16,'PRODUCTIVIDAD UAC'!$K:$O,4,0)</f>
        <v>200</v>
      </c>
      <c r="H16" s="51">
        <f>VLOOKUP($C16,'PRODUCTIVIDAD UAC'!$K:$O,5,0)</f>
        <v>186</v>
      </c>
      <c r="I16" s="52">
        <f t="shared" si="0"/>
        <v>0.93</v>
      </c>
      <c r="J16" s="61">
        <f t="shared" si="1"/>
        <v>0.46500000000000002</v>
      </c>
      <c r="K16" s="53">
        <f>IFERROR(VLOOKUP($C16,'SLA UAC'!$G:$I,3,0),0)</f>
        <v>166</v>
      </c>
      <c r="L16" s="51">
        <f>IFERROR(VLOOKUP($C16,'SLA UAC'!$G:$I,2,0),0)</f>
        <v>148</v>
      </c>
      <c r="M16" s="52">
        <f t="shared" si="2"/>
        <v>0.89156626506024095</v>
      </c>
      <c r="N16" s="54">
        <f t="shared" si="3"/>
        <v>0.44578313253012047</v>
      </c>
      <c r="O16" s="137">
        <f t="shared" si="4"/>
        <v>0.91078313253012055</v>
      </c>
      <c r="P16" s="135">
        <f t="shared" si="5"/>
        <v>1</v>
      </c>
      <c r="Q16" s="136">
        <f t="shared" si="6"/>
        <v>0.91</v>
      </c>
      <c r="R16" s="78">
        <f>VLOOKUP(Q16,TABLA!$A$5:$D$16,4,1)</f>
        <v>0.9</v>
      </c>
      <c r="S16" s="55">
        <f>IFERROR(VLOOKUP(C16,CALIDAD!$AK$3:$AM$37,3,0),100%)</f>
        <v>0.89500000000000013</v>
      </c>
      <c r="T16" s="79">
        <f>VLOOKUP(S16,TABLA!$A$20:$D$29,4,1)</f>
        <v>0.8</v>
      </c>
      <c r="U16" s="168">
        <f>VLOOKUP(A16,EQUIPO!$B$6:$E$19,2,0)</f>
        <v>2027.7777777777785</v>
      </c>
      <c r="V16" s="168">
        <f>VLOOKUP(A16,EQUIPO!$B$6:$E$19,3,0)</f>
        <v>2134</v>
      </c>
      <c r="W16" s="172">
        <f t="shared" si="7"/>
        <v>1.05</v>
      </c>
      <c r="X16" s="84">
        <f t="shared" si="8"/>
        <v>0</v>
      </c>
      <c r="Y16" s="58">
        <f>IF(AND(I16&gt;=1,E16="Especialista UAC"),VLOOKUP(W16,TABLA!$A$32:$D$36,4,1),0)/30*F16</f>
        <v>0</v>
      </c>
      <c r="Z16" s="59">
        <f t="shared" si="9"/>
        <v>0</v>
      </c>
      <c r="AA16" s="198"/>
      <c r="AB16" s="198"/>
      <c r="AC16" s="214"/>
      <c r="AD16" s="32"/>
      <c r="AE16" s="154"/>
      <c r="AF16" s="154"/>
    </row>
    <row r="17" spans="1:32" x14ac:dyDescent="0.2">
      <c r="A17" s="48" t="str">
        <f>VLOOKUP(C17,'PRODUCTIVIDAD UAC'!$H$21:$I$78,2,0)</f>
        <v>Alo Banco</v>
      </c>
      <c r="B17" s="48" t="str">
        <f>VLOOKUP(A17,'PRODUCTIVIDAD UAC'!$B$3:$C$17,2,0)</f>
        <v>GALARZA GALARRETA MARIA TERESA</v>
      </c>
      <c r="C17" s="178">
        <v>7019961</v>
      </c>
      <c r="D17" s="50" t="str">
        <f>VLOOKUP(C17,Homologacion!$E$1:$F$130,2,0)</f>
        <v>CIENFUEGOS LAITHON MARIA LUISA</v>
      </c>
      <c r="E17" s="31" t="str">
        <f>VLOOKUP(C17,Homologacion!$E$1:$G$130,3,0)</f>
        <v>Especialista UAC</v>
      </c>
      <c r="F17" s="173">
        <v>23</v>
      </c>
      <c r="G17" s="168">
        <f>VLOOKUP($C17,'PRODUCTIVIDAD UAC'!$K:$O,4,0)</f>
        <v>75</v>
      </c>
      <c r="H17" s="51">
        <f>VLOOKUP($C17,'PRODUCTIVIDAD UAC'!$K:$O,5,0)</f>
        <v>77</v>
      </c>
      <c r="I17" s="52">
        <f t="shared" si="0"/>
        <v>1.0266666666666666</v>
      </c>
      <c r="J17" s="61">
        <f t="shared" si="1"/>
        <v>0.51333333333333331</v>
      </c>
      <c r="K17" s="53">
        <f>IFERROR(VLOOKUP($C17,'SLA UAC'!$G:$I,3,0),0)</f>
        <v>70</v>
      </c>
      <c r="L17" s="51">
        <f>IFERROR(VLOOKUP($C17,'SLA UAC'!$G:$I,2,0),0)</f>
        <v>51</v>
      </c>
      <c r="M17" s="52">
        <f t="shared" si="2"/>
        <v>0.72857142857142854</v>
      </c>
      <c r="N17" s="54">
        <f t="shared" si="3"/>
        <v>0.36428571428571427</v>
      </c>
      <c r="O17" s="137">
        <f t="shared" si="4"/>
        <v>0.87761904761904752</v>
      </c>
      <c r="P17" s="135">
        <f t="shared" si="5"/>
        <v>1</v>
      </c>
      <c r="Q17" s="136">
        <f t="shared" si="6"/>
        <v>0.88</v>
      </c>
      <c r="R17" s="78">
        <f>VLOOKUP(Q17,TABLA!$A$5:$D$16,4,1)</f>
        <v>0.8</v>
      </c>
      <c r="S17" s="55">
        <f>IFERROR(VLOOKUP(C17,CALIDAD!$AK$3:$AM$37,3,0),100%)</f>
        <v>1</v>
      </c>
      <c r="T17" s="79">
        <f>VLOOKUP(S17,TABLA!$A$20:$D$29,4,1)</f>
        <v>1.1000000000000001</v>
      </c>
      <c r="U17" s="168">
        <f>VLOOKUP(A17,EQUIPO!$B$6:$E$19,2,0)</f>
        <v>75</v>
      </c>
      <c r="V17" s="168">
        <f>VLOOKUP(A17,EQUIPO!$B$6:$E$19,3,0)</f>
        <v>77</v>
      </c>
      <c r="W17" s="172">
        <f t="shared" si="7"/>
        <v>1.03</v>
      </c>
      <c r="X17" s="84">
        <f t="shared" si="8"/>
        <v>0</v>
      </c>
      <c r="Y17" s="58">
        <f>IF(AND(I17&gt;=1,E17="Especialista UAC"),VLOOKUP(W17,TABLA!$A$32:$D$36,4,1),0)/30*F17</f>
        <v>38.333333333333336</v>
      </c>
      <c r="Z17" s="59">
        <f t="shared" si="9"/>
        <v>38.333333333333336</v>
      </c>
      <c r="AA17" s="198"/>
      <c r="AB17" s="198"/>
      <c r="AC17" s="214"/>
      <c r="AD17" s="32"/>
      <c r="AE17" s="154"/>
      <c r="AF17" s="154"/>
    </row>
    <row r="18" spans="1:32" x14ac:dyDescent="0.2">
      <c r="A18" s="48" t="str">
        <f>VLOOKUP(C18,'PRODUCTIVIDAD UAC'!$H$21:$I$78,2,0)</f>
        <v>G1</v>
      </c>
      <c r="B18" s="48" t="str">
        <f>VLOOKUP(A18,'PRODUCTIVIDAD UAC'!$B$3:$C$17,2,0)</f>
        <v>PONCE ENCISO PABLO FERNANDO</v>
      </c>
      <c r="C18" s="178">
        <v>7021785</v>
      </c>
      <c r="D18" s="50" t="str">
        <f>VLOOKUP(C18,Homologacion!$E$1:$F$130,2,0)</f>
        <v>RAMOS BAUTISTA GIOVANI RAUL</v>
      </c>
      <c r="E18" s="31" t="str">
        <f>VLOOKUP(C18,Homologacion!$E$1:$G$130,3,0)</f>
        <v>Apoyo UAC</v>
      </c>
      <c r="F18" s="173">
        <v>30</v>
      </c>
      <c r="G18" s="168">
        <f>VLOOKUP($C18,'PRODUCTIVIDAD UAC'!$K:$O,4,0)</f>
        <v>500</v>
      </c>
      <c r="H18" s="51">
        <f>VLOOKUP($C18,'PRODUCTIVIDAD UAC'!$K:$O,5,0)</f>
        <v>395</v>
      </c>
      <c r="I18" s="52">
        <f t="shared" si="0"/>
        <v>0.79</v>
      </c>
      <c r="J18" s="61">
        <f t="shared" si="1"/>
        <v>0.39500000000000002</v>
      </c>
      <c r="K18" s="53">
        <f>IFERROR(VLOOKUP($C18,'SLA UAC'!$G:$I,3,0),0)</f>
        <v>388</v>
      </c>
      <c r="L18" s="51">
        <f>IFERROR(VLOOKUP($C18,'SLA UAC'!$G:$I,2,0),0)</f>
        <v>347</v>
      </c>
      <c r="M18" s="52">
        <f t="shared" si="2"/>
        <v>0.89432989690721654</v>
      </c>
      <c r="N18" s="54">
        <f t="shared" si="3"/>
        <v>0.44716494845360827</v>
      </c>
      <c r="O18" s="137">
        <f t="shared" si="4"/>
        <v>0.84216494845360823</v>
      </c>
      <c r="P18" s="135">
        <f t="shared" si="5"/>
        <v>1</v>
      </c>
      <c r="Q18" s="136">
        <f t="shared" si="6"/>
        <v>0.84</v>
      </c>
      <c r="R18" s="78">
        <f>VLOOKUP(Q18,TABLA!$A$5:$D$16,4,1)</f>
        <v>0.7</v>
      </c>
      <c r="S18" s="55">
        <f>IFERROR(VLOOKUP(C18,CALIDAD!$AK$3:$AM$37,3,0),100%)</f>
        <v>1</v>
      </c>
      <c r="T18" s="79">
        <f>VLOOKUP(S18,TABLA!$A$20:$D$29,4,1)</f>
        <v>1.1000000000000001</v>
      </c>
      <c r="U18" s="168">
        <f>VLOOKUP(A18,EQUIPO!$B$6:$E$19,2,0)</f>
        <v>2200</v>
      </c>
      <c r="V18" s="168">
        <f>VLOOKUP(A18,EQUIPO!$B$6:$E$19,3,0)</f>
        <v>1728</v>
      </c>
      <c r="W18" s="172">
        <f t="shared" si="7"/>
        <v>0.79</v>
      </c>
      <c r="X18" s="84">
        <f t="shared" si="8"/>
        <v>0</v>
      </c>
      <c r="Y18" s="58">
        <f>IF(AND(I18&gt;=1,E18="Especialista UAC"),VLOOKUP(W18,TABLA!$A$32:$D$36,4,1),0)/30*F18</f>
        <v>0</v>
      </c>
      <c r="Z18" s="59">
        <f t="shared" si="9"/>
        <v>0</v>
      </c>
      <c r="AA18" s="198"/>
      <c r="AB18" s="198"/>
      <c r="AC18" s="214"/>
      <c r="AD18" s="32"/>
      <c r="AE18" s="154"/>
      <c r="AF18" s="154"/>
    </row>
    <row r="19" spans="1:32" x14ac:dyDescent="0.2">
      <c r="A19" s="48" t="str">
        <f>VLOOKUP(C19,'PRODUCTIVIDAD UAC'!$H$21:$I$78,2,0)</f>
        <v>G3</v>
      </c>
      <c r="B19" s="48" t="str">
        <f>VLOOKUP(A19,'PRODUCTIVIDAD UAC'!$B$3:$C$17,2,0)</f>
        <v>PEREZ DIAZ ROSA MARIA</v>
      </c>
      <c r="C19" s="178">
        <v>7028749</v>
      </c>
      <c r="D19" s="50" t="str">
        <f>VLOOKUP(C19,Homologacion!$E$1:$F$130,2,0)</f>
        <v>VICENTE PALACIOS MAGDALENA BEATRIZ</v>
      </c>
      <c r="E19" s="31" t="str">
        <f>VLOOKUP(C19,Homologacion!$E$1:$G$130,3,0)</f>
        <v>Especialista UAC</v>
      </c>
      <c r="F19" s="173">
        <v>27</v>
      </c>
      <c r="G19" s="168">
        <f>VLOOKUP($C19,'PRODUCTIVIDAD UAC'!$K:$O,4,0)</f>
        <v>49</v>
      </c>
      <c r="H19" s="51">
        <f>VLOOKUP($C19,'PRODUCTIVIDAD UAC'!$K:$O,5,0)</f>
        <v>30</v>
      </c>
      <c r="I19" s="52">
        <f t="shared" si="0"/>
        <v>0.61224489795918369</v>
      </c>
      <c r="J19" s="61">
        <f t="shared" si="1"/>
        <v>0.30612244897959184</v>
      </c>
      <c r="K19" s="53">
        <f>IFERROR(VLOOKUP($C19,'SLA UAC'!$G:$I,3,0),0)</f>
        <v>28</v>
      </c>
      <c r="L19" s="51">
        <f>IFERROR(VLOOKUP($C19,'SLA UAC'!$G:$I,2,0),0)</f>
        <v>27</v>
      </c>
      <c r="M19" s="52">
        <f t="shared" si="2"/>
        <v>0.9642857142857143</v>
      </c>
      <c r="N19" s="54">
        <f t="shared" si="3"/>
        <v>0.48214285714285715</v>
      </c>
      <c r="O19" s="137">
        <f t="shared" si="4"/>
        <v>0.78826530612244894</v>
      </c>
      <c r="P19" s="135">
        <f t="shared" si="5"/>
        <v>1</v>
      </c>
      <c r="Q19" s="136">
        <f t="shared" si="6"/>
        <v>0.79</v>
      </c>
      <c r="R19" s="78">
        <f>VLOOKUP(Q19,TABLA!$A$5:$D$16,4,1)</f>
        <v>0.6</v>
      </c>
      <c r="S19" s="55">
        <f>IFERROR(VLOOKUP(C19,CALIDAD!$AK$3:$AM$37,3,0),100%)</f>
        <v>0</v>
      </c>
      <c r="T19" s="79">
        <f>VLOOKUP(S19,TABLA!$A$20:$D$29,4,1)</f>
        <v>0</v>
      </c>
      <c r="U19" s="168">
        <f>VLOOKUP(A19,EQUIPO!$B$6:$E$19,2,0)</f>
        <v>1256.8888888888889</v>
      </c>
      <c r="V19" s="168">
        <f>VLOOKUP(A19,EQUIPO!$B$6:$E$19,3,0)</f>
        <v>964</v>
      </c>
      <c r="W19" s="172">
        <f t="shared" si="7"/>
        <v>0.77</v>
      </c>
      <c r="X19" s="84">
        <f t="shared" si="8"/>
        <v>0</v>
      </c>
      <c r="Y19" s="58">
        <f>IF(AND(I19&gt;=1,E19="Especialista UAC"),VLOOKUP(W19,TABLA!$A$32:$D$36,4,1),0)/30*F19</f>
        <v>0</v>
      </c>
      <c r="Z19" s="59">
        <f t="shared" si="9"/>
        <v>0</v>
      </c>
      <c r="AA19" s="198"/>
      <c r="AB19" s="198"/>
      <c r="AC19" s="214"/>
      <c r="AD19" s="32"/>
      <c r="AE19" s="154"/>
      <c r="AF19" s="154"/>
    </row>
    <row r="20" spans="1:32" x14ac:dyDescent="0.2">
      <c r="A20" s="48" t="str">
        <f>VLOOKUP(C20,'PRODUCTIVIDAD UAC'!$H$21:$I$78,2,0)</f>
        <v>G3</v>
      </c>
      <c r="B20" s="48" t="str">
        <f>VLOOKUP(A20,'PRODUCTIVIDAD UAC'!$B$3:$C$17,2,0)</f>
        <v>PEREZ DIAZ ROSA MARIA</v>
      </c>
      <c r="C20" s="178">
        <v>7029903</v>
      </c>
      <c r="D20" s="50" t="str">
        <f>VLOOKUP(C20,Homologacion!$E$1:$F$130,2,0)</f>
        <v>VILCHEZ CORDOVA MANUEL LUCIANO</v>
      </c>
      <c r="E20" s="31" t="str">
        <f>VLOOKUP(C20,Homologacion!$E$1:$G$130,3,0)</f>
        <v>Apoyo UAC</v>
      </c>
      <c r="F20" s="173">
        <v>30</v>
      </c>
      <c r="G20" s="168">
        <f>VLOOKUP($C20,'PRODUCTIVIDAD UAC'!$K:$O,4,0)</f>
        <v>140</v>
      </c>
      <c r="H20" s="51">
        <f>VLOOKUP($C20,'PRODUCTIVIDAD UAC'!$K:$O,5,0)</f>
        <v>66</v>
      </c>
      <c r="I20" s="52">
        <f t="shared" si="0"/>
        <v>0.47142857142857142</v>
      </c>
      <c r="J20" s="61">
        <f t="shared" si="1"/>
        <v>0.23571428571428571</v>
      </c>
      <c r="K20" s="53">
        <f>IFERROR(VLOOKUP($C20,'SLA UAC'!$G:$I,3,0),0)</f>
        <v>44</v>
      </c>
      <c r="L20" s="51">
        <f>IFERROR(VLOOKUP($C20,'SLA UAC'!$G:$I,2,0),0)</f>
        <v>9</v>
      </c>
      <c r="M20" s="52">
        <f t="shared" si="2"/>
        <v>0.20454545454545456</v>
      </c>
      <c r="N20" s="54">
        <f t="shared" si="3"/>
        <v>0.10227272727272728</v>
      </c>
      <c r="O20" s="137">
        <f t="shared" si="4"/>
        <v>0.337987012987013</v>
      </c>
      <c r="P20" s="135">
        <f t="shared" si="5"/>
        <v>1</v>
      </c>
      <c r="Q20" s="136">
        <f t="shared" si="6"/>
        <v>0.34</v>
      </c>
      <c r="R20" s="78">
        <f>VLOOKUP(Q20,TABLA!$A$5:$D$16,4,1)</f>
        <v>0</v>
      </c>
      <c r="S20" s="55">
        <f>IFERROR(VLOOKUP(C20,CALIDAD!$AK$3:$AM$37,3,0),100%)</f>
        <v>1</v>
      </c>
      <c r="T20" s="79">
        <f>VLOOKUP(S20,TABLA!$A$20:$D$29,4,1)</f>
        <v>1.1000000000000001</v>
      </c>
      <c r="U20" s="168">
        <f>VLOOKUP(A20,EQUIPO!$B$6:$E$19,2,0)</f>
        <v>1256.8888888888889</v>
      </c>
      <c r="V20" s="168">
        <f>VLOOKUP(A20,EQUIPO!$B$6:$E$19,3,0)</f>
        <v>964</v>
      </c>
      <c r="W20" s="172">
        <f t="shared" si="7"/>
        <v>0.77</v>
      </c>
      <c r="X20" s="84">
        <f t="shared" si="8"/>
        <v>0</v>
      </c>
      <c r="Y20" s="58">
        <f>IF(AND(I20&gt;=1,E20="Especialista UAC"),VLOOKUP(W20,TABLA!$A$32:$D$36,4,1),0)/30*F20</f>
        <v>0</v>
      </c>
      <c r="Z20" s="59">
        <f t="shared" si="9"/>
        <v>0</v>
      </c>
      <c r="AA20" s="198"/>
      <c r="AB20" s="198"/>
      <c r="AC20" s="214"/>
      <c r="AD20" s="32"/>
      <c r="AE20" s="154"/>
      <c r="AF20" s="154"/>
    </row>
    <row r="21" spans="1:32" x14ac:dyDescent="0.2">
      <c r="A21" s="48" t="str">
        <f>VLOOKUP(C21,'PRODUCTIVIDAD UAC'!$H$21:$I$78,2,0)</f>
        <v>G3</v>
      </c>
      <c r="B21" s="48" t="str">
        <f>VLOOKUP(A21,'PRODUCTIVIDAD UAC'!$B$3:$C$17,2,0)</f>
        <v>PEREZ DIAZ ROSA MARIA</v>
      </c>
      <c r="C21" s="178">
        <v>7031487</v>
      </c>
      <c r="D21" s="50" t="str">
        <f>VLOOKUP(C21,Homologacion!$E$1:$F$130,2,0)</f>
        <v>MAURICIO BERAMENDI ERIKA ESTRIC</v>
      </c>
      <c r="E21" s="31" t="str">
        <f>VLOOKUP(C21,Homologacion!$E$1:$G$130,3,0)</f>
        <v>Apoyo UAC</v>
      </c>
      <c r="F21" s="173">
        <v>30</v>
      </c>
      <c r="G21" s="168">
        <f>VLOOKUP($C21,'PRODUCTIVIDAD UAC'!$K:$O,4,0)</f>
        <v>140</v>
      </c>
      <c r="H21" s="51">
        <f>VLOOKUP($C21,'PRODUCTIVIDAD UAC'!$K:$O,5,0)</f>
        <v>117</v>
      </c>
      <c r="I21" s="52">
        <f t="shared" si="0"/>
        <v>0.83571428571428574</v>
      </c>
      <c r="J21" s="61">
        <f t="shared" si="1"/>
        <v>0.41785714285714287</v>
      </c>
      <c r="K21" s="53">
        <f>IFERROR(VLOOKUP($C21,'SLA UAC'!$G:$I,3,0),0)</f>
        <v>115</v>
      </c>
      <c r="L21" s="51">
        <f>IFERROR(VLOOKUP($C21,'SLA UAC'!$G:$I,2,0),0)</f>
        <v>79</v>
      </c>
      <c r="M21" s="52">
        <f t="shared" si="2"/>
        <v>0.68695652173913047</v>
      </c>
      <c r="N21" s="54">
        <f t="shared" si="3"/>
        <v>0.34347826086956523</v>
      </c>
      <c r="O21" s="137">
        <f t="shared" si="4"/>
        <v>0.76133540372670816</v>
      </c>
      <c r="P21" s="135">
        <f t="shared" si="5"/>
        <v>1</v>
      </c>
      <c r="Q21" s="136">
        <f t="shared" si="6"/>
        <v>0.76</v>
      </c>
      <c r="R21" s="78">
        <f>VLOOKUP(Q21,TABLA!$A$5:$D$16,4,1)</f>
        <v>0.6</v>
      </c>
      <c r="S21" s="55">
        <f>IFERROR(VLOOKUP(C21,CALIDAD!$AK$3:$AM$37,3,0),100%)</f>
        <v>1</v>
      </c>
      <c r="T21" s="79">
        <f>VLOOKUP(S21,TABLA!$A$20:$D$29,4,1)</f>
        <v>1.1000000000000001</v>
      </c>
      <c r="U21" s="168">
        <f>VLOOKUP(A21,EQUIPO!$B$6:$E$19,2,0)</f>
        <v>1256.8888888888889</v>
      </c>
      <c r="V21" s="168">
        <f>VLOOKUP(A21,EQUIPO!$B$6:$E$19,3,0)</f>
        <v>964</v>
      </c>
      <c r="W21" s="172">
        <f t="shared" si="7"/>
        <v>0.77</v>
      </c>
      <c r="X21" s="84">
        <f t="shared" si="8"/>
        <v>0</v>
      </c>
      <c r="Y21" s="58">
        <f>IF(AND(I21&gt;=1,E21="Especialista UAC"),VLOOKUP(W21,TABLA!$A$32:$D$36,4,1),0)/30*F21</f>
        <v>0</v>
      </c>
      <c r="Z21" s="59">
        <f t="shared" si="9"/>
        <v>0</v>
      </c>
      <c r="AA21" s="198"/>
      <c r="AB21" s="198"/>
      <c r="AC21" s="214"/>
      <c r="AD21" s="32"/>
      <c r="AE21" s="154"/>
      <c r="AF21" s="154"/>
    </row>
    <row r="22" spans="1:32" x14ac:dyDescent="0.2">
      <c r="A22" s="48" t="str">
        <f>VLOOKUP(C22,'PRODUCTIVIDAD UAC'!$H$21:$I$78,2,0)</f>
        <v>Impugnaciones</v>
      </c>
      <c r="B22" s="48" t="str">
        <f>VLOOKUP(A22,'PRODUCTIVIDAD UAC'!$B$3:$C$17,2,0)</f>
        <v>GALARZA GALARRETA MARIA TERESA</v>
      </c>
      <c r="C22" s="178">
        <v>7047319</v>
      </c>
      <c r="D22" s="50" t="str">
        <f>VLOOKUP(C22,Homologacion!$E$1:$F$130,2,0)</f>
        <v>AMPUERO ALVAREZ ROBERTO FERNANDO</v>
      </c>
      <c r="E22" s="31" t="str">
        <f>VLOOKUP(C22,Homologacion!$E$1:$G$130,3,0)</f>
        <v>Especialista UAC</v>
      </c>
      <c r="F22" s="173">
        <v>30</v>
      </c>
      <c r="G22" s="168">
        <f>VLOOKUP($C22,'PRODUCTIVIDAD UAC'!$K:$O,4,0)</f>
        <v>144</v>
      </c>
      <c r="H22" s="51">
        <f>VLOOKUP($C22,'PRODUCTIVIDAD UAC'!$K:$O,5,0)</f>
        <v>102</v>
      </c>
      <c r="I22" s="52">
        <f t="shared" si="0"/>
        <v>0.70833333333333337</v>
      </c>
      <c r="J22" s="61">
        <f t="shared" si="1"/>
        <v>0.35416666666666669</v>
      </c>
      <c r="K22" s="53">
        <f>IFERROR(VLOOKUP($C22,'SLA UAC'!$G:$I,3,0),0)</f>
        <v>74</v>
      </c>
      <c r="L22" s="51">
        <f>IFERROR(VLOOKUP($C22,'SLA UAC'!$G:$I,2,0),0)</f>
        <v>62</v>
      </c>
      <c r="M22" s="52">
        <f t="shared" si="2"/>
        <v>0.83783783783783783</v>
      </c>
      <c r="N22" s="54">
        <f t="shared" si="3"/>
        <v>0.41891891891891891</v>
      </c>
      <c r="O22" s="137">
        <f t="shared" si="4"/>
        <v>0.7730855855855856</v>
      </c>
      <c r="P22" s="135">
        <f t="shared" si="5"/>
        <v>1</v>
      </c>
      <c r="Q22" s="136">
        <f t="shared" si="6"/>
        <v>0.77</v>
      </c>
      <c r="R22" s="78">
        <f>VLOOKUP(Q22,TABLA!$A$5:$D$16,4,1)</f>
        <v>0.6</v>
      </c>
      <c r="S22" s="55">
        <f>IFERROR(VLOOKUP(C22,CALIDAD!$AK$3:$AM$37,3,0),100%)</f>
        <v>1</v>
      </c>
      <c r="T22" s="79">
        <f>VLOOKUP(S22,TABLA!$A$20:$D$29,4,1)</f>
        <v>1.1000000000000001</v>
      </c>
      <c r="U22" s="168">
        <f>VLOOKUP(A22,EQUIPO!$B$6:$E$19,2,0)</f>
        <v>568</v>
      </c>
      <c r="V22" s="168">
        <f>VLOOKUP(A22,EQUIPO!$B$6:$E$19,3,0)</f>
        <v>431</v>
      </c>
      <c r="W22" s="172">
        <f t="shared" si="7"/>
        <v>0.76</v>
      </c>
      <c r="X22" s="84">
        <f t="shared" si="8"/>
        <v>0</v>
      </c>
      <c r="Y22" s="58">
        <f>IF(AND(I22&gt;=1,E22="Especialista UAC"),VLOOKUP(W22,TABLA!$A$32:$D$36,4,1),0)/30*F22</f>
        <v>0</v>
      </c>
      <c r="Z22" s="59">
        <f t="shared" si="9"/>
        <v>0</v>
      </c>
      <c r="AA22" s="198"/>
      <c r="AB22" s="198"/>
      <c r="AC22" s="214"/>
      <c r="AD22" s="32"/>
      <c r="AE22" s="154"/>
      <c r="AF22" s="154"/>
    </row>
    <row r="23" spans="1:32" x14ac:dyDescent="0.2">
      <c r="A23" s="48" t="str">
        <f>VLOOKUP(C23,'PRODUCTIVIDAD UAC'!$H$21:$I$78,2,0)</f>
        <v>G3</v>
      </c>
      <c r="B23" s="48" t="str">
        <f>VLOOKUP(A23,'PRODUCTIVIDAD UAC'!$B$3:$C$17,2,0)</f>
        <v>PEREZ DIAZ ROSA MARIA</v>
      </c>
      <c r="C23" s="178">
        <v>7048713</v>
      </c>
      <c r="D23" s="50" t="str">
        <f>VLOOKUP(C23,Homologacion!$E$1:$F$130,2,0)</f>
        <v>MAMANI BRAVO LUIS MANUEL</v>
      </c>
      <c r="E23" s="31" t="str">
        <f>VLOOKUP(C23,Homologacion!$E$1:$G$130,3,0)</f>
        <v>Apoyo UAC</v>
      </c>
      <c r="F23" s="173">
        <v>30</v>
      </c>
      <c r="G23" s="168">
        <f>VLOOKUP($C23,'PRODUCTIVIDAD UAC'!$K:$O,4,0)</f>
        <v>112</v>
      </c>
      <c r="H23" s="51">
        <f>VLOOKUP($C23,'PRODUCTIVIDAD UAC'!$K:$O,5,0)</f>
        <v>82</v>
      </c>
      <c r="I23" s="52">
        <f t="shared" si="0"/>
        <v>0.7321428571428571</v>
      </c>
      <c r="J23" s="61">
        <f t="shared" si="1"/>
        <v>0.36607142857142855</v>
      </c>
      <c r="K23" s="53">
        <f>IFERROR(VLOOKUP($C23,'SLA UAC'!$G:$I,3,0),0)</f>
        <v>62</v>
      </c>
      <c r="L23" s="51">
        <f>IFERROR(VLOOKUP($C23,'SLA UAC'!$G:$I,2,0),0)</f>
        <v>49</v>
      </c>
      <c r="M23" s="52">
        <f t="shared" si="2"/>
        <v>0.79032258064516125</v>
      </c>
      <c r="N23" s="54">
        <f t="shared" si="3"/>
        <v>0.39516129032258063</v>
      </c>
      <c r="O23" s="137">
        <f t="shared" si="4"/>
        <v>0.76123271889400912</v>
      </c>
      <c r="P23" s="135">
        <f t="shared" si="5"/>
        <v>1</v>
      </c>
      <c r="Q23" s="136">
        <f t="shared" si="6"/>
        <v>0.76</v>
      </c>
      <c r="R23" s="78">
        <f>VLOOKUP(Q23,TABLA!$A$5:$D$16,4,1)</f>
        <v>0.6</v>
      </c>
      <c r="S23" s="55">
        <f>IFERROR(VLOOKUP(C23,CALIDAD!$AK$3:$AM$37,3,0),100%)</f>
        <v>1</v>
      </c>
      <c r="T23" s="79">
        <f>VLOOKUP(S23,TABLA!$A$20:$D$29,4,1)</f>
        <v>1.1000000000000001</v>
      </c>
      <c r="U23" s="168">
        <f>VLOOKUP(A23,EQUIPO!$B$6:$E$19,2,0)</f>
        <v>1256.8888888888889</v>
      </c>
      <c r="V23" s="168">
        <f>VLOOKUP(A23,EQUIPO!$B$6:$E$19,3,0)</f>
        <v>964</v>
      </c>
      <c r="W23" s="172">
        <f t="shared" si="7"/>
        <v>0.77</v>
      </c>
      <c r="X23" s="84">
        <f t="shared" si="8"/>
        <v>0</v>
      </c>
      <c r="Y23" s="58">
        <f>IF(AND(I23&gt;=1,E23="Especialista UAC"),VLOOKUP(W23,TABLA!$A$32:$D$36,4,1),0)/30*F23</f>
        <v>0</v>
      </c>
      <c r="Z23" s="59">
        <f t="shared" si="9"/>
        <v>0</v>
      </c>
      <c r="AA23" s="198"/>
      <c r="AB23" s="198"/>
      <c r="AC23" s="214"/>
      <c r="AD23" s="32"/>
      <c r="AE23" s="154"/>
      <c r="AF23" s="154"/>
    </row>
    <row r="24" spans="1:32" x14ac:dyDescent="0.2">
      <c r="A24" s="48" t="str">
        <f>VLOOKUP(C24,'PRODUCTIVIDAD UAC'!$H$21:$I$78,2,0)</f>
        <v>G3</v>
      </c>
      <c r="B24" s="48" t="str">
        <f>VLOOKUP(A24,'PRODUCTIVIDAD UAC'!$B$3:$C$17,2,0)</f>
        <v>PEREZ DIAZ ROSA MARIA</v>
      </c>
      <c r="C24" s="178">
        <v>7051170</v>
      </c>
      <c r="D24" s="50" t="str">
        <f>VLOOKUP(C24,Homologacion!$E$1:$F$130,2,0)</f>
        <v>TORRES FELIX LUIS ALBERTO</v>
      </c>
      <c r="E24" s="31" t="str">
        <f>VLOOKUP(C24,Homologacion!$E$1:$G$130,3,0)</f>
        <v>Apoyo UAC</v>
      </c>
      <c r="F24" s="173">
        <v>7</v>
      </c>
      <c r="G24" s="168">
        <f>VLOOKUP($C24,'PRODUCTIVIDAD UAC'!$K:$O,4,0)</f>
        <v>49</v>
      </c>
      <c r="H24" s="51">
        <f>VLOOKUP($C24,'PRODUCTIVIDAD UAC'!$K:$O,5,0)</f>
        <v>44</v>
      </c>
      <c r="I24" s="52">
        <f t="shared" si="0"/>
        <v>0.89795918367346939</v>
      </c>
      <c r="J24" s="61">
        <f t="shared" si="1"/>
        <v>0.44897959183673469</v>
      </c>
      <c r="K24" s="53">
        <f>IFERROR(VLOOKUP($C24,'SLA UAC'!$G:$I,3,0),0)</f>
        <v>42</v>
      </c>
      <c r="L24" s="51">
        <f>IFERROR(VLOOKUP($C24,'SLA UAC'!$G:$I,2,0),0)</f>
        <v>42</v>
      </c>
      <c r="M24" s="52">
        <f t="shared" si="2"/>
        <v>1</v>
      </c>
      <c r="N24" s="54">
        <f t="shared" si="3"/>
        <v>0.5</v>
      </c>
      <c r="O24" s="137">
        <f t="shared" si="4"/>
        <v>0.94897959183673475</v>
      </c>
      <c r="P24" s="135">
        <f t="shared" si="5"/>
        <v>1</v>
      </c>
      <c r="Q24" s="136">
        <f t="shared" si="6"/>
        <v>0.95</v>
      </c>
      <c r="R24" s="78">
        <f>VLOOKUP(Q24,TABLA!$A$5:$D$16,4,1)</f>
        <v>0.95</v>
      </c>
      <c r="S24" s="55">
        <f>IFERROR(VLOOKUP(C24,CALIDAD!$AK$3:$AM$37,3,0),100%)</f>
        <v>1</v>
      </c>
      <c r="T24" s="79">
        <f>VLOOKUP(S24,TABLA!$A$20:$D$29,4,1)</f>
        <v>1.1000000000000001</v>
      </c>
      <c r="U24" s="168">
        <f>VLOOKUP(A24,EQUIPO!$B$6:$E$19,2,0)</f>
        <v>1256.8888888888889</v>
      </c>
      <c r="V24" s="168">
        <f>VLOOKUP(A24,EQUIPO!$B$6:$E$19,3,0)</f>
        <v>964</v>
      </c>
      <c r="W24" s="172">
        <f t="shared" si="7"/>
        <v>0.77</v>
      </c>
      <c r="X24" s="84">
        <f t="shared" si="8"/>
        <v>0</v>
      </c>
      <c r="Y24" s="58">
        <f>IF(AND(I24&gt;=1,E24="Especialista UAC"),VLOOKUP(W24,TABLA!$A$32:$D$36,4,1),0)/30*F24</f>
        <v>0</v>
      </c>
      <c r="Z24" s="59">
        <f t="shared" si="9"/>
        <v>0</v>
      </c>
      <c r="AA24" s="198"/>
      <c r="AB24" s="198"/>
      <c r="AC24" s="214"/>
      <c r="AD24" s="32"/>
      <c r="AE24" s="154"/>
      <c r="AF24" s="154"/>
    </row>
    <row r="25" spans="1:32" x14ac:dyDescent="0.2">
      <c r="A25" s="48" t="str">
        <f>VLOOKUP(C25,'PRODUCTIVIDAD UAC'!$H$21:$I$78,2,0)</f>
        <v>G1</v>
      </c>
      <c r="B25" s="48" t="str">
        <f>VLOOKUP(A25,'PRODUCTIVIDAD UAC'!$B$3:$C$17,2,0)</f>
        <v>PONCE ENCISO PABLO FERNANDO</v>
      </c>
      <c r="C25" s="178">
        <v>7051709</v>
      </c>
      <c r="D25" s="50" t="str">
        <f>VLOOKUP(C25,Homologacion!$E$1:$F$130,2,0)</f>
        <v>SUAREZ GUEVARA ANGIE MERLY</v>
      </c>
      <c r="E25" s="31" t="str">
        <f>VLOOKUP(C25,Homologacion!$E$1:$G$130,3,0)</f>
        <v>Especialista UAC</v>
      </c>
      <c r="F25" s="173">
        <v>30</v>
      </c>
      <c r="G25" s="168">
        <f>VLOOKUP($C25,'PRODUCTIVIDAD UAC'!$K:$O,4,0)</f>
        <v>475</v>
      </c>
      <c r="H25" s="51">
        <f>VLOOKUP($C25,'PRODUCTIVIDAD UAC'!$K:$O,5,0)</f>
        <v>505</v>
      </c>
      <c r="I25" s="52">
        <f t="shared" si="0"/>
        <v>1.0631578947368421</v>
      </c>
      <c r="J25" s="61">
        <f t="shared" si="1"/>
        <v>0.53157894736842104</v>
      </c>
      <c r="K25" s="53">
        <f>IFERROR(VLOOKUP($C25,'SLA UAC'!$G:$I,3,0),0)</f>
        <v>488</v>
      </c>
      <c r="L25" s="51">
        <f>IFERROR(VLOOKUP($C25,'SLA UAC'!$G:$I,2,0),0)</f>
        <v>420</v>
      </c>
      <c r="M25" s="52">
        <f t="shared" si="2"/>
        <v>0.86065573770491799</v>
      </c>
      <c r="N25" s="54">
        <f t="shared" si="3"/>
        <v>0.43032786885245899</v>
      </c>
      <c r="O25" s="137">
        <f t="shared" si="4"/>
        <v>0.96190681622088003</v>
      </c>
      <c r="P25" s="135">
        <f t="shared" si="5"/>
        <v>1</v>
      </c>
      <c r="Q25" s="136">
        <f t="shared" si="6"/>
        <v>0.96</v>
      </c>
      <c r="R25" s="78">
        <f>VLOOKUP(Q25,TABLA!$A$5:$D$16,4,1)</f>
        <v>0.95</v>
      </c>
      <c r="S25" s="55">
        <f>IFERROR(VLOOKUP(C25,CALIDAD!$AK$3:$AM$37,3,0),100%)</f>
        <v>0.89500000000000013</v>
      </c>
      <c r="T25" s="79">
        <f>VLOOKUP(S25,TABLA!$A$20:$D$29,4,1)</f>
        <v>0.8</v>
      </c>
      <c r="U25" s="168">
        <f>VLOOKUP(A25,EQUIPO!$B$6:$E$19,2,0)</f>
        <v>2200</v>
      </c>
      <c r="V25" s="168">
        <f>VLOOKUP(A25,EQUIPO!$B$6:$E$19,3,0)</f>
        <v>1728</v>
      </c>
      <c r="W25" s="172">
        <f t="shared" si="7"/>
        <v>0.79</v>
      </c>
      <c r="X25" s="84">
        <f t="shared" si="8"/>
        <v>0</v>
      </c>
      <c r="Y25" s="58">
        <f>IF(AND(I25&gt;=1,E25="Especialista UAC"),VLOOKUP(W25,TABLA!$A$32:$D$36,4,1),0)/30*F25</f>
        <v>0</v>
      </c>
      <c r="Z25" s="59">
        <f t="shared" si="9"/>
        <v>0</v>
      </c>
      <c r="AA25" s="198"/>
      <c r="AB25" s="198"/>
      <c r="AC25" s="214"/>
      <c r="AD25" s="32"/>
      <c r="AE25" s="154"/>
      <c r="AF25" s="154"/>
    </row>
    <row r="26" spans="1:32" x14ac:dyDescent="0.2">
      <c r="A26" s="48" t="str">
        <f>VLOOKUP(C26,'PRODUCTIVIDAD UAC'!$H$21:$I$78,2,0)</f>
        <v>G7</v>
      </c>
      <c r="B26" s="48" t="str">
        <f>VLOOKUP(A26,'PRODUCTIVIDAD UAC'!$B$3:$C$17,2,0)</f>
        <v>PEREZ DIAZ ROSA MARIA</v>
      </c>
      <c r="C26" s="178">
        <v>7051956</v>
      </c>
      <c r="D26" s="50" t="str">
        <f>VLOOKUP(C26,Homologacion!$E$1:$F$130,2,0)</f>
        <v>RENGIFO BALAREZO CHRISTIAN</v>
      </c>
      <c r="E26" s="31" t="str">
        <f>VLOOKUP(C26,Homologacion!$E$1:$G$130,3,0)</f>
        <v>Especialista UAC</v>
      </c>
      <c r="F26" s="173">
        <v>15</v>
      </c>
      <c r="G26" s="168">
        <f>VLOOKUP($C26,'PRODUCTIVIDAD UAC'!$K:$O,4,0)</f>
        <v>56</v>
      </c>
      <c r="H26" s="51">
        <f>VLOOKUP($C26,'PRODUCTIVIDAD UAC'!$K:$O,5,0)</f>
        <v>35</v>
      </c>
      <c r="I26" s="52">
        <f t="shared" si="0"/>
        <v>0.625</v>
      </c>
      <c r="J26" s="61">
        <f t="shared" si="1"/>
        <v>0.3125</v>
      </c>
      <c r="K26" s="53">
        <f>IFERROR(VLOOKUP($C26,'SLA UAC'!$G:$I,3,0),0)</f>
        <v>0</v>
      </c>
      <c r="L26" s="51">
        <f>IFERROR(VLOOKUP($C26,'SLA UAC'!$G:$I,2,0),0)</f>
        <v>0</v>
      </c>
      <c r="M26" s="52">
        <f t="shared" si="2"/>
        <v>0</v>
      </c>
      <c r="N26" s="54">
        <f t="shared" si="3"/>
        <v>0</v>
      </c>
      <c r="O26" s="137">
        <f t="shared" si="4"/>
        <v>0.3125</v>
      </c>
      <c r="P26" s="135">
        <f t="shared" si="5"/>
        <v>0.5</v>
      </c>
      <c r="Q26" s="136">
        <f t="shared" si="6"/>
        <v>0.63</v>
      </c>
      <c r="R26" s="78">
        <f>VLOOKUP(Q26,TABLA!$A$5:$D$16,4,1)</f>
        <v>0.6</v>
      </c>
      <c r="S26" s="55">
        <f>IFERROR(VLOOKUP(C26,CALIDAD!$AK$3:$AM$37,3,0),100%)</f>
        <v>1</v>
      </c>
      <c r="T26" s="79">
        <f>VLOOKUP(S26,TABLA!$A$20:$D$29,4,1)</f>
        <v>1.1000000000000001</v>
      </c>
      <c r="U26" s="168">
        <f>VLOOKUP(A26,EQUIPO!$B$6:$E$19,2,0)</f>
        <v>621.5</v>
      </c>
      <c r="V26" s="168">
        <f>VLOOKUP(A26,EQUIPO!$B$6:$E$19,3,0)</f>
        <v>649</v>
      </c>
      <c r="W26" s="172">
        <f t="shared" si="7"/>
        <v>1.04</v>
      </c>
      <c r="X26" s="84">
        <f t="shared" si="8"/>
        <v>0</v>
      </c>
      <c r="Y26" s="58">
        <f>IF(AND(I26&gt;=1,E26="Especialista UAC"),VLOOKUP(W26,TABLA!$A$32:$D$36,4,1),0)/30*F26</f>
        <v>0</v>
      </c>
      <c r="Z26" s="59">
        <f t="shared" si="9"/>
        <v>0</v>
      </c>
      <c r="AA26" s="198"/>
      <c r="AB26" s="198"/>
      <c r="AC26" s="214"/>
      <c r="AD26" s="32"/>
      <c r="AE26" s="154"/>
      <c r="AF26" s="154"/>
    </row>
    <row r="27" spans="1:32" x14ac:dyDescent="0.2">
      <c r="A27" s="48" t="str">
        <f>VLOOKUP(C27,'PRODUCTIVIDAD UAC'!$H$21:$I$78,2,0)</f>
        <v>G3</v>
      </c>
      <c r="B27" s="48" t="str">
        <f>VLOOKUP(A27,'PRODUCTIVIDAD UAC'!$B$3:$C$17,2,0)</f>
        <v>PEREZ DIAZ ROSA MARIA</v>
      </c>
      <c r="C27" s="178">
        <v>7052384</v>
      </c>
      <c r="D27" s="50" t="str">
        <f>VLOOKUP(C27,Homologacion!$E$1:$F$130,2,0)</f>
        <v>CHUMBES CHIPAU FERNANDO ALEXIS</v>
      </c>
      <c r="E27" s="31" t="str">
        <f>VLOOKUP(C27,Homologacion!$E$1:$G$130,3,0)</f>
        <v>Especialista UAC</v>
      </c>
      <c r="F27" s="173">
        <v>30</v>
      </c>
      <c r="G27" s="168">
        <f>VLOOKUP($C27,'PRODUCTIVIDAD UAC'!$K:$O,4,0)</f>
        <v>140</v>
      </c>
      <c r="H27" s="51">
        <f>VLOOKUP($C27,'PRODUCTIVIDAD UAC'!$K:$O,5,0)</f>
        <v>113</v>
      </c>
      <c r="I27" s="52">
        <f t="shared" si="0"/>
        <v>0.80714285714285716</v>
      </c>
      <c r="J27" s="61">
        <f t="shared" si="1"/>
        <v>0.40357142857142858</v>
      </c>
      <c r="K27" s="53">
        <f>IFERROR(VLOOKUP($C27,'SLA UAC'!$G:$I,3,0),0)</f>
        <v>109</v>
      </c>
      <c r="L27" s="51">
        <f>IFERROR(VLOOKUP($C27,'SLA UAC'!$G:$I,2,0),0)</f>
        <v>82</v>
      </c>
      <c r="M27" s="52">
        <f t="shared" si="2"/>
        <v>0.75229357798165142</v>
      </c>
      <c r="N27" s="54">
        <f t="shared" si="3"/>
        <v>0.37614678899082571</v>
      </c>
      <c r="O27" s="137">
        <f t="shared" si="4"/>
        <v>0.77971821756225435</v>
      </c>
      <c r="P27" s="135">
        <f t="shared" si="5"/>
        <v>1</v>
      </c>
      <c r="Q27" s="136">
        <f t="shared" si="6"/>
        <v>0.78</v>
      </c>
      <c r="R27" s="78">
        <f>VLOOKUP(Q27,TABLA!$A$5:$D$16,4,1)</f>
        <v>0.6</v>
      </c>
      <c r="S27" s="55">
        <f>IFERROR(VLOOKUP(C27,CALIDAD!$AK$3:$AM$37,3,0),100%)</f>
        <v>0.81</v>
      </c>
      <c r="T27" s="79">
        <f>VLOOKUP(S27,TABLA!$A$20:$D$29,4,1)</f>
        <v>0.7</v>
      </c>
      <c r="U27" s="168">
        <f>VLOOKUP(A27,EQUIPO!$B$6:$E$19,2,0)</f>
        <v>1256.8888888888889</v>
      </c>
      <c r="V27" s="168">
        <f>VLOOKUP(A27,EQUIPO!$B$6:$E$19,3,0)</f>
        <v>964</v>
      </c>
      <c r="W27" s="172">
        <f t="shared" si="7"/>
        <v>0.77</v>
      </c>
      <c r="X27" s="84">
        <f t="shared" si="8"/>
        <v>0</v>
      </c>
      <c r="Y27" s="58">
        <f>IF(AND(I27&gt;=1,E27="Especialista UAC"),VLOOKUP(W27,TABLA!$A$32:$D$36,4,1),0)/30*F27</f>
        <v>0</v>
      </c>
      <c r="Z27" s="59">
        <f t="shared" si="9"/>
        <v>0</v>
      </c>
      <c r="AA27" s="198"/>
      <c r="AB27" s="198"/>
      <c r="AC27" s="214"/>
      <c r="AD27" s="32"/>
      <c r="AE27" s="154"/>
      <c r="AF27" s="154"/>
    </row>
    <row r="28" spans="1:32" x14ac:dyDescent="0.2">
      <c r="A28" s="48" t="str">
        <f>VLOOKUP(C28,'PRODUCTIVIDAD UAC'!$H$21:$I$78,2,0)</f>
        <v>G9</v>
      </c>
      <c r="B28" s="48" t="str">
        <f>VLOOKUP(A28,'PRODUCTIVIDAD UAC'!$B$3:$C$17,2,0)</f>
        <v>ROBALINO CALLA HILDA MARISOL</v>
      </c>
      <c r="C28" s="178">
        <v>7052616</v>
      </c>
      <c r="D28" s="50" t="str">
        <f>VLOOKUP(C28,Homologacion!$E$1:$F$130,2,0)</f>
        <v>VALDIVIESO FALCON FYORELA MARISOL</v>
      </c>
      <c r="E28" s="31" t="str">
        <f>VLOOKUP(C28,Homologacion!$E$1:$G$130,3,0)</f>
        <v>Apoyo UAC</v>
      </c>
      <c r="F28" s="173">
        <v>30</v>
      </c>
      <c r="G28" s="168">
        <f>VLOOKUP($C28,'PRODUCTIVIDAD UAC'!$K:$O,4,0)</f>
        <v>160</v>
      </c>
      <c r="H28" s="51">
        <f>VLOOKUP($C28,'PRODUCTIVIDAD UAC'!$K:$O,5,0)</f>
        <v>208</v>
      </c>
      <c r="I28" s="52">
        <f t="shared" si="0"/>
        <v>1.3</v>
      </c>
      <c r="J28" s="61">
        <f t="shared" si="1"/>
        <v>0.65</v>
      </c>
      <c r="K28" s="53">
        <f>IFERROR(VLOOKUP($C28,'SLA UAC'!$G:$I,3,0),0)</f>
        <v>138</v>
      </c>
      <c r="L28" s="51">
        <f>IFERROR(VLOOKUP($C28,'SLA UAC'!$G:$I,2,0),0)</f>
        <v>110</v>
      </c>
      <c r="M28" s="52">
        <f t="shared" si="2"/>
        <v>0.79710144927536231</v>
      </c>
      <c r="N28" s="54">
        <f t="shared" si="3"/>
        <v>0.39855072463768115</v>
      </c>
      <c r="O28" s="137">
        <f t="shared" si="4"/>
        <v>1.0485507246376811</v>
      </c>
      <c r="P28" s="135">
        <f t="shared" si="5"/>
        <v>1</v>
      </c>
      <c r="Q28" s="136">
        <f t="shared" si="6"/>
        <v>1.05</v>
      </c>
      <c r="R28" s="78">
        <f>VLOOKUP(Q28,TABLA!$A$5:$D$16,4,1)</f>
        <v>1.05</v>
      </c>
      <c r="S28" s="55">
        <f>IFERROR(VLOOKUP(C28,CALIDAD!$AK$3:$AM$37,3,0),100%)</f>
        <v>1.0000000000000002</v>
      </c>
      <c r="T28" s="79">
        <f>VLOOKUP(S28,TABLA!$A$20:$D$29,4,1)</f>
        <v>1.1000000000000001</v>
      </c>
      <c r="U28" s="168">
        <f>VLOOKUP(A28,EQUIPO!$B$6:$E$19,2,0)</f>
        <v>2027.7777777777785</v>
      </c>
      <c r="V28" s="168">
        <f>VLOOKUP(A28,EQUIPO!$B$6:$E$19,3,0)</f>
        <v>2134</v>
      </c>
      <c r="W28" s="172">
        <f t="shared" si="7"/>
        <v>1.05</v>
      </c>
      <c r="X28" s="84">
        <f t="shared" si="8"/>
        <v>0</v>
      </c>
      <c r="Y28" s="58">
        <f>IF(AND(I28&gt;=1,E28="Especialista UAC"),VLOOKUP(W28,TABLA!$A$32:$D$36,4,1),0)/30*F28</f>
        <v>0</v>
      </c>
      <c r="Z28" s="59">
        <f t="shared" si="9"/>
        <v>0</v>
      </c>
      <c r="AA28" s="198"/>
      <c r="AB28" s="198"/>
      <c r="AC28" s="214"/>
      <c r="AD28" s="32"/>
      <c r="AE28" s="154"/>
      <c r="AF28" s="154"/>
    </row>
    <row r="29" spans="1:32" x14ac:dyDescent="0.2">
      <c r="A29" s="48" t="str">
        <f>VLOOKUP(C29,'PRODUCTIVIDAD UAC'!$H$21:$I$78,2,0)</f>
        <v>G9</v>
      </c>
      <c r="B29" s="48" t="str">
        <f>VLOOKUP(A29,'PRODUCTIVIDAD UAC'!$B$3:$C$17,2,0)</f>
        <v>ROBALINO CALLA HILDA MARISOL</v>
      </c>
      <c r="C29" s="178">
        <v>50003136</v>
      </c>
      <c r="D29" s="50" t="str">
        <f>VLOOKUP(C29,Homologacion!$E$1:$F$130,2,0)</f>
        <v>VILLEGAS SOLANO JUNIOR JAVIER</v>
      </c>
      <c r="E29" s="31" t="str">
        <f>VLOOKUP(C29,Homologacion!$E$1:$G$130,3,0)</f>
        <v>Apoyo UAC</v>
      </c>
      <c r="F29" s="173">
        <v>30</v>
      </c>
      <c r="G29" s="168">
        <f>VLOOKUP($C29,'PRODUCTIVIDAD UAC'!$K:$O,4,0)</f>
        <v>200</v>
      </c>
      <c r="H29" s="51">
        <f>VLOOKUP($C29,'PRODUCTIVIDAD UAC'!$K:$O,5,0)</f>
        <v>169</v>
      </c>
      <c r="I29" s="52">
        <f t="shared" si="0"/>
        <v>0.84499999999999997</v>
      </c>
      <c r="J29" s="61">
        <f t="shared" si="1"/>
        <v>0.42249999999999999</v>
      </c>
      <c r="K29" s="53">
        <f>IFERROR(VLOOKUP($C29,'SLA UAC'!$G:$I,3,0),0)</f>
        <v>78</v>
      </c>
      <c r="L29" s="51">
        <f>IFERROR(VLOOKUP($C29,'SLA UAC'!$G:$I,2,0),0)</f>
        <v>63</v>
      </c>
      <c r="M29" s="52">
        <f t="shared" si="2"/>
        <v>0.80769230769230771</v>
      </c>
      <c r="N29" s="54">
        <f t="shared" si="3"/>
        <v>0.40384615384615385</v>
      </c>
      <c r="O29" s="137">
        <f t="shared" si="4"/>
        <v>0.82634615384615384</v>
      </c>
      <c r="P29" s="135">
        <f t="shared" si="5"/>
        <v>1</v>
      </c>
      <c r="Q29" s="136">
        <f t="shared" si="6"/>
        <v>0.83</v>
      </c>
      <c r="R29" s="78">
        <f>VLOOKUP(Q29,TABLA!$A$5:$D$16,4,1)</f>
        <v>0.7</v>
      </c>
      <c r="S29" s="55">
        <f>IFERROR(VLOOKUP(C29,CALIDAD!$AK$3:$AM$37,3,0),100%)</f>
        <v>1</v>
      </c>
      <c r="T29" s="79">
        <f>VLOOKUP(S29,TABLA!$A$20:$D$29,4,1)</f>
        <v>1.1000000000000001</v>
      </c>
      <c r="U29" s="168">
        <f>VLOOKUP(A29,EQUIPO!$B$6:$E$19,2,0)</f>
        <v>2027.7777777777785</v>
      </c>
      <c r="V29" s="168">
        <f>VLOOKUP(A29,EQUIPO!$B$6:$E$19,3,0)</f>
        <v>2134</v>
      </c>
      <c r="W29" s="172">
        <f t="shared" si="7"/>
        <v>1.05</v>
      </c>
      <c r="X29" s="84">
        <f t="shared" si="8"/>
        <v>0</v>
      </c>
      <c r="Y29" s="58">
        <f>IF(AND(I29&gt;=1,E29="Especialista UAC"),VLOOKUP(W29,TABLA!$A$32:$D$36,4,1),0)/30*F29</f>
        <v>0</v>
      </c>
      <c r="Z29" s="59">
        <f t="shared" si="9"/>
        <v>0</v>
      </c>
      <c r="AA29" s="198"/>
      <c r="AB29" s="198"/>
      <c r="AC29" s="214"/>
      <c r="AD29" s="32"/>
      <c r="AE29" s="154"/>
      <c r="AF29" s="154"/>
    </row>
    <row r="30" spans="1:32" x14ac:dyDescent="0.2">
      <c r="A30" s="48" t="str">
        <f>VLOOKUP(C30,'PRODUCTIVIDAD UAC'!$H$21:$I$78,2,0)</f>
        <v>G9</v>
      </c>
      <c r="B30" s="48" t="str">
        <f>VLOOKUP(A30,'PRODUCTIVIDAD UAC'!$B$3:$C$17,2,0)</f>
        <v>ROBALINO CALLA HILDA MARISOL</v>
      </c>
      <c r="C30" s="178">
        <v>50006402</v>
      </c>
      <c r="D30" s="50" t="str">
        <f>VLOOKUP(C30,Homologacion!$E$1:$F$130,2,0)</f>
        <v>YAMUNAQUE MIRANDA ANGEL GUSTAVO</v>
      </c>
      <c r="E30" s="31" t="str">
        <f>VLOOKUP(C30,Homologacion!$E$1:$G$130,3,0)</f>
        <v>Apoyo UAC</v>
      </c>
      <c r="F30" s="173">
        <v>7</v>
      </c>
      <c r="G30" s="168">
        <f>VLOOKUP($C30,'PRODUCTIVIDAD UAC'!$K:$O,4,0)</f>
        <v>0</v>
      </c>
      <c r="H30" s="51">
        <f>VLOOKUP($C30,'PRODUCTIVIDAD UAC'!$K:$O,5,0)</f>
        <v>7</v>
      </c>
      <c r="I30" s="52">
        <f t="shared" si="0"/>
        <v>0</v>
      </c>
      <c r="J30" s="61">
        <f t="shared" si="1"/>
        <v>0</v>
      </c>
      <c r="K30" s="53">
        <f>IFERROR(VLOOKUP($C30,'SLA UAC'!$G:$I,3,0),0)</f>
        <v>2</v>
      </c>
      <c r="L30" s="51">
        <f>IFERROR(VLOOKUP($C30,'SLA UAC'!$G:$I,2,0),0)</f>
        <v>2</v>
      </c>
      <c r="M30" s="52">
        <f t="shared" si="2"/>
        <v>1</v>
      </c>
      <c r="N30" s="54">
        <f t="shared" si="3"/>
        <v>0.5</v>
      </c>
      <c r="O30" s="137">
        <f t="shared" si="4"/>
        <v>0.5</v>
      </c>
      <c r="P30" s="135">
        <f t="shared" si="5"/>
        <v>0.5</v>
      </c>
      <c r="Q30" s="136">
        <f t="shared" si="6"/>
        <v>1</v>
      </c>
      <c r="R30" s="78">
        <f>VLOOKUP(Q30,TABLA!$A$5:$D$16,4,1)</f>
        <v>1</v>
      </c>
      <c r="S30" s="55">
        <f>IFERROR(VLOOKUP(C30,CALIDAD!$AK$3:$AM$37,3,0),100%)</f>
        <v>1</v>
      </c>
      <c r="T30" s="79">
        <f>VLOOKUP(S30,TABLA!$A$20:$D$29,4,1)</f>
        <v>1.1000000000000001</v>
      </c>
      <c r="U30" s="168">
        <f>VLOOKUP(A30,EQUIPO!$B$6:$E$19,2,0)</f>
        <v>2027.7777777777785</v>
      </c>
      <c r="V30" s="168">
        <f>VLOOKUP(A30,EQUIPO!$B$6:$E$19,3,0)</f>
        <v>2134</v>
      </c>
      <c r="W30" s="172">
        <f t="shared" si="7"/>
        <v>1.05</v>
      </c>
      <c r="X30" s="84">
        <f t="shared" si="8"/>
        <v>0</v>
      </c>
      <c r="Y30" s="58">
        <f>IF(AND(I30&gt;=1,E30="Especialista UAC"),VLOOKUP(W30,TABLA!$A$32:$D$36,4,1),0)/30*F30</f>
        <v>0</v>
      </c>
      <c r="Z30" s="59">
        <f t="shared" si="9"/>
        <v>0</v>
      </c>
      <c r="AA30" s="198"/>
      <c r="AB30" s="198"/>
      <c r="AC30" s="214"/>
      <c r="AD30" s="32"/>
      <c r="AE30" s="154"/>
      <c r="AF30" s="154"/>
    </row>
    <row r="31" spans="1:32" x14ac:dyDescent="0.2">
      <c r="A31" s="48" t="str">
        <f>VLOOKUP(C31,'PRODUCTIVIDAD UAC'!$H$21:$I$78,2,0)</f>
        <v>G7</v>
      </c>
      <c r="B31" s="48" t="str">
        <f>VLOOKUP(A31,'PRODUCTIVIDAD UAC'!$B$3:$C$17,2,0)</f>
        <v>PEREZ DIAZ ROSA MARIA</v>
      </c>
      <c r="C31" s="178">
        <v>50008507</v>
      </c>
      <c r="D31" s="50" t="str">
        <f>VLOOKUP(C31,Homologacion!$E$1:$F$130,2,0)</f>
        <v>RINCON CHUGNA JOHNNY GERARDO</v>
      </c>
      <c r="E31" s="31" t="str">
        <f>VLOOKUP(C31,Homologacion!$E$1:$G$130,3,0)</f>
        <v>Especialista UAC</v>
      </c>
      <c r="F31" s="173">
        <v>30</v>
      </c>
      <c r="G31" s="168">
        <f>VLOOKUP($C31,'PRODUCTIVIDAD UAC'!$K:$O,4,0)</f>
        <v>113.5</v>
      </c>
      <c r="H31" s="51">
        <f>VLOOKUP($C31,'PRODUCTIVIDAD UAC'!$K:$O,5,0)</f>
        <v>129</v>
      </c>
      <c r="I31" s="52">
        <f t="shared" si="0"/>
        <v>1.1365638766519823</v>
      </c>
      <c r="J31" s="61">
        <f t="shared" si="1"/>
        <v>0.56828193832599116</v>
      </c>
      <c r="K31" s="53">
        <f>IFERROR(VLOOKUP($C31,'SLA UAC'!$G:$I,3,0),0)</f>
        <v>0</v>
      </c>
      <c r="L31" s="51">
        <f>IFERROR(VLOOKUP($C31,'SLA UAC'!$G:$I,2,0),0)</f>
        <v>0</v>
      </c>
      <c r="M31" s="52">
        <f t="shared" si="2"/>
        <v>0</v>
      </c>
      <c r="N31" s="54">
        <f t="shared" si="3"/>
        <v>0</v>
      </c>
      <c r="O31" s="137">
        <f t="shared" si="4"/>
        <v>0.56828193832599116</v>
      </c>
      <c r="P31" s="135">
        <f t="shared" si="5"/>
        <v>0.5</v>
      </c>
      <c r="Q31" s="136">
        <f t="shared" si="6"/>
        <v>1.1399999999999999</v>
      </c>
      <c r="R31" s="78">
        <f>VLOOKUP(Q31,TABLA!$A$5:$D$16,4,1)</f>
        <v>1.1499999999999999</v>
      </c>
      <c r="S31" s="55">
        <f>IFERROR(VLOOKUP(C31,CALIDAD!$AK$3:$AM$37,3,0),100%)</f>
        <v>1</v>
      </c>
      <c r="T31" s="79">
        <f>VLOOKUP(S31,TABLA!$A$20:$D$29,4,1)</f>
        <v>1.1000000000000001</v>
      </c>
      <c r="U31" s="168">
        <f>VLOOKUP(A31,EQUIPO!$B$6:$E$19,2,0)</f>
        <v>621.5</v>
      </c>
      <c r="V31" s="168">
        <f>VLOOKUP(A31,EQUIPO!$B$6:$E$19,3,0)</f>
        <v>649</v>
      </c>
      <c r="W31" s="172">
        <f t="shared" si="7"/>
        <v>1.04</v>
      </c>
      <c r="X31" s="84">
        <f t="shared" si="8"/>
        <v>0</v>
      </c>
      <c r="Y31" s="58">
        <f>IF(AND(I31&gt;=1,E31="Especialista UAC"),VLOOKUP(W31,TABLA!$A$32:$D$36,4,1),0)/30*F31</f>
        <v>50</v>
      </c>
      <c r="Z31" s="59">
        <f t="shared" si="9"/>
        <v>50</v>
      </c>
      <c r="AA31" s="198"/>
      <c r="AB31" s="198"/>
      <c r="AC31" s="214"/>
      <c r="AD31" s="32"/>
      <c r="AE31" s="154"/>
      <c r="AF31" s="154"/>
    </row>
    <row r="32" spans="1:32" x14ac:dyDescent="0.2">
      <c r="A32" s="48" t="str">
        <f>VLOOKUP(C32,'PRODUCTIVIDAD UAC'!$H$21:$I$78,2,0)</f>
        <v>G9</v>
      </c>
      <c r="B32" s="48" t="str">
        <f>VLOOKUP(A32,'PRODUCTIVIDAD UAC'!$B$3:$C$17,2,0)</f>
        <v>ROBALINO CALLA HILDA MARISOL</v>
      </c>
      <c r="C32" s="178">
        <v>50015007</v>
      </c>
      <c r="D32" s="50" t="str">
        <f>VLOOKUP(C32,Homologacion!$E$1:$F$130,2,0)</f>
        <v>CARRERA SANCHEZ VILMA ESMERITA</v>
      </c>
      <c r="E32" s="31" t="str">
        <f>VLOOKUP(C32,Homologacion!$E$1:$G$130,3,0)</f>
        <v>Apoyo UAC</v>
      </c>
      <c r="F32" s="173">
        <v>29</v>
      </c>
      <c r="G32" s="168">
        <f>VLOOKUP($C32,'PRODUCTIVIDAD UAC'!$K:$O,4,0)</f>
        <v>150</v>
      </c>
      <c r="H32" s="51">
        <f>VLOOKUP($C32,'PRODUCTIVIDAD UAC'!$K:$O,5,0)</f>
        <v>150</v>
      </c>
      <c r="I32" s="52">
        <f t="shared" si="0"/>
        <v>1</v>
      </c>
      <c r="J32" s="61">
        <f t="shared" si="1"/>
        <v>0.5</v>
      </c>
      <c r="K32" s="53">
        <f>IFERROR(VLOOKUP($C32,'SLA UAC'!$G:$I,3,0),0)</f>
        <v>141</v>
      </c>
      <c r="L32" s="51">
        <f>IFERROR(VLOOKUP($C32,'SLA UAC'!$G:$I,2,0),0)</f>
        <v>107</v>
      </c>
      <c r="M32" s="52">
        <f t="shared" si="2"/>
        <v>0.75886524822695034</v>
      </c>
      <c r="N32" s="54">
        <f t="shared" si="3"/>
        <v>0.37943262411347517</v>
      </c>
      <c r="O32" s="137">
        <f t="shared" si="4"/>
        <v>0.87943262411347511</v>
      </c>
      <c r="P32" s="135">
        <f t="shared" si="5"/>
        <v>1</v>
      </c>
      <c r="Q32" s="136">
        <f t="shared" si="6"/>
        <v>0.88</v>
      </c>
      <c r="R32" s="78">
        <f>VLOOKUP(Q32,TABLA!$A$5:$D$16,4,1)</f>
        <v>0.8</v>
      </c>
      <c r="S32" s="55">
        <f>IFERROR(VLOOKUP(C32,CALIDAD!$AK$3:$AM$37,3,0),100%)</f>
        <v>1</v>
      </c>
      <c r="T32" s="79">
        <f>VLOOKUP(S32,TABLA!$A$20:$D$29,4,1)</f>
        <v>1.1000000000000001</v>
      </c>
      <c r="U32" s="168">
        <f>VLOOKUP(A32,EQUIPO!$B$6:$E$19,2,0)</f>
        <v>2027.7777777777785</v>
      </c>
      <c r="V32" s="168">
        <f>VLOOKUP(A32,EQUIPO!$B$6:$E$19,3,0)</f>
        <v>2134</v>
      </c>
      <c r="W32" s="172">
        <f t="shared" si="7"/>
        <v>1.05</v>
      </c>
      <c r="X32" s="84">
        <f t="shared" si="8"/>
        <v>0</v>
      </c>
      <c r="Y32" s="58">
        <f>IF(AND(I32&gt;=1,E32="Especialista UAC"),VLOOKUP(W32,TABLA!$A$32:$D$36,4,1),0)/30*F32</f>
        <v>0</v>
      </c>
      <c r="Z32" s="59">
        <f t="shared" si="9"/>
        <v>0</v>
      </c>
      <c r="AA32" s="198"/>
      <c r="AB32" s="198"/>
      <c r="AC32" s="214"/>
      <c r="AD32" s="32"/>
      <c r="AE32" s="154"/>
      <c r="AF32" s="154"/>
    </row>
    <row r="33" spans="1:32" x14ac:dyDescent="0.2">
      <c r="A33" s="48" t="str">
        <f>VLOOKUP(C33,'PRODUCTIVIDAD UAC'!$H$21:$I$78,2,0)</f>
        <v>G9</v>
      </c>
      <c r="B33" s="48" t="str">
        <f>VLOOKUP(A33,'PRODUCTIVIDAD UAC'!$B$3:$C$17,2,0)</f>
        <v>ROBALINO CALLA HILDA MARISOL</v>
      </c>
      <c r="C33" s="178">
        <v>50016385</v>
      </c>
      <c r="D33" s="50" t="str">
        <f>VLOOKUP(C33,Homologacion!$E$1:$F$130,2,0)</f>
        <v>ASMAT SALCEDO SASHA ROMINA</v>
      </c>
      <c r="E33" s="31" t="str">
        <f>VLOOKUP(C33,Homologacion!$E$1:$G$130,3,0)</f>
        <v>Apoyo UAC</v>
      </c>
      <c r="F33" s="173">
        <v>30</v>
      </c>
      <c r="G33" s="168">
        <f>VLOOKUP($C33,'PRODUCTIVIDAD UAC'!$K:$O,4,0)</f>
        <v>160</v>
      </c>
      <c r="H33" s="51">
        <f>VLOOKUP($C33,'PRODUCTIVIDAD UAC'!$K:$O,5,0)</f>
        <v>131</v>
      </c>
      <c r="I33" s="52">
        <f t="shared" si="0"/>
        <v>0.81874999999999998</v>
      </c>
      <c r="J33" s="61">
        <f t="shared" si="1"/>
        <v>0.40937499999999999</v>
      </c>
      <c r="K33" s="53">
        <f>IFERROR(VLOOKUP($C33,'SLA UAC'!$G:$I,3,0),0)</f>
        <v>122</v>
      </c>
      <c r="L33" s="51">
        <f>IFERROR(VLOOKUP($C33,'SLA UAC'!$G:$I,2,0),0)</f>
        <v>109</v>
      </c>
      <c r="M33" s="52">
        <f t="shared" si="2"/>
        <v>0.89344262295081966</v>
      </c>
      <c r="N33" s="54">
        <f t="shared" si="3"/>
        <v>0.44672131147540983</v>
      </c>
      <c r="O33" s="137">
        <f t="shared" si="4"/>
        <v>0.85609631147540988</v>
      </c>
      <c r="P33" s="135">
        <f t="shared" si="5"/>
        <v>1</v>
      </c>
      <c r="Q33" s="136">
        <f t="shared" si="6"/>
        <v>0.86</v>
      </c>
      <c r="R33" s="78">
        <f>VLOOKUP(Q33,TABLA!$A$5:$D$16,4,1)</f>
        <v>0.8</v>
      </c>
      <c r="S33" s="55">
        <f>IFERROR(VLOOKUP(C33,CALIDAD!$AK$3:$AM$37,3,0),100%)</f>
        <v>0.95000000000000018</v>
      </c>
      <c r="T33" s="79">
        <f>VLOOKUP(S33,TABLA!$A$20:$D$29,4,1)</f>
        <v>1</v>
      </c>
      <c r="U33" s="168">
        <f>VLOOKUP(A33,EQUIPO!$B$6:$E$19,2,0)</f>
        <v>2027.7777777777785</v>
      </c>
      <c r="V33" s="168">
        <f>VLOOKUP(A33,EQUIPO!$B$6:$E$19,3,0)</f>
        <v>2134</v>
      </c>
      <c r="W33" s="172">
        <f t="shared" si="7"/>
        <v>1.05</v>
      </c>
      <c r="X33" s="84">
        <f t="shared" si="8"/>
        <v>0</v>
      </c>
      <c r="Y33" s="58">
        <f>IF(AND(I33&gt;=1,E33="Especialista UAC"),VLOOKUP(W33,TABLA!$A$32:$D$36,4,1),0)/30*F33</f>
        <v>0</v>
      </c>
      <c r="Z33" s="59">
        <f t="shared" si="9"/>
        <v>0</v>
      </c>
      <c r="AA33" s="198"/>
      <c r="AB33" s="198"/>
      <c r="AC33" s="214"/>
      <c r="AD33" s="32"/>
      <c r="AE33" s="154"/>
      <c r="AF33" s="154"/>
    </row>
    <row r="34" spans="1:32" x14ac:dyDescent="0.2">
      <c r="A34" s="48" t="str">
        <f>VLOOKUP(C34,'PRODUCTIVIDAD UAC'!$H$21:$I$78,2,0)</f>
        <v>G8</v>
      </c>
      <c r="B34" s="48" t="str">
        <f>VLOOKUP(A34,'PRODUCTIVIDAD UAC'!$B$3:$C$17,2,0)</f>
        <v>PONCE ENCISO PABLO FERNANDO</v>
      </c>
      <c r="C34" s="178">
        <v>50018993</v>
      </c>
      <c r="D34" s="50" t="str">
        <f>VLOOKUP(C34,Homologacion!$E$1:$F$130,2,0)</f>
        <v>BOCANEGRA USCAMAYTA VILMA</v>
      </c>
      <c r="E34" s="31" t="str">
        <f>VLOOKUP(C34,Homologacion!$E$1:$G$130,3,0)</f>
        <v>Apoyo UAC</v>
      </c>
      <c r="F34" s="173">
        <v>29</v>
      </c>
      <c r="G34" s="168">
        <f>VLOOKUP($C34,'PRODUCTIVIDAD UAC'!$K:$O,4,0)</f>
        <v>160</v>
      </c>
      <c r="H34" s="51">
        <f>VLOOKUP($C34,'PRODUCTIVIDAD UAC'!$K:$O,5,0)</f>
        <v>162</v>
      </c>
      <c r="I34" s="52">
        <f t="shared" si="0"/>
        <v>1.0125</v>
      </c>
      <c r="J34" s="61">
        <f t="shared" si="1"/>
        <v>0.50624999999999998</v>
      </c>
      <c r="K34" s="53">
        <f>IFERROR(VLOOKUP($C34,'SLA UAC'!$G:$I,3,0),0)</f>
        <v>148</v>
      </c>
      <c r="L34" s="51">
        <f>IFERROR(VLOOKUP($C34,'SLA UAC'!$G:$I,2,0),0)</f>
        <v>127</v>
      </c>
      <c r="M34" s="52">
        <f t="shared" si="2"/>
        <v>0.85810810810810811</v>
      </c>
      <c r="N34" s="54">
        <f t="shared" si="3"/>
        <v>0.42905405405405406</v>
      </c>
      <c r="O34" s="137">
        <f t="shared" si="4"/>
        <v>0.93530405405405403</v>
      </c>
      <c r="P34" s="135">
        <f t="shared" si="5"/>
        <v>1</v>
      </c>
      <c r="Q34" s="136">
        <f t="shared" si="6"/>
        <v>0.94</v>
      </c>
      <c r="R34" s="78">
        <f>VLOOKUP(Q34,TABLA!$A$5:$D$16,4,1)</f>
        <v>0.95</v>
      </c>
      <c r="S34" s="55">
        <f>IFERROR(VLOOKUP(C34,CALIDAD!$AK$3:$AM$37,3,0),100%)</f>
        <v>1</v>
      </c>
      <c r="T34" s="79">
        <f>VLOOKUP(S34,TABLA!$A$20:$D$29,4,1)</f>
        <v>1.1000000000000001</v>
      </c>
      <c r="U34" s="168">
        <f>VLOOKUP(A34,EQUIPO!$B$6:$E$19,2,0)</f>
        <v>880</v>
      </c>
      <c r="V34" s="168">
        <f>VLOOKUP(A34,EQUIPO!$B$6:$E$19,3,0)</f>
        <v>807</v>
      </c>
      <c r="W34" s="172">
        <f t="shared" si="7"/>
        <v>0.92</v>
      </c>
      <c r="X34" s="84">
        <f t="shared" si="8"/>
        <v>0</v>
      </c>
      <c r="Y34" s="58">
        <f>IF(AND(I34&gt;=1,E34="Especialista UAC"),VLOOKUP(W34,TABLA!$A$32:$D$36,4,1),0)/30*F34</f>
        <v>0</v>
      </c>
      <c r="Z34" s="59">
        <f t="shared" si="9"/>
        <v>0</v>
      </c>
      <c r="AA34" s="198"/>
      <c r="AB34" s="198"/>
      <c r="AC34" s="214"/>
      <c r="AD34" s="32"/>
      <c r="AE34" s="154"/>
      <c r="AF34" s="154"/>
    </row>
    <row r="35" spans="1:32" x14ac:dyDescent="0.2">
      <c r="A35" s="48" t="str">
        <f>VLOOKUP(C35,'PRODUCTIVIDAD UAC'!$H$21:$I$78,2,0)</f>
        <v>G9</v>
      </c>
      <c r="B35" s="48" t="str">
        <f>VLOOKUP(A35,'PRODUCTIVIDAD UAC'!$B$3:$C$17,2,0)</f>
        <v>ROBALINO CALLA HILDA MARISOL</v>
      </c>
      <c r="C35" s="178">
        <v>50019405</v>
      </c>
      <c r="D35" s="50" t="str">
        <f>VLOOKUP(C35,Homologacion!$E$1:$F$130,2,0)</f>
        <v>SIVINCHA MILLIO GLADIS</v>
      </c>
      <c r="E35" s="31" t="str">
        <f>VLOOKUP(C35,Homologacion!$E$1:$G$130,3,0)</f>
        <v>Apoyo UAC</v>
      </c>
      <c r="F35" s="173">
        <v>30</v>
      </c>
      <c r="G35" s="168">
        <f>VLOOKUP($C35,'PRODUCTIVIDAD UAC'!$K:$O,4,0)</f>
        <v>160</v>
      </c>
      <c r="H35" s="51">
        <f>VLOOKUP($C35,'PRODUCTIVIDAD UAC'!$K:$O,5,0)</f>
        <v>192</v>
      </c>
      <c r="I35" s="52">
        <f t="shared" si="0"/>
        <v>1.2</v>
      </c>
      <c r="J35" s="61">
        <f t="shared" si="1"/>
        <v>0.6</v>
      </c>
      <c r="K35" s="53">
        <f>IFERROR(VLOOKUP($C35,'SLA UAC'!$G:$I,3,0),0)</f>
        <v>91</v>
      </c>
      <c r="L35" s="51">
        <f>IFERROR(VLOOKUP($C35,'SLA UAC'!$G:$I,2,0),0)</f>
        <v>81</v>
      </c>
      <c r="M35" s="52">
        <f t="shared" si="2"/>
        <v>0.89010989010989006</v>
      </c>
      <c r="N35" s="54">
        <f t="shared" si="3"/>
        <v>0.44505494505494503</v>
      </c>
      <c r="O35" s="137">
        <f t="shared" si="4"/>
        <v>1.0450549450549449</v>
      </c>
      <c r="P35" s="135">
        <f t="shared" si="5"/>
        <v>1</v>
      </c>
      <c r="Q35" s="136">
        <f t="shared" si="6"/>
        <v>1.05</v>
      </c>
      <c r="R35" s="78">
        <f>VLOOKUP(Q35,TABLA!$A$5:$D$16,4,1)</f>
        <v>1.05</v>
      </c>
      <c r="S35" s="55">
        <f>IFERROR(VLOOKUP(C35,CALIDAD!$AK$3:$AM$37,3,0),100%)</f>
        <v>1</v>
      </c>
      <c r="T35" s="79">
        <f>VLOOKUP(S35,TABLA!$A$20:$D$29,4,1)</f>
        <v>1.1000000000000001</v>
      </c>
      <c r="U35" s="168">
        <f>VLOOKUP(A35,EQUIPO!$B$6:$E$19,2,0)</f>
        <v>2027.7777777777785</v>
      </c>
      <c r="V35" s="168">
        <f>VLOOKUP(A35,EQUIPO!$B$6:$E$19,3,0)</f>
        <v>2134</v>
      </c>
      <c r="W35" s="172">
        <f t="shared" si="7"/>
        <v>1.05</v>
      </c>
      <c r="X35" s="84">
        <f t="shared" si="8"/>
        <v>0</v>
      </c>
      <c r="Y35" s="58">
        <f>IF(AND(I35&gt;=1,E35="Especialista UAC"),VLOOKUP(W35,TABLA!$A$32:$D$36,4,1),0)/30*F35</f>
        <v>0</v>
      </c>
      <c r="Z35" s="59">
        <f t="shared" si="9"/>
        <v>0</v>
      </c>
      <c r="AA35" s="198"/>
      <c r="AB35" s="198"/>
      <c r="AC35" s="214"/>
      <c r="AD35" s="32"/>
      <c r="AE35" s="154"/>
      <c r="AF35" s="154"/>
    </row>
    <row r="36" spans="1:32" x14ac:dyDescent="0.2">
      <c r="A36" s="48" t="str">
        <f>VLOOKUP(C36,'PRODUCTIVIDAD UAC'!$H$21:$I$78,2,0)</f>
        <v>G8</v>
      </c>
      <c r="B36" s="48" t="str">
        <f>VLOOKUP(A36,'PRODUCTIVIDAD UAC'!$B$3:$C$17,2,0)</f>
        <v>PONCE ENCISO PABLO FERNANDO</v>
      </c>
      <c r="C36" s="178">
        <v>50022466</v>
      </c>
      <c r="D36" s="50" t="str">
        <f>VLOOKUP(C36,Homologacion!$E$1:$F$130,2,0)</f>
        <v>ZORRILLA MIRANDA JUAN TOMAS</v>
      </c>
      <c r="E36" s="31" t="str">
        <f>VLOOKUP(C36,Homologacion!$E$1:$G$130,3,0)</f>
        <v>Especialista UAC</v>
      </c>
      <c r="F36" s="173">
        <v>28</v>
      </c>
      <c r="G36" s="168">
        <f>VLOOKUP($C36,'PRODUCTIVIDAD UAC'!$K:$O,4,0)</f>
        <v>152</v>
      </c>
      <c r="H36" s="51">
        <f>VLOOKUP($C36,'PRODUCTIVIDAD UAC'!$K:$O,5,0)</f>
        <v>130</v>
      </c>
      <c r="I36" s="52">
        <f t="shared" si="0"/>
        <v>0.85526315789473684</v>
      </c>
      <c r="J36" s="61">
        <f t="shared" si="1"/>
        <v>0.42763157894736842</v>
      </c>
      <c r="K36" s="53">
        <f>IFERROR(VLOOKUP($C36,'SLA UAC'!$G:$I,3,0),0)</f>
        <v>120</v>
      </c>
      <c r="L36" s="51">
        <f>IFERROR(VLOOKUP($C36,'SLA UAC'!$G:$I,2,0),0)</f>
        <v>101</v>
      </c>
      <c r="M36" s="52">
        <f t="shared" si="2"/>
        <v>0.84166666666666667</v>
      </c>
      <c r="N36" s="54">
        <f t="shared" si="3"/>
        <v>0.42083333333333334</v>
      </c>
      <c r="O36" s="137">
        <f t="shared" si="4"/>
        <v>0.84846491228070176</v>
      </c>
      <c r="P36" s="135">
        <f t="shared" si="5"/>
        <v>1</v>
      </c>
      <c r="Q36" s="136">
        <f t="shared" si="6"/>
        <v>0.85</v>
      </c>
      <c r="R36" s="78">
        <f>VLOOKUP(Q36,TABLA!$A$5:$D$16,4,1)</f>
        <v>0.8</v>
      </c>
      <c r="S36" s="55">
        <f>IFERROR(VLOOKUP(C36,CALIDAD!$AK$3:$AM$37,3,0),100%)</f>
        <v>1</v>
      </c>
      <c r="T36" s="79">
        <f>VLOOKUP(S36,TABLA!$A$20:$D$29,4,1)</f>
        <v>1.1000000000000001</v>
      </c>
      <c r="U36" s="168">
        <f>VLOOKUP(A36,EQUIPO!$B$6:$E$19,2,0)</f>
        <v>880</v>
      </c>
      <c r="V36" s="168">
        <f>VLOOKUP(A36,EQUIPO!$B$6:$E$19,3,0)</f>
        <v>807</v>
      </c>
      <c r="W36" s="172">
        <f t="shared" si="7"/>
        <v>0.92</v>
      </c>
      <c r="X36" s="84">
        <f t="shared" si="8"/>
        <v>0</v>
      </c>
      <c r="Y36" s="58">
        <f>IF(AND(I36&gt;=1,E36="Especialista UAC"),VLOOKUP(W36,TABLA!$A$32:$D$36,4,1),0)/30*F36</f>
        <v>0</v>
      </c>
      <c r="Z36" s="59">
        <f t="shared" si="9"/>
        <v>0</v>
      </c>
      <c r="AA36" s="198"/>
      <c r="AB36" s="198"/>
      <c r="AC36" s="214"/>
      <c r="AD36" s="32"/>
      <c r="AE36" s="154"/>
      <c r="AF36" s="154"/>
    </row>
    <row r="37" spans="1:32" x14ac:dyDescent="0.2">
      <c r="A37" s="48" t="str">
        <f>VLOOKUP(C37,'PRODUCTIVIDAD UAC'!$H$21:$I$78,2,0)</f>
        <v>G7</v>
      </c>
      <c r="B37" s="48" t="str">
        <f>VLOOKUP(A37,'PRODUCTIVIDAD UAC'!$B$3:$C$17,2,0)</f>
        <v>PEREZ DIAZ ROSA MARIA</v>
      </c>
      <c r="C37" s="178">
        <v>50023969</v>
      </c>
      <c r="D37" s="50" t="str">
        <f>VLOOKUP(C37,Homologacion!$E$1:$F$130,2,0)</f>
        <v>ZUÑIGA COLCHADO MARCO ANTONIO</v>
      </c>
      <c r="E37" s="31" t="str">
        <f>VLOOKUP(C37,Homologacion!$E$1:$G$130,3,0)</f>
        <v>Apoyo UAC</v>
      </c>
      <c r="F37" s="173">
        <v>28</v>
      </c>
      <c r="G37" s="168">
        <f>VLOOKUP($C37,'PRODUCTIVIDAD UAC'!$K:$O,4,0)</f>
        <v>152</v>
      </c>
      <c r="H37" s="51">
        <f>VLOOKUP($C37,'PRODUCTIVIDAD UAC'!$K:$O,5,0)</f>
        <v>172</v>
      </c>
      <c r="I37" s="52">
        <f t="shared" si="0"/>
        <v>1.131578947368421</v>
      </c>
      <c r="J37" s="61">
        <f t="shared" si="1"/>
        <v>0.56578947368421051</v>
      </c>
      <c r="K37" s="53">
        <f>IFERROR(VLOOKUP($C37,'SLA UAC'!$G:$I,3,0),0)</f>
        <v>0</v>
      </c>
      <c r="L37" s="51">
        <f>IFERROR(VLOOKUP($C37,'SLA UAC'!$G:$I,2,0),0)</f>
        <v>0</v>
      </c>
      <c r="M37" s="52">
        <f t="shared" si="2"/>
        <v>0</v>
      </c>
      <c r="N37" s="54">
        <f t="shared" si="3"/>
        <v>0</v>
      </c>
      <c r="O37" s="137">
        <f t="shared" si="4"/>
        <v>0.56578947368421051</v>
      </c>
      <c r="P37" s="135">
        <f t="shared" si="5"/>
        <v>0.5</v>
      </c>
      <c r="Q37" s="136">
        <f t="shared" si="6"/>
        <v>1.1299999999999999</v>
      </c>
      <c r="R37" s="78">
        <f>VLOOKUP(Q37,TABLA!$A$5:$D$16,4,1)</f>
        <v>1.1499999999999999</v>
      </c>
      <c r="S37" s="55">
        <f>IFERROR(VLOOKUP(C37,CALIDAD!$AK$3:$AM$37,3,0),100%)</f>
        <v>1</v>
      </c>
      <c r="T37" s="79">
        <f>VLOOKUP(S37,TABLA!$A$20:$D$29,4,1)</f>
        <v>1.1000000000000001</v>
      </c>
      <c r="U37" s="168">
        <f>VLOOKUP(A37,EQUIPO!$B$6:$E$19,2,0)</f>
        <v>621.5</v>
      </c>
      <c r="V37" s="168">
        <f>VLOOKUP(A37,EQUIPO!$B$6:$E$19,3,0)</f>
        <v>649</v>
      </c>
      <c r="W37" s="172">
        <f t="shared" si="7"/>
        <v>1.04</v>
      </c>
      <c r="X37" s="84">
        <f t="shared" si="8"/>
        <v>0</v>
      </c>
      <c r="Y37" s="58">
        <f>IF(AND(I37&gt;=1,E37="Especialista UAC"),VLOOKUP(W37,TABLA!$A$32:$D$36,4,1),0)/30*F37</f>
        <v>0</v>
      </c>
      <c r="Z37" s="59">
        <f t="shared" si="9"/>
        <v>0</v>
      </c>
      <c r="AA37" s="198"/>
      <c r="AB37" s="198"/>
      <c r="AC37" s="214"/>
      <c r="AD37" s="32"/>
      <c r="AE37" s="154"/>
      <c r="AF37" s="154"/>
    </row>
    <row r="38" spans="1:32" x14ac:dyDescent="0.2">
      <c r="A38" s="48" t="str">
        <f>VLOOKUP(C38,'PRODUCTIVIDAD UAC'!$H$21:$I$78,2,0)</f>
        <v>G9</v>
      </c>
      <c r="B38" s="48" t="str">
        <f>VLOOKUP(A38,'PRODUCTIVIDAD UAC'!$B$3:$C$17,2,0)</f>
        <v>ROBALINO CALLA HILDA MARISOL</v>
      </c>
      <c r="C38" s="178">
        <v>50028026</v>
      </c>
      <c r="D38" s="50" t="str">
        <f>VLOOKUP(C38,Homologacion!$E$1:$F$130,2,0)</f>
        <v>MADUEÑO TUNQUE HAMILTON MAURO</v>
      </c>
      <c r="E38" s="31" t="str">
        <f>VLOOKUP(C38,Homologacion!$E$1:$G$130,3,0)</f>
        <v>Apoyo UAC</v>
      </c>
      <c r="F38" s="173">
        <v>11</v>
      </c>
      <c r="G38" s="168">
        <f>VLOOKUP($C38,'PRODUCTIVIDAD UAC'!$K:$O,4,0)</f>
        <v>40</v>
      </c>
      <c r="H38" s="51">
        <f>VLOOKUP($C38,'PRODUCTIVIDAD UAC'!$K:$O,5,0)</f>
        <v>71</v>
      </c>
      <c r="I38" s="52">
        <f t="shared" si="0"/>
        <v>1.7749999999999999</v>
      </c>
      <c r="J38" s="61">
        <f t="shared" si="1"/>
        <v>0.88749999999999996</v>
      </c>
      <c r="K38" s="53">
        <f>IFERROR(VLOOKUP($C38,'SLA UAC'!$G:$I,3,0),0)</f>
        <v>31</v>
      </c>
      <c r="L38" s="51">
        <f>IFERROR(VLOOKUP($C38,'SLA UAC'!$G:$I,2,0),0)</f>
        <v>30</v>
      </c>
      <c r="M38" s="52">
        <f t="shared" si="2"/>
        <v>0.967741935483871</v>
      </c>
      <c r="N38" s="54">
        <f t="shared" si="3"/>
        <v>0.4838709677419355</v>
      </c>
      <c r="O38" s="137">
        <f t="shared" si="4"/>
        <v>1.3713709677419355</v>
      </c>
      <c r="P38" s="135">
        <f t="shared" si="5"/>
        <v>1</v>
      </c>
      <c r="Q38" s="136">
        <f t="shared" si="6"/>
        <v>1.37</v>
      </c>
      <c r="R38" s="78">
        <f>VLOOKUP(Q38,TABLA!$A$5:$D$16,4,1)</f>
        <v>1.2</v>
      </c>
      <c r="S38" s="55">
        <f>IFERROR(VLOOKUP(C38,CALIDAD!$AK$3:$AM$37,3,0),100%)</f>
        <v>1</v>
      </c>
      <c r="T38" s="79">
        <f>VLOOKUP(S38,TABLA!$A$20:$D$29,4,1)</f>
        <v>1.1000000000000001</v>
      </c>
      <c r="U38" s="168">
        <f>VLOOKUP(A38,EQUIPO!$B$6:$E$19,2,0)</f>
        <v>2027.7777777777785</v>
      </c>
      <c r="V38" s="168">
        <f>VLOOKUP(A38,EQUIPO!$B$6:$E$19,3,0)</f>
        <v>2134</v>
      </c>
      <c r="W38" s="172">
        <f t="shared" si="7"/>
        <v>1.05</v>
      </c>
      <c r="X38" s="84">
        <f t="shared" si="8"/>
        <v>0</v>
      </c>
      <c r="Y38" s="58">
        <f>IF(AND(I38&gt;=1,E38="Especialista UAC"),VLOOKUP(W38,TABLA!$A$32:$D$36,4,1),0)/30*F38</f>
        <v>0</v>
      </c>
      <c r="Z38" s="59">
        <f t="shared" si="9"/>
        <v>0</v>
      </c>
      <c r="AA38" s="198"/>
      <c r="AB38" s="198"/>
      <c r="AC38" s="214"/>
      <c r="AD38" s="32"/>
      <c r="AE38" s="154"/>
      <c r="AF38" s="154"/>
    </row>
    <row r="39" spans="1:32" x14ac:dyDescent="0.2">
      <c r="A39" s="48" t="str">
        <f>VLOOKUP(C39,'PRODUCTIVIDAD UAC'!$H$21:$I$78,2,0)</f>
        <v>G9</v>
      </c>
      <c r="B39" s="48" t="str">
        <f>VLOOKUP(A39,'PRODUCTIVIDAD UAC'!$B$3:$C$17,2,0)</f>
        <v>ROBALINO CALLA HILDA MARISOL</v>
      </c>
      <c r="C39" s="178">
        <v>50030022</v>
      </c>
      <c r="D39" s="50" t="str">
        <f>VLOOKUP(C39,Homologacion!$E$1:$F$130,2,0)</f>
        <v>PANIAGUA MACHUCA MARIA ROCIO</v>
      </c>
      <c r="E39" s="31" t="str">
        <f>VLOOKUP(C39,Homologacion!$E$1:$G$130,3,0)</f>
        <v>Especialista UAC</v>
      </c>
      <c r="F39" s="173">
        <v>30</v>
      </c>
      <c r="G39" s="168">
        <f>VLOOKUP($C39,'PRODUCTIVIDAD UAC'!$K:$O,4,0)</f>
        <v>142.22222222222254</v>
      </c>
      <c r="H39" s="51">
        <f>VLOOKUP($C39,'PRODUCTIVIDAD UAC'!$K:$O,5,0)</f>
        <v>157</v>
      </c>
      <c r="I39" s="52">
        <f t="shared" si="0"/>
        <v>1.1039062499999974</v>
      </c>
      <c r="J39" s="61">
        <f t="shared" si="1"/>
        <v>0.55195312499999871</v>
      </c>
      <c r="K39" s="53">
        <f>IFERROR(VLOOKUP($C39,'SLA UAC'!$G:$I,3,0),0)</f>
        <v>142</v>
      </c>
      <c r="L39" s="51">
        <f>IFERROR(VLOOKUP($C39,'SLA UAC'!$G:$I,2,0),0)</f>
        <v>113</v>
      </c>
      <c r="M39" s="52">
        <f t="shared" si="2"/>
        <v>0.79577464788732399</v>
      </c>
      <c r="N39" s="54">
        <f t="shared" si="3"/>
        <v>0.397887323943662</v>
      </c>
      <c r="O39" s="137">
        <f t="shared" si="4"/>
        <v>0.94984044894366071</v>
      </c>
      <c r="P39" s="135">
        <f t="shared" si="5"/>
        <v>1</v>
      </c>
      <c r="Q39" s="136">
        <f t="shared" si="6"/>
        <v>0.95</v>
      </c>
      <c r="R39" s="78">
        <f>VLOOKUP(Q39,TABLA!$A$5:$D$16,4,1)</f>
        <v>0.95</v>
      </c>
      <c r="S39" s="55">
        <f>IFERROR(VLOOKUP(C39,CALIDAD!$AK$3:$AM$37,3,0),100%)</f>
        <v>0.95000000000000018</v>
      </c>
      <c r="T39" s="79">
        <f>VLOOKUP(S39,TABLA!$A$20:$D$29,4,1)</f>
        <v>1</v>
      </c>
      <c r="U39" s="168">
        <f>VLOOKUP(A39,EQUIPO!$B$6:$E$19,2,0)</f>
        <v>2027.7777777777785</v>
      </c>
      <c r="V39" s="168">
        <f>VLOOKUP(A39,EQUIPO!$B$6:$E$19,3,0)</f>
        <v>2134</v>
      </c>
      <c r="W39" s="172">
        <f t="shared" si="7"/>
        <v>1.05</v>
      </c>
      <c r="X39" s="84">
        <f t="shared" si="8"/>
        <v>0</v>
      </c>
      <c r="Y39" s="58">
        <f>IF(AND(I39&gt;=1,E39="Especialista UAC"),VLOOKUP(W39,TABLA!$A$32:$D$36,4,1),0)/30*F39</f>
        <v>50</v>
      </c>
      <c r="Z39" s="59">
        <f t="shared" si="9"/>
        <v>50</v>
      </c>
      <c r="AA39" s="198"/>
      <c r="AB39" s="198"/>
      <c r="AC39" s="214"/>
      <c r="AD39" s="32"/>
      <c r="AE39" s="154"/>
      <c r="AF39" s="154"/>
    </row>
    <row r="40" spans="1:32" x14ac:dyDescent="0.2">
      <c r="A40" s="48" t="str">
        <f>VLOOKUP(C40,'PRODUCTIVIDAD UAC'!$H$21:$I$78,2,0)</f>
        <v>G9</v>
      </c>
      <c r="B40" s="48" t="str">
        <f>VLOOKUP(A40,'PRODUCTIVIDAD UAC'!$B$3:$C$17,2,0)</f>
        <v>ROBALINO CALLA HILDA MARISOL</v>
      </c>
      <c r="C40" s="178">
        <v>50033117</v>
      </c>
      <c r="D40" s="50" t="str">
        <f>VLOOKUP(C40,Homologacion!$E$1:$F$130,2,0)</f>
        <v>ESPINAL MARTINEZ DIANA MARISOL</v>
      </c>
      <c r="E40" s="31" t="str">
        <f>VLOOKUP(C40,Homologacion!$E$1:$G$130,3,0)</f>
        <v>Apoyo UAC</v>
      </c>
      <c r="F40" s="173">
        <v>30</v>
      </c>
      <c r="G40" s="168">
        <f>VLOOKUP($C40,'PRODUCTIVIDAD UAC'!$K:$O,4,0)</f>
        <v>160</v>
      </c>
      <c r="H40" s="51">
        <f>VLOOKUP($C40,'PRODUCTIVIDAD UAC'!$K:$O,5,0)</f>
        <v>175</v>
      </c>
      <c r="I40" s="52">
        <f t="shared" si="0"/>
        <v>1.09375</v>
      </c>
      <c r="J40" s="61">
        <f t="shared" si="1"/>
        <v>0.546875</v>
      </c>
      <c r="K40" s="53">
        <f>IFERROR(VLOOKUP($C40,'SLA UAC'!$G:$I,3,0),0)</f>
        <v>136</v>
      </c>
      <c r="L40" s="51">
        <f>IFERROR(VLOOKUP($C40,'SLA UAC'!$G:$I,2,0),0)</f>
        <v>112</v>
      </c>
      <c r="M40" s="52">
        <f t="shared" si="2"/>
        <v>0.82352941176470584</v>
      </c>
      <c r="N40" s="54">
        <f t="shared" si="3"/>
        <v>0.41176470588235292</v>
      </c>
      <c r="O40" s="137">
        <f t="shared" si="4"/>
        <v>0.95863970588235292</v>
      </c>
      <c r="P40" s="135">
        <f t="shared" si="5"/>
        <v>1</v>
      </c>
      <c r="Q40" s="136">
        <f t="shared" si="6"/>
        <v>0.96</v>
      </c>
      <c r="R40" s="78">
        <f>VLOOKUP(Q40,TABLA!$A$5:$D$16,4,1)</f>
        <v>0.95</v>
      </c>
      <c r="S40" s="55">
        <f>IFERROR(VLOOKUP(C40,CALIDAD!$AK$3:$AM$37,3,0),100%)</f>
        <v>1.0000000000000002</v>
      </c>
      <c r="T40" s="79">
        <f>VLOOKUP(S40,TABLA!$A$20:$D$29,4,1)</f>
        <v>1.1000000000000001</v>
      </c>
      <c r="U40" s="168">
        <f>VLOOKUP(A40,EQUIPO!$B$6:$E$19,2,0)</f>
        <v>2027.7777777777785</v>
      </c>
      <c r="V40" s="168">
        <f>VLOOKUP(A40,EQUIPO!$B$6:$E$19,3,0)</f>
        <v>2134</v>
      </c>
      <c r="W40" s="172">
        <f t="shared" si="7"/>
        <v>1.05</v>
      </c>
      <c r="X40" s="84">
        <f t="shared" si="8"/>
        <v>0</v>
      </c>
      <c r="Y40" s="58">
        <f>IF(AND(I40&gt;=1,E40="Especialista UAC"),VLOOKUP(W40,TABLA!$A$32:$D$36,4,1),0)/30*F40</f>
        <v>0</v>
      </c>
      <c r="Z40" s="59">
        <f t="shared" si="9"/>
        <v>0</v>
      </c>
      <c r="AA40" s="198"/>
      <c r="AB40" s="198"/>
      <c r="AC40" s="214"/>
      <c r="AD40" s="32"/>
      <c r="AE40" s="154"/>
      <c r="AF40" s="154"/>
    </row>
    <row r="41" spans="1:32" x14ac:dyDescent="0.2">
      <c r="A41" s="48" t="str">
        <f>VLOOKUP(C41,'PRODUCTIVIDAD UAC'!$H$21:$I$78,2,0)</f>
        <v>Impugnaciones</v>
      </c>
      <c r="B41" s="48" t="str">
        <f>VLOOKUP(A41,'PRODUCTIVIDAD UAC'!$B$3:$C$17,2,0)</f>
        <v>GALARZA GALARRETA MARIA TERESA</v>
      </c>
      <c r="C41" s="178">
        <v>50034651</v>
      </c>
      <c r="D41" s="50" t="str">
        <f>VLOOKUP(C41,Homologacion!$E$1:$F$130,2,0)</f>
        <v>AJEN MONTERO KIARA PATRICIA</v>
      </c>
      <c r="E41" s="31" t="str">
        <f>VLOOKUP(C41,Homologacion!$E$1:$G$130,3,0)</f>
        <v>Especialista UAC</v>
      </c>
      <c r="F41" s="173">
        <v>30</v>
      </c>
      <c r="G41" s="168">
        <f>VLOOKUP($C41,'PRODUCTIVIDAD UAC'!$K:$O,4,0)</f>
        <v>160</v>
      </c>
      <c r="H41" s="51">
        <f>VLOOKUP($C41,'PRODUCTIVIDAD UAC'!$K:$O,5,0)</f>
        <v>118</v>
      </c>
      <c r="I41" s="52">
        <f t="shared" si="0"/>
        <v>0.73750000000000004</v>
      </c>
      <c r="J41" s="61">
        <f t="shared" si="1"/>
        <v>0.36875000000000002</v>
      </c>
      <c r="K41" s="53">
        <f>IFERROR(VLOOKUP($C41,'SLA UAC'!$G:$I,3,0),0)</f>
        <v>97</v>
      </c>
      <c r="L41" s="51">
        <f>IFERROR(VLOOKUP($C41,'SLA UAC'!$G:$I,2,0),0)</f>
        <v>83</v>
      </c>
      <c r="M41" s="52">
        <f t="shared" si="2"/>
        <v>0.85567010309278346</v>
      </c>
      <c r="N41" s="54">
        <f t="shared" si="3"/>
        <v>0.42783505154639173</v>
      </c>
      <c r="O41" s="137">
        <f t="shared" si="4"/>
        <v>0.7965850515463917</v>
      </c>
      <c r="P41" s="135">
        <f t="shared" si="5"/>
        <v>1</v>
      </c>
      <c r="Q41" s="136">
        <f t="shared" si="6"/>
        <v>0.8</v>
      </c>
      <c r="R41" s="78">
        <f>VLOOKUP(Q41,TABLA!$A$5:$D$16,4,1)</f>
        <v>0.7</v>
      </c>
      <c r="S41" s="55">
        <f>IFERROR(VLOOKUP(C41,CALIDAD!$AK$3:$AM$37,3,0),100%)</f>
        <v>1</v>
      </c>
      <c r="T41" s="79">
        <f>VLOOKUP(S41,TABLA!$A$20:$D$29,4,1)</f>
        <v>1.1000000000000001</v>
      </c>
      <c r="U41" s="168">
        <f>VLOOKUP(A41,EQUIPO!$B$6:$E$19,2,0)</f>
        <v>568</v>
      </c>
      <c r="V41" s="168">
        <f>VLOOKUP(A41,EQUIPO!$B$6:$E$19,3,0)</f>
        <v>431</v>
      </c>
      <c r="W41" s="172">
        <f t="shared" si="7"/>
        <v>0.76</v>
      </c>
      <c r="X41" s="84">
        <f t="shared" si="8"/>
        <v>0</v>
      </c>
      <c r="Y41" s="58">
        <f>IF(AND(I41&gt;=1,E41="Especialista UAC"),VLOOKUP(W41,TABLA!$A$32:$D$36,4,1),0)/30*F41</f>
        <v>0</v>
      </c>
      <c r="Z41" s="59">
        <f t="shared" si="9"/>
        <v>0</v>
      </c>
      <c r="AA41" s="198"/>
      <c r="AB41" s="198"/>
      <c r="AC41" s="214"/>
      <c r="AD41" s="32"/>
      <c r="AE41" s="154"/>
      <c r="AF41" s="154"/>
    </row>
    <row r="42" spans="1:32" x14ac:dyDescent="0.2">
      <c r="A42" s="48" t="str">
        <f>VLOOKUP(C42,'PRODUCTIVIDAD UAC'!$H$21:$I$78,2,0)</f>
        <v>G7</v>
      </c>
      <c r="B42" s="48" t="str">
        <f>VLOOKUP(A42,'PRODUCTIVIDAD UAC'!$B$3:$C$17,2,0)</f>
        <v>PEREZ DIAZ ROSA MARIA</v>
      </c>
      <c r="C42" s="178">
        <v>50036060</v>
      </c>
      <c r="D42" s="50" t="str">
        <f>VLOOKUP(C42,Homologacion!$E$1:$F$130,2,0)</f>
        <v>SALAS CUBA CARMEN VALERA</v>
      </c>
      <c r="E42" s="31" t="str">
        <f>VLOOKUP(C42,Homologacion!$E$1:$G$130,3,0)</f>
        <v>Especialista UAC</v>
      </c>
      <c r="F42" s="173">
        <v>30</v>
      </c>
      <c r="G42" s="168">
        <f>VLOOKUP($C42,'PRODUCTIVIDAD UAC'!$K:$O,4,0)</f>
        <v>140</v>
      </c>
      <c r="H42" s="51">
        <f>VLOOKUP($C42,'PRODUCTIVIDAD UAC'!$K:$O,5,0)</f>
        <v>116</v>
      </c>
      <c r="I42" s="52">
        <f t="shared" si="0"/>
        <v>0.82857142857142863</v>
      </c>
      <c r="J42" s="61">
        <f t="shared" si="1"/>
        <v>0.41428571428571431</v>
      </c>
      <c r="K42" s="53">
        <f>IFERROR(VLOOKUP($C42,'SLA UAC'!$G:$I,3,0),0)</f>
        <v>0</v>
      </c>
      <c r="L42" s="51">
        <f>IFERROR(VLOOKUP($C42,'SLA UAC'!$G:$I,2,0),0)</f>
        <v>0</v>
      </c>
      <c r="M42" s="52">
        <f t="shared" si="2"/>
        <v>0</v>
      </c>
      <c r="N42" s="54">
        <f t="shared" si="3"/>
        <v>0</v>
      </c>
      <c r="O42" s="137">
        <f t="shared" si="4"/>
        <v>0.41428571428571431</v>
      </c>
      <c r="P42" s="135">
        <f t="shared" si="5"/>
        <v>0.5</v>
      </c>
      <c r="Q42" s="136">
        <f t="shared" si="6"/>
        <v>0.83</v>
      </c>
      <c r="R42" s="78">
        <f>VLOOKUP(Q42,TABLA!$A$5:$D$16,4,1)</f>
        <v>0.7</v>
      </c>
      <c r="S42" s="55">
        <f>IFERROR(VLOOKUP(C42,CALIDAD!$AK$3:$AM$37,3,0),100%)</f>
        <v>1</v>
      </c>
      <c r="T42" s="79">
        <f>VLOOKUP(S42,TABLA!$A$20:$D$29,4,1)</f>
        <v>1.1000000000000001</v>
      </c>
      <c r="U42" s="168">
        <f>VLOOKUP(A42,EQUIPO!$B$6:$E$19,2,0)</f>
        <v>621.5</v>
      </c>
      <c r="V42" s="168">
        <f>VLOOKUP(A42,EQUIPO!$B$6:$E$19,3,0)</f>
        <v>649</v>
      </c>
      <c r="W42" s="172">
        <f t="shared" si="7"/>
        <v>1.04</v>
      </c>
      <c r="X42" s="84">
        <f t="shared" si="8"/>
        <v>0</v>
      </c>
      <c r="Y42" s="58">
        <f>IF(AND(I42&gt;=1,E42="Especialista UAC"),VLOOKUP(W42,TABLA!$A$32:$D$36,4,1),0)/30*F42</f>
        <v>0</v>
      </c>
      <c r="Z42" s="59">
        <f t="shared" si="9"/>
        <v>0</v>
      </c>
      <c r="AA42" s="198"/>
      <c r="AB42" s="198"/>
      <c r="AC42" s="214"/>
      <c r="AD42" s="32"/>
      <c r="AE42" s="154"/>
      <c r="AF42" s="154"/>
    </row>
    <row r="43" spans="1:32" x14ac:dyDescent="0.2">
      <c r="A43" s="48" t="str">
        <f>VLOOKUP(C43,'PRODUCTIVIDAD UAC'!$H$21:$I$78,2,0)</f>
        <v>G8</v>
      </c>
      <c r="B43" s="48" t="str">
        <f>VLOOKUP(A43,'PRODUCTIVIDAD UAC'!$B$3:$C$17,2,0)</f>
        <v>PONCE ENCISO PABLO FERNANDO</v>
      </c>
      <c r="C43" s="178">
        <v>50044239</v>
      </c>
      <c r="D43" s="50" t="str">
        <f>VLOOKUP(C43,Homologacion!$E$1:$F$130,2,0)</f>
        <v>TARRILLO RAMOS ALAN ALBERTO</v>
      </c>
      <c r="E43" s="31" t="str">
        <f>VLOOKUP(C43,Homologacion!$E$1:$G$130,3,0)</f>
        <v>Apoyo UAC</v>
      </c>
      <c r="F43" s="173">
        <v>30</v>
      </c>
      <c r="G43" s="168">
        <f>VLOOKUP($C43,'PRODUCTIVIDAD UAC'!$K:$O,4,0)</f>
        <v>160</v>
      </c>
      <c r="H43" s="51">
        <f>VLOOKUP($C43,'PRODUCTIVIDAD UAC'!$K:$O,5,0)</f>
        <v>179</v>
      </c>
      <c r="I43" s="52">
        <f t="shared" si="0"/>
        <v>1.1187499999999999</v>
      </c>
      <c r="J43" s="61">
        <f t="shared" si="1"/>
        <v>0.55937499999999996</v>
      </c>
      <c r="K43" s="53">
        <f>IFERROR(VLOOKUP($C43,'SLA UAC'!$G:$I,3,0),0)</f>
        <v>174</v>
      </c>
      <c r="L43" s="51">
        <f>IFERROR(VLOOKUP($C43,'SLA UAC'!$G:$I,2,0),0)</f>
        <v>138</v>
      </c>
      <c r="M43" s="52">
        <f t="shared" si="2"/>
        <v>0.7931034482758621</v>
      </c>
      <c r="N43" s="54">
        <f t="shared" si="3"/>
        <v>0.39655172413793105</v>
      </c>
      <c r="O43" s="137">
        <f t="shared" si="4"/>
        <v>0.95592672413793101</v>
      </c>
      <c r="P43" s="135">
        <f t="shared" si="5"/>
        <v>1</v>
      </c>
      <c r="Q43" s="136">
        <f t="shared" si="6"/>
        <v>0.96</v>
      </c>
      <c r="R43" s="78">
        <f>VLOOKUP(Q43,TABLA!$A$5:$D$16,4,1)</f>
        <v>0.95</v>
      </c>
      <c r="S43" s="55">
        <f>IFERROR(VLOOKUP(C43,CALIDAD!$AK$3:$AM$37,3,0),100%)</f>
        <v>0</v>
      </c>
      <c r="T43" s="79">
        <f>VLOOKUP(S43,TABLA!$A$20:$D$29,4,1)</f>
        <v>0</v>
      </c>
      <c r="U43" s="168">
        <f>VLOOKUP(A43,EQUIPO!$B$6:$E$19,2,0)</f>
        <v>880</v>
      </c>
      <c r="V43" s="168">
        <f>VLOOKUP(A43,EQUIPO!$B$6:$E$19,3,0)</f>
        <v>807</v>
      </c>
      <c r="W43" s="172">
        <f t="shared" si="7"/>
        <v>0.92</v>
      </c>
      <c r="X43" s="84">
        <f t="shared" si="8"/>
        <v>0</v>
      </c>
      <c r="Y43" s="58">
        <f>IF(AND(I43&gt;=1,E43="Especialista UAC"),VLOOKUP(W43,TABLA!$A$32:$D$36,4,1),0)/30*F43</f>
        <v>0</v>
      </c>
      <c r="Z43" s="59">
        <f t="shared" si="9"/>
        <v>0</v>
      </c>
      <c r="AA43" s="198"/>
      <c r="AB43" s="198"/>
      <c r="AC43" s="214"/>
      <c r="AD43" s="32"/>
      <c r="AE43" s="154"/>
      <c r="AF43" s="154"/>
    </row>
    <row r="44" spans="1:32" x14ac:dyDescent="0.2">
      <c r="A44" s="48" t="str">
        <f>VLOOKUP(C44,'PRODUCTIVIDAD UAC'!$H$21:$I$78,2,0)</f>
        <v>G5</v>
      </c>
      <c r="B44" s="48" t="str">
        <f>VLOOKUP(A44,'PRODUCTIVIDAD UAC'!$B$3:$C$17,2,0)</f>
        <v>GALARZA GALARRETA MARIA TERESA</v>
      </c>
      <c r="C44" s="178">
        <v>50046341</v>
      </c>
      <c r="D44" s="50" t="str">
        <f>VLOOKUP(C44,Homologacion!$E$1:$F$130,2,0)</f>
        <v>COLOMER VALERA JESSICA DEL CARMEN</v>
      </c>
      <c r="E44" s="31" t="str">
        <f>VLOOKUP(C44,Homologacion!$E$1:$G$130,3,0)</f>
        <v>Especialista UAC</v>
      </c>
      <c r="F44" s="173">
        <v>28</v>
      </c>
      <c r="G44" s="168">
        <f>VLOOKUP($C44,'PRODUCTIVIDAD UAC'!$K:$O,4,0)</f>
        <v>133</v>
      </c>
      <c r="H44" s="51">
        <f>VLOOKUP($C44,'PRODUCTIVIDAD UAC'!$K:$O,5,0)</f>
        <v>115</v>
      </c>
      <c r="I44" s="52">
        <f t="shared" si="0"/>
        <v>0.86466165413533835</v>
      </c>
      <c r="J44" s="61">
        <f t="shared" si="1"/>
        <v>0.43233082706766918</v>
      </c>
      <c r="K44" s="53">
        <f>IFERROR(VLOOKUP($C44,'SLA UAC'!$G:$I,3,0),0)</f>
        <v>110</v>
      </c>
      <c r="L44" s="51">
        <f>IFERROR(VLOOKUP($C44,'SLA UAC'!$G:$I,2,0),0)</f>
        <v>108</v>
      </c>
      <c r="M44" s="52">
        <f t="shared" si="2"/>
        <v>0.98181818181818181</v>
      </c>
      <c r="N44" s="54">
        <f t="shared" si="3"/>
        <v>0.49090909090909091</v>
      </c>
      <c r="O44" s="137">
        <f t="shared" si="4"/>
        <v>0.92323991797676008</v>
      </c>
      <c r="P44" s="135">
        <f t="shared" si="5"/>
        <v>1</v>
      </c>
      <c r="Q44" s="136">
        <f t="shared" si="6"/>
        <v>0.92</v>
      </c>
      <c r="R44" s="78">
        <f>VLOOKUP(Q44,TABLA!$A$5:$D$16,4,1)</f>
        <v>0.9</v>
      </c>
      <c r="S44" s="55">
        <f>IFERROR(VLOOKUP(C44,CALIDAD!$AK$3:$AM$37,3,0),100%)</f>
        <v>1</v>
      </c>
      <c r="T44" s="79">
        <f>VLOOKUP(S44,TABLA!$A$20:$D$29,4,1)</f>
        <v>1.1000000000000001</v>
      </c>
      <c r="U44" s="168">
        <f>VLOOKUP(A44,EQUIPO!$B$6:$E$19,2,0)</f>
        <v>133</v>
      </c>
      <c r="V44" s="168">
        <f>VLOOKUP(A44,EQUIPO!$B$6:$E$19,3,0)</f>
        <v>115</v>
      </c>
      <c r="W44" s="172">
        <f t="shared" si="7"/>
        <v>0.86</v>
      </c>
      <c r="X44" s="84">
        <f t="shared" si="8"/>
        <v>0</v>
      </c>
      <c r="Y44" s="58">
        <f>IF(AND(I44&gt;=1,E44="Especialista UAC"),VLOOKUP(W44,TABLA!$A$32:$D$36,4,1),0)/30*F44</f>
        <v>0</v>
      </c>
      <c r="Z44" s="59">
        <f t="shared" si="9"/>
        <v>0</v>
      </c>
      <c r="AA44" s="198"/>
      <c r="AB44" s="198"/>
      <c r="AC44" s="214"/>
      <c r="AD44" s="32"/>
      <c r="AE44" s="154"/>
      <c r="AF44" s="154"/>
    </row>
    <row r="45" spans="1:32" x14ac:dyDescent="0.2">
      <c r="A45" s="48" t="str">
        <f>VLOOKUP(C45,'PRODUCTIVIDAD UAC'!$H$21:$I$78,2,0)</f>
        <v>G1</v>
      </c>
      <c r="B45" s="48" t="str">
        <f>VLOOKUP(A45,'PRODUCTIVIDAD UAC'!$B$3:$C$17,2,0)</f>
        <v>PONCE ENCISO PABLO FERNANDO</v>
      </c>
      <c r="C45" s="178">
        <v>50050491</v>
      </c>
      <c r="D45" s="50" t="str">
        <f>VLOOKUP(C45,Homologacion!$E$1:$F$130,2,0)</f>
        <v>SALDAÑA PAREDES JHONATAN JOSUE</v>
      </c>
      <c r="E45" s="31" t="str">
        <f>VLOOKUP(C45,Homologacion!$E$1:$G$130,3,0)</f>
        <v>Apoyo UAC</v>
      </c>
      <c r="F45" s="173">
        <v>29</v>
      </c>
      <c r="G45" s="168">
        <f>VLOOKUP($C45,'PRODUCTIVIDAD UAC'!$K:$O,4,0)</f>
        <v>475</v>
      </c>
      <c r="H45" s="51">
        <f>VLOOKUP($C45,'PRODUCTIVIDAD UAC'!$K:$O,5,0)</f>
        <v>334</v>
      </c>
      <c r="I45" s="52">
        <f t="shared" si="0"/>
        <v>0.70315789473684209</v>
      </c>
      <c r="J45" s="61">
        <f t="shared" si="1"/>
        <v>0.35157894736842105</v>
      </c>
      <c r="K45" s="53">
        <f>IFERROR(VLOOKUP($C45,'SLA UAC'!$G:$I,3,0),0)</f>
        <v>327</v>
      </c>
      <c r="L45" s="51">
        <f>IFERROR(VLOOKUP($C45,'SLA UAC'!$G:$I,2,0),0)</f>
        <v>213</v>
      </c>
      <c r="M45" s="52">
        <f t="shared" si="2"/>
        <v>0.65137614678899081</v>
      </c>
      <c r="N45" s="54">
        <f t="shared" si="3"/>
        <v>0.3256880733944954</v>
      </c>
      <c r="O45" s="137">
        <f t="shared" si="4"/>
        <v>0.67726702076291645</v>
      </c>
      <c r="P45" s="135">
        <f t="shared" si="5"/>
        <v>1</v>
      </c>
      <c r="Q45" s="136">
        <f t="shared" si="6"/>
        <v>0.68</v>
      </c>
      <c r="R45" s="78">
        <f>VLOOKUP(Q45,TABLA!$A$5:$D$16,4,1)</f>
        <v>0.6</v>
      </c>
      <c r="S45" s="55">
        <f>IFERROR(VLOOKUP(C45,CALIDAD!$AK$3:$AM$37,3,0),100%)</f>
        <v>0</v>
      </c>
      <c r="T45" s="79">
        <f>VLOOKUP(S45,TABLA!$A$20:$D$29,4,1)</f>
        <v>0</v>
      </c>
      <c r="U45" s="168">
        <f>VLOOKUP(A45,EQUIPO!$B$6:$E$19,2,0)</f>
        <v>2200</v>
      </c>
      <c r="V45" s="168">
        <f>VLOOKUP(A45,EQUIPO!$B$6:$E$19,3,0)</f>
        <v>1728</v>
      </c>
      <c r="W45" s="172">
        <f t="shared" si="7"/>
        <v>0.79</v>
      </c>
      <c r="X45" s="84">
        <f t="shared" si="8"/>
        <v>0</v>
      </c>
      <c r="Y45" s="58">
        <f>IF(AND(I45&gt;=1,E45="Especialista UAC"),VLOOKUP(W45,TABLA!$A$32:$D$36,4,1),0)/30*F45</f>
        <v>0</v>
      </c>
      <c r="Z45" s="59">
        <f t="shared" si="9"/>
        <v>0</v>
      </c>
      <c r="AA45" s="198"/>
      <c r="AB45" s="198"/>
      <c r="AC45" s="214"/>
      <c r="AD45" s="32"/>
      <c r="AE45" s="154"/>
      <c r="AF45" s="154"/>
    </row>
    <row r="46" spans="1:32" x14ac:dyDescent="0.2">
      <c r="A46" s="48" t="str">
        <f>VLOOKUP(C46,'PRODUCTIVIDAD UAC'!$H$21:$I$78,2,0)</f>
        <v>G9</v>
      </c>
      <c r="B46" s="48" t="str">
        <f>VLOOKUP(A46,'PRODUCTIVIDAD UAC'!$B$3:$C$17,2,0)</f>
        <v>ROBALINO CALLA HILDA MARISOL</v>
      </c>
      <c r="C46" s="178">
        <v>50050962</v>
      </c>
      <c r="D46" s="50" t="str">
        <f>VLOOKUP(C46,Homologacion!$E$1:$F$130,2,0)</f>
        <v>VILLANUEVA RAMIREZ ALIS SHIRLEY</v>
      </c>
      <c r="E46" s="31" t="str">
        <f>VLOOKUP(C46,Homologacion!$E$1:$G$130,3,0)</f>
        <v>Apoyo UAC</v>
      </c>
      <c r="F46" s="173">
        <v>30</v>
      </c>
      <c r="G46" s="168">
        <f>VLOOKUP($C46,'PRODUCTIVIDAD UAC'!$K:$O,4,0)</f>
        <v>160</v>
      </c>
      <c r="H46" s="51">
        <f>VLOOKUP($C46,'PRODUCTIVIDAD UAC'!$K:$O,5,0)</f>
        <v>192</v>
      </c>
      <c r="I46" s="52">
        <f t="shared" si="0"/>
        <v>1.2</v>
      </c>
      <c r="J46" s="61">
        <f t="shared" si="1"/>
        <v>0.6</v>
      </c>
      <c r="K46" s="53">
        <f>IFERROR(VLOOKUP($C46,'SLA UAC'!$G:$I,3,0),0)</f>
        <v>148</v>
      </c>
      <c r="L46" s="51">
        <f>IFERROR(VLOOKUP($C46,'SLA UAC'!$G:$I,2,0),0)</f>
        <v>135</v>
      </c>
      <c r="M46" s="52">
        <f t="shared" si="2"/>
        <v>0.91216216216216217</v>
      </c>
      <c r="N46" s="54">
        <f t="shared" si="3"/>
        <v>0.45608108108108109</v>
      </c>
      <c r="O46" s="137">
        <f t="shared" si="4"/>
        <v>1.056081081081081</v>
      </c>
      <c r="P46" s="135">
        <f t="shared" si="5"/>
        <v>1</v>
      </c>
      <c r="Q46" s="136">
        <f t="shared" si="6"/>
        <v>1.06</v>
      </c>
      <c r="R46" s="78">
        <f>VLOOKUP(Q46,TABLA!$A$5:$D$16,4,1)</f>
        <v>1.1000000000000001</v>
      </c>
      <c r="S46" s="55">
        <f>IFERROR(VLOOKUP(C46,CALIDAD!$AK$3:$AM$37,3,0),100%)</f>
        <v>0.95000000000000018</v>
      </c>
      <c r="T46" s="79">
        <f>VLOOKUP(S46,TABLA!$A$20:$D$29,4,1)</f>
        <v>1</v>
      </c>
      <c r="U46" s="168">
        <f>VLOOKUP(A46,EQUIPO!$B$6:$E$19,2,0)</f>
        <v>2027.7777777777785</v>
      </c>
      <c r="V46" s="168">
        <f>VLOOKUP(A46,EQUIPO!$B$6:$E$19,3,0)</f>
        <v>2134</v>
      </c>
      <c r="W46" s="172">
        <f t="shared" si="7"/>
        <v>1.05</v>
      </c>
      <c r="X46" s="84">
        <f t="shared" si="8"/>
        <v>0</v>
      </c>
      <c r="Y46" s="58">
        <f>IF(AND(I46&gt;=1,E46="Especialista UAC"),VLOOKUP(W46,TABLA!$A$32:$D$36,4,1),0)/30*F46</f>
        <v>0</v>
      </c>
      <c r="Z46" s="59">
        <f t="shared" si="9"/>
        <v>0</v>
      </c>
      <c r="AA46" s="198"/>
      <c r="AB46" s="198"/>
      <c r="AC46" s="214"/>
      <c r="AD46" s="32"/>
      <c r="AE46" s="154"/>
      <c r="AF46" s="154"/>
    </row>
    <row r="47" spans="1:32" x14ac:dyDescent="0.2">
      <c r="A47" s="48" t="str">
        <f>VLOOKUP(C47,'PRODUCTIVIDAD UAC'!$H$21:$I$78,2,0)</f>
        <v>G1</v>
      </c>
      <c r="B47" s="48" t="str">
        <f>VLOOKUP(A47,'PRODUCTIVIDAD UAC'!$B$3:$C$17,2,0)</f>
        <v>PONCE ENCISO PABLO FERNANDO</v>
      </c>
      <c r="C47" s="178">
        <v>50071349</v>
      </c>
      <c r="D47" s="50" t="str">
        <f>VLOOKUP(C47,Homologacion!$E$1:$F$130,2,0)</f>
        <v>ALVARADO SOLDEVILLA VANESSA</v>
      </c>
      <c r="E47" s="31" t="str">
        <f>VLOOKUP(C47,Homologacion!$E$1:$G$130,3,0)</f>
        <v>Apoyo UAC</v>
      </c>
      <c r="F47" s="173">
        <v>22</v>
      </c>
      <c r="G47" s="168">
        <f>VLOOKUP($C47,'PRODUCTIVIDAD UAC'!$K:$O,4,0)</f>
        <v>350</v>
      </c>
      <c r="H47" s="51">
        <f>VLOOKUP($C47,'PRODUCTIVIDAD UAC'!$K:$O,5,0)</f>
        <v>248</v>
      </c>
      <c r="I47" s="52">
        <f t="shared" si="0"/>
        <v>0.70857142857142852</v>
      </c>
      <c r="J47" s="61">
        <f t="shared" si="1"/>
        <v>0.35428571428571426</v>
      </c>
      <c r="K47" s="53">
        <f>IFERROR(VLOOKUP($C47,'SLA UAC'!$G:$I,3,0),0)</f>
        <v>246</v>
      </c>
      <c r="L47" s="51">
        <f>IFERROR(VLOOKUP($C47,'SLA UAC'!$G:$I,2,0),0)</f>
        <v>228</v>
      </c>
      <c r="M47" s="52">
        <f t="shared" si="2"/>
        <v>0.92682926829268297</v>
      </c>
      <c r="N47" s="54">
        <f t="shared" si="3"/>
        <v>0.46341463414634149</v>
      </c>
      <c r="O47" s="137">
        <f t="shared" si="4"/>
        <v>0.81770034843205575</v>
      </c>
      <c r="P47" s="135">
        <f t="shared" si="5"/>
        <v>1</v>
      </c>
      <c r="Q47" s="136">
        <f t="shared" si="6"/>
        <v>0.82</v>
      </c>
      <c r="R47" s="78">
        <f>VLOOKUP(Q47,TABLA!$A$5:$D$16,4,1)</f>
        <v>0.7</v>
      </c>
      <c r="S47" s="55">
        <f>IFERROR(VLOOKUP(C47,CALIDAD!$AK$3:$AM$37,3,0),100%)</f>
        <v>0.92000000000000015</v>
      </c>
      <c r="T47" s="79">
        <f>VLOOKUP(S47,TABLA!$A$20:$D$29,4,1)</f>
        <v>0.9</v>
      </c>
      <c r="U47" s="168">
        <f>VLOOKUP(A47,EQUIPO!$B$6:$E$19,2,0)</f>
        <v>2200</v>
      </c>
      <c r="V47" s="168">
        <f>VLOOKUP(A47,EQUIPO!$B$6:$E$19,3,0)</f>
        <v>1728</v>
      </c>
      <c r="W47" s="172">
        <f t="shared" si="7"/>
        <v>0.79</v>
      </c>
      <c r="X47" s="84">
        <f t="shared" si="8"/>
        <v>0</v>
      </c>
      <c r="Y47" s="58">
        <f>IF(AND(I47&gt;=1,E47="Especialista UAC"),VLOOKUP(W47,TABLA!$A$32:$D$36,4,1),0)/30*F47</f>
        <v>0</v>
      </c>
      <c r="Z47" s="59">
        <f t="shared" si="9"/>
        <v>0</v>
      </c>
      <c r="AA47" s="198"/>
      <c r="AB47" s="198"/>
      <c r="AC47" s="214"/>
      <c r="AD47" s="32"/>
      <c r="AE47" s="154"/>
      <c r="AF47" s="154"/>
    </row>
    <row r="48" spans="1:32" x14ac:dyDescent="0.2">
      <c r="A48" s="48" t="str">
        <f>VLOOKUP(C48,'PRODUCTIVIDAD UAC'!$H$21:$I$78,2,0)</f>
        <v>G2</v>
      </c>
      <c r="B48" s="48" t="str">
        <f>VLOOKUP(A48,'PRODUCTIVIDAD UAC'!$B$3:$C$17,2,0)</f>
        <v>PEREZ DIAZ ROSA MARIA</v>
      </c>
      <c r="C48" s="178">
        <v>50075738</v>
      </c>
      <c r="D48" s="50" t="str">
        <f>VLOOKUP(C48,Homologacion!$E$1:$F$130,2,0)</f>
        <v>LOAYZA ALLCA BRITT JOANA</v>
      </c>
      <c r="E48" s="31" t="str">
        <f>VLOOKUP(C48,Homologacion!$E$1:$G$130,3,0)</f>
        <v>Apoyo UAC</v>
      </c>
      <c r="F48" s="173">
        <v>14</v>
      </c>
      <c r="G48" s="168">
        <f>VLOOKUP($C48,'PRODUCTIVIDAD UAC'!$K:$O,4,0)</f>
        <v>240</v>
      </c>
      <c r="H48" s="51">
        <f>VLOOKUP($C48,'PRODUCTIVIDAD UAC'!$K:$O,5,0)</f>
        <v>263</v>
      </c>
      <c r="I48" s="52">
        <f t="shared" si="0"/>
        <v>1.0958333333333334</v>
      </c>
      <c r="J48" s="61">
        <f t="shared" si="1"/>
        <v>0.54791666666666672</v>
      </c>
      <c r="K48" s="53">
        <f>IFERROR(VLOOKUP($C48,'SLA UAC'!$G:$I,3,0),0)</f>
        <v>250</v>
      </c>
      <c r="L48" s="51">
        <f>IFERROR(VLOOKUP($C48,'SLA UAC'!$G:$I,2,0),0)</f>
        <v>246</v>
      </c>
      <c r="M48" s="52">
        <f t="shared" si="2"/>
        <v>0.98399999999999999</v>
      </c>
      <c r="N48" s="54">
        <f t="shared" si="3"/>
        <v>0.49199999999999999</v>
      </c>
      <c r="O48" s="137">
        <f t="shared" si="4"/>
        <v>1.0399166666666666</v>
      </c>
      <c r="P48" s="135">
        <f t="shared" si="5"/>
        <v>1</v>
      </c>
      <c r="Q48" s="136">
        <f t="shared" si="6"/>
        <v>1.04</v>
      </c>
      <c r="R48" s="78">
        <f>VLOOKUP(Q48,TABLA!$A$5:$D$16,4,1)</f>
        <v>1.05</v>
      </c>
      <c r="S48" s="55">
        <f>IFERROR(VLOOKUP(C48,CALIDAD!$AK$3:$AM$37,3,0),100%)</f>
        <v>1</v>
      </c>
      <c r="T48" s="79">
        <f>VLOOKUP(S48,TABLA!$A$20:$D$29,4,1)</f>
        <v>1.1000000000000001</v>
      </c>
      <c r="U48" s="168">
        <f>VLOOKUP(A48,EQUIPO!$B$6:$E$19,2,0)</f>
        <v>1198</v>
      </c>
      <c r="V48" s="168">
        <f>VLOOKUP(A48,EQUIPO!$B$6:$E$19,3,0)</f>
        <v>1295</v>
      </c>
      <c r="W48" s="172">
        <f t="shared" si="7"/>
        <v>1.08</v>
      </c>
      <c r="X48" s="84">
        <f t="shared" si="8"/>
        <v>0</v>
      </c>
      <c r="Y48" s="58">
        <f>IF(AND(I48&gt;=1,E48="Especialista UAC"),VLOOKUP(W48,TABLA!$A$32:$D$36,4,1),0)/30*F48</f>
        <v>0</v>
      </c>
      <c r="Z48" s="59">
        <f t="shared" si="9"/>
        <v>0</v>
      </c>
      <c r="AA48" s="198"/>
      <c r="AB48" s="198"/>
      <c r="AC48" s="214"/>
      <c r="AD48" s="32"/>
      <c r="AE48" s="154"/>
      <c r="AF48" s="154"/>
    </row>
    <row r="49" spans="1:32" x14ac:dyDescent="0.2">
      <c r="A49" s="48" t="str">
        <f>VLOOKUP(C49,'PRODUCTIVIDAD UAC'!$H$21:$I$78,2,0)</f>
        <v>G9</v>
      </c>
      <c r="B49" s="48" t="str">
        <f>VLOOKUP(A49,'PRODUCTIVIDAD UAC'!$B$3:$C$17,2,0)</f>
        <v>ROBALINO CALLA HILDA MARISOL</v>
      </c>
      <c r="C49" s="178">
        <v>50083096</v>
      </c>
      <c r="D49" s="50" t="str">
        <f>VLOOKUP(C49,Homologacion!$E$1:$F$130,2,0)</f>
        <v>RODAS DIAZ RICHARD WILLIAM</v>
      </c>
      <c r="E49" s="31" t="str">
        <f>VLOOKUP(C49,Homologacion!$E$1:$G$130,3,0)</f>
        <v>Apoyo UAC</v>
      </c>
      <c r="F49" s="173">
        <v>15</v>
      </c>
      <c r="G49" s="168">
        <f>VLOOKUP($C49,'PRODUCTIVIDAD UAC'!$K:$O,4,0)</f>
        <v>70</v>
      </c>
      <c r="H49" s="51">
        <f>VLOOKUP($C49,'PRODUCTIVIDAD UAC'!$K:$O,5,0)</f>
        <v>64</v>
      </c>
      <c r="I49" s="52">
        <f t="shared" si="0"/>
        <v>0.91428571428571426</v>
      </c>
      <c r="J49" s="61">
        <f t="shared" si="1"/>
        <v>0.45714285714285713</v>
      </c>
      <c r="K49" s="53">
        <f>IFERROR(VLOOKUP($C49,'SLA UAC'!$G:$I,3,0),0)</f>
        <v>59</v>
      </c>
      <c r="L49" s="51">
        <f>IFERROR(VLOOKUP($C49,'SLA UAC'!$G:$I,2,0),0)</f>
        <v>53</v>
      </c>
      <c r="M49" s="52">
        <f t="shared" si="2"/>
        <v>0.89830508474576276</v>
      </c>
      <c r="N49" s="54">
        <f t="shared" si="3"/>
        <v>0.44915254237288138</v>
      </c>
      <c r="O49" s="137">
        <f t="shared" si="4"/>
        <v>0.90629539951573856</v>
      </c>
      <c r="P49" s="135">
        <f t="shared" si="5"/>
        <v>1</v>
      </c>
      <c r="Q49" s="136">
        <f t="shared" si="6"/>
        <v>0.91</v>
      </c>
      <c r="R49" s="78">
        <f>VLOOKUP(Q49,TABLA!$A$5:$D$16,4,1)</f>
        <v>0.9</v>
      </c>
      <c r="S49" s="55">
        <f>IFERROR(VLOOKUP(C49,CALIDAD!$AK$3:$AM$37,3,0),100%)</f>
        <v>1</v>
      </c>
      <c r="T49" s="79">
        <f>VLOOKUP(S49,TABLA!$A$20:$D$29,4,1)</f>
        <v>1.1000000000000001</v>
      </c>
      <c r="U49" s="168">
        <f>VLOOKUP(A49,EQUIPO!$B$6:$E$19,2,0)</f>
        <v>2027.7777777777785</v>
      </c>
      <c r="V49" s="168">
        <f>VLOOKUP(A49,EQUIPO!$B$6:$E$19,3,0)</f>
        <v>2134</v>
      </c>
      <c r="W49" s="172">
        <f t="shared" si="7"/>
        <v>1.05</v>
      </c>
      <c r="X49" s="84">
        <f t="shared" si="8"/>
        <v>0</v>
      </c>
      <c r="Y49" s="58">
        <f>IF(AND(I49&gt;=1,E49="Especialista UAC"),VLOOKUP(W49,TABLA!$A$32:$D$36,4,1),0)/30*F49</f>
        <v>0</v>
      </c>
      <c r="Z49" s="59">
        <f t="shared" si="9"/>
        <v>0</v>
      </c>
      <c r="AA49" s="198"/>
      <c r="AB49" s="198"/>
      <c r="AC49" s="214"/>
      <c r="AD49" s="32"/>
      <c r="AE49" s="154"/>
      <c r="AF49" s="154"/>
    </row>
    <row r="50" spans="1:32" x14ac:dyDescent="0.2">
      <c r="A50" s="48" t="str">
        <f>VLOOKUP(C50,'PRODUCTIVIDAD UAC'!$H$21:$I$78,2,0)</f>
        <v>G2</v>
      </c>
      <c r="B50" s="48" t="str">
        <f>VLOOKUP(A50,'PRODUCTIVIDAD UAC'!$B$3:$C$17,2,0)</f>
        <v>PEREZ DIAZ ROSA MARIA</v>
      </c>
      <c r="C50" s="178">
        <v>50097856</v>
      </c>
      <c r="D50" s="50" t="str">
        <f>VLOOKUP(C50,Homologacion!$E$1:$F$130,2,0)</f>
        <v>GIRON SANTOS GIANCARLOS LEONCIO</v>
      </c>
      <c r="E50" s="31" t="str">
        <f>VLOOKUP(C50,Homologacion!$E$1:$G$130,3,0)</f>
        <v>Apoyo UAC</v>
      </c>
      <c r="F50" s="173">
        <v>30</v>
      </c>
      <c r="G50" s="168">
        <f>VLOOKUP($C50,'PRODUCTIVIDAD UAC'!$K:$O,4,0)</f>
        <v>600</v>
      </c>
      <c r="H50" s="51">
        <f>VLOOKUP($C50,'PRODUCTIVIDAD UAC'!$K:$O,5,0)</f>
        <v>670</v>
      </c>
      <c r="I50" s="52">
        <f t="shared" si="0"/>
        <v>1.1166666666666667</v>
      </c>
      <c r="J50" s="61">
        <f t="shared" si="1"/>
        <v>0.55833333333333335</v>
      </c>
      <c r="K50" s="53">
        <f>IFERROR(VLOOKUP($C50,'SLA UAC'!$G:$I,3,0),0)</f>
        <v>653</v>
      </c>
      <c r="L50" s="51">
        <f>IFERROR(VLOOKUP($C50,'SLA UAC'!$G:$I,2,0),0)</f>
        <v>648</v>
      </c>
      <c r="M50" s="52">
        <f t="shared" si="2"/>
        <v>0.99234303215926489</v>
      </c>
      <c r="N50" s="54">
        <f t="shared" si="3"/>
        <v>0.49617151607963245</v>
      </c>
      <c r="O50" s="137">
        <f t="shared" si="4"/>
        <v>1.0545048494129659</v>
      </c>
      <c r="P50" s="135">
        <f t="shared" si="5"/>
        <v>1</v>
      </c>
      <c r="Q50" s="136">
        <f t="shared" si="6"/>
        <v>1.05</v>
      </c>
      <c r="R50" s="78">
        <f>VLOOKUP(Q50,TABLA!$A$5:$D$16,4,1)</f>
        <v>1.05</v>
      </c>
      <c r="S50" s="55">
        <f>IFERROR(VLOOKUP(C50,CALIDAD!$AK$3:$AM$37,3,0),100%)</f>
        <v>0.90000000000000013</v>
      </c>
      <c r="T50" s="79">
        <f>VLOOKUP(S50,TABLA!$A$20:$D$29,4,1)</f>
        <v>0.9</v>
      </c>
      <c r="U50" s="168">
        <f>VLOOKUP(A50,EQUIPO!$B$6:$E$19,2,0)</f>
        <v>1198</v>
      </c>
      <c r="V50" s="168">
        <f>VLOOKUP(A50,EQUIPO!$B$6:$E$19,3,0)</f>
        <v>1295</v>
      </c>
      <c r="W50" s="172">
        <f t="shared" si="7"/>
        <v>1.08</v>
      </c>
      <c r="X50" s="84">
        <f t="shared" si="8"/>
        <v>0</v>
      </c>
      <c r="Y50" s="58">
        <f>IF(AND(I50&gt;=1,E50="Especialista UAC"),VLOOKUP(W50,TABLA!$A$32:$D$36,4,1),0)/30*F50</f>
        <v>0</v>
      </c>
      <c r="Z50" s="59">
        <f t="shared" si="9"/>
        <v>0</v>
      </c>
      <c r="AA50" s="198"/>
      <c r="AB50" s="198"/>
      <c r="AC50" s="214"/>
      <c r="AD50" s="32"/>
      <c r="AE50" s="154"/>
      <c r="AF50" s="154"/>
    </row>
    <row r="51" spans="1:32" x14ac:dyDescent="0.2">
      <c r="A51" s="48" t="str">
        <f>VLOOKUP(C51,'PRODUCTIVIDAD UAC'!$H$21:$I$78,2,0)</f>
        <v>Masivos</v>
      </c>
      <c r="B51" s="48" t="str">
        <f>VLOOKUP(A51,'PRODUCTIVIDAD UAC'!$B$3:$C$17,2,0)</f>
        <v>GALARZA GALARRETA MARIA TERESA</v>
      </c>
      <c r="C51" s="178">
        <v>50016617</v>
      </c>
      <c r="D51" s="50" t="str">
        <f>VLOOKUP(C51,Homologacion!$E$1:$F$130,2,0)</f>
        <v>CORDOVA LI JANNIZ PATRICIA</v>
      </c>
      <c r="E51" s="31" t="str">
        <f>VLOOKUP(C51,Homologacion!$E$1:$G$130,3,0)</f>
        <v>Especialista UAC</v>
      </c>
      <c r="F51" s="173">
        <v>27</v>
      </c>
      <c r="G51" s="168">
        <f>VLOOKUP($C51,'PRODUCTIVIDAD UAC'!$K:$O,4,0)</f>
        <v>85</v>
      </c>
      <c r="H51" s="51">
        <f>VLOOKUP($C51,'PRODUCTIVIDAD UAC'!$K:$O,5,0)</f>
        <v>84</v>
      </c>
      <c r="I51" s="52">
        <f t="shared" si="0"/>
        <v>0.9882352941176471</v>
      </c>
      <c r="J51" s="61">
        <f t="shared" si="1"/>
        <v>0.49411764705882355</v>
      </c>
      <c r="K51" s="53">
        <f>IFERROR(VLOOKUP($C51,'SLA UAC'!$G:$I,3,0),0)</f>
        <v>80</v>
      </c>
      <c r="L51" s="51">
        <f>IFERROR(VLOOKUP($C51,'SLA UAC'!$G:$I,2,0),0)</f>
        <v>76</v>
      </c>
      <c r="M51" s="52">
        <f t="shared" si="2"/>
        <v>0.95</v>
      </c>
      <c r="N51" s="54">
        <f t="shared" si="3"/>
        <v>0.47499999999999998</v>
      </c>
      <c r="O51" s="137">
        <f t="shared" si="4"/>
        <v>0.96911764705882353</v>
      </c>
      <c r="P51" s="135">
        <f t="shared" si="5"/>
        <v>1</v>
      </c>
      <c r="Q51" s="136">
        <f t="shared" si="6"/>
        <v>0.97</v>
      </c>
      <c r="R51" s="78">
        <f>VLOOKUP(Q51,TABLA!$A$5:$D$16,4,1)</f>
        <v>0.95</v>
      </c>
      <c r="S51" s="55">
        <f>IFERROR(VLOOKUP(C51,CALIDAD!$AK$3:$AM$37,3,0),100%)</f>
        <v>1</v>
      </c>
      <c r="T51" s="79">
        <f>VLOOKUP(S51,TABLA!$A$20:$D$29,4,1)</f>
        <v>1.1000000000000001</v>
      </c>
      <c r="U51" s="168">
        <f>VLOOKUP(A51,EQUIPO!$B$6:$E$19,2,0)</f>
        <v>85</v>
      </c>
      <c r="V51" s="168">
        <f>VLOOKUP(A51,EQUIPO!$B$6:$E$19,3,0)</f>
        <v>84</v>
      </c>
      <c r="W51" s="172">
        <f t="shared" si="7"/>
        <v>0.99</v>
      </c>
      <c r="X51" s="84">
        <f t="shared" si="8"/>
        <v>0</v>
      </c>
      <c r="Y51" s="58">
        <f>IF(AND(I51&gt;=1,E51="Especialista UAC"),VLOOKUP(W51,TABLA!$A$32:$D$36,4,1),0)/30*F51</f>
        <v>0</v>
      </c>
      <c r="Z51" s="59">
        <f t="shared" si="9"/>
        <v>0</v>
      </c>
      <c r="AA51" s="198"/>
      <c r="AB51" s="198"/>
      <c r="AC51" s="214"/>
      <c r="AD51" s="32"/>
      <c r="AE51" s="154"/>
      <c r="AF51" s="154"/>
    </row>
    <row r="52" spans="1:32" x14ac:dyDescent="0.2">
      <c r="A52" s="48" t="str">
        <f>VLOOKUP(C52,'PRODUCTIVIDAD UAC'!$H$21:$I$78,2,0)</f>
        <v>G3</v>
      </c>
      <c r="B52" s="48" t="str">
        <f>VLOOKUP(A52,'PRODUCTIVIDAD UAC'!$B$3:$C$17,2,0)</f>
        <v>PEREZ DIAZ ROSA MARIA</v>
      </c>
      <c r="C52" s="178">
        <v>7024375</v>
      </c>
      <c r="D52" s="50" t="str">
        <f>VLOOKUP(C52,Homologacion!$E$1:$F$130,2,0)</f>
        <v>GUTIERREZ CHIRI ENRIQUE ALEXIS</v>
      </c>
      <c r="E52" s="31" t="str">
        <f>VLOOKUP(C52,Homologacion!$E$1:$G$130,3,0)</f>
        <v>Apoyo UAC</v>
      </c>
      <c r="F52" s="173">
        <v>30</v>
      </c>
      <c r="G52" s="168">
        <f>VLOOKUP($C52,'PRODUCTIVIDAD UAC'!$K:$O,4,0)</f>
        <v>140</v>
      </c>
      <c r="H52" s="51">
        <f>VLOOKUP($C52,'PRODUCTIVIDAD UAC'!$K:$O,5,0)</f>
        <v>96</v>
      </c>
      <c r="I52" s="52">
        <f t="shared" si="0"/>
        <v>0.68571428571428572</v>
      </c>
      <c r="J52" s="61">
        <f t="shared" si="1"/>
        <v>0.34285714285714286</v>
      </c>
      <c r="K52" s="53">
        <f>IFERROR(VLOOKUP($C52,'SLA UAC'!$G:$I,3,0),0)</f>
        <v>0</v>
      </c>
      <c r="L52" s="51">
        <f>IFERROR(VLOOKUP($C52,'SLA UAC'!$G:$I,2,0),0)</f>
        <v>0</v>
      </c>
      <c r="M52" s="52">
        <f t="shared" si="2"/>
        <v>0</v>
      </c>
      <c r="N52" s="54">
        <f t="shared" si="3"/>
        <v>0</v>
      </c>
      <c r="O52" s="137">
        <f t="shared" si="4"/>
        <v>0.34285714285714286</v>
      </c>
      <c r="P52" s="135">
        <f t="shared" si="5"/>
        <v>0.5</v>
      </c>
      <c r="Q52" s="136">
        <f t="shared" si="6"/>
        <v>0.69</v>
      </c>
      <c r="R52" s="78">
        <f>VLOOKUP(Q52,TABLA!$A$5:$D$16,4,1)</f>
        <v>0.6</v>
      </c>
      <c r="S52" s="55">
        <f>IFERROR(VLOOKUP(C52,CALIDAD!$AK$3:$AM$37,3,0),100%)</f>
        <v>0.94000000000000017</v>
      </c>
      <c r="T52" s="79">
        <f>VLOOKUP(S52,TABLA!$A$20:$D$29,4,1)</f>
        <v>0.95</v>
      </c>
      <c r="U52" s="168">
        <f>VLOOKUP(A52,EQUIPO!$B$6:$E$19,2,0)</f>
        <v>1256.8888888888889</v>
      </c>
      <c r="V52" s="168">
        <f>VLOOKUP(A52,EQUIPO!$B$6:$E$19,3,0)</f>
        <v>964</v>
      </c>
      <c r="W52" s="172">
        <f t="shared" si="7"/>
        <v>0.77</v>
      </c>
      <c r="X52" s="84">
        <f t="shared" si="8"/>
        <v>0</v>
      </c>
      <c r="Y52" s="58">
        <f>IF(AND(I52&gt;=1,E52="Especialista UAC"),VLOOKUP(W52,TABLA!$A$32:$D$36,4,1),0)/30*F52</f>
        <v>0</v>
      </c>
      <c r="Z52" s="59">
        <f t="shared" si="9"/>
        <v>0</v>
      </c>
      <c r="AA52" s="198"/>
      <c r="AB52" s="198"/>
      <c r="AC52" s="214"/>
      <c r="AD52" s="32"/>
      <c r="AE52" s="154"/>
      <c r="AF52" s="154"/>
    </row>
    <row r="53" spans="1:32" x14ac:dyDescent="0.2">
      <c r="A53" s="48" t="str">
        <f>VLOOKUP(C53,'PRODUCTIVIDAD UAC'!$H$21:$I$78,2,0)</f>
        <v>G9</v>
      </c>
      <c r="B53" s="48" t="str">
        <f>VLOOKUP(A53,'PRODUCTIVIDAD UAC'!$B$3:$C$17,2,0)</f>
        <v>ROBALINO CALLA HILDA MARISOL</v>
      </c>
      <c r="C53" s="178">
        <v>7032287</v>
      </c>
      <c r="D53" s="50" t="str">
        <f>VLOOKUP(C53,Homologacion!$E$1:$F$130,2,0)</f>
        <v>CARDENAS RIOS ALEIDA</v>
      </c>
      <c r="E53" s="31" t="str">
        <f>VLOOKUP(C53,Homologacion!$E$1:$G$130,3,0)</f>
        <v>Especialista UAC</v>
      </c>
      <c r="F53" s="173">
        <v>30</v>
      </c>
      <c r="G53" s="168">
        <f>VLOOKUP($C53,'PRODUCTIVIDAD UAC'!$K:$O,4,0)</f>
        <v>115.5555555555558</v>
      </c>
      <c r="H53" s="51">
        <f>VLOOKUP($C53,'PRODUCTIVIDAD UAC'!$K:$O,5,0)</f>
        <v>146</v>
      </c>
      <c r="I53" s="52">
        <f t="shared" si="0"/>
        <v>1.2634615384615357</v>
      </c>
      <c r="J53" s="61">
        <f t="shared" si="1"/>
        <v>0.63173076923076787</v>
      </c>
      <c r="K53" s="53">
        <f>IFERROR(VLOOKUP($C53,'SLA UAC'!$G:$I,3,0),0)</f>
        <v>65</v>
      </c>
      <c r="L53" s="51">
        <f>IFERROR(VLOOKUP($C53,'SLA UAC'!$G:$I,2,0),0)</f>
        <v>57</v>
      </c>
      <c r="M53" s="52">
        <f t="shared" si="2"/>
        <v>0.87692307692307692</v>
      </c>
      <c r="N53" s="54">
        <f t="shared" si="3"/>
        <v>0.43846153846153846</v>
      </c>
      <c r="O53" s="137">
        <f t="shared" si="4"/>
        <v>1.0701923076923063</v>
      </c>
      <c r="P53" s="135">
        <f t="shared" si="5"/>
        <v>1</v>
      </c>
      <c r="Q53" s="136">
        <f t="shared" si="6"/>
        <v>1.07</v>
      </c>
      <c r="R53" s="78">
        <f>VLOOKUP(Q53,TABLA!$A$5:$D$16,4,1)</f>
        <v>1.1000000000000001</v>
      </c>
      <c r="S53" s="55">
        <f>IFERROR(VLOOKUP(C53,CALIDAD!$AK$3:$AM$37,3,0),100%)</f>
        <v>0</v>
      </c>
      <c r="T53" s="79">
        <f>VLOOKUP(S53,TABLA!$A$20:$D$29,4,1)</f>
        <v>0</v>
      </c>
      <c r="U53" s="168">
        <f>VLOOKUP(A53,EQUIPO!$B$6:$E$19,2,0)</f>
        <v>2027.7777777777785</v>
      </c>
      <c r="V53" s="168">
        <f>VLOOKUP(A53,EQUIPO!$B$6:$E$19,3,0)</f>
        <v>2134</v>
      </c>
      <c r="W53" s="172">
        <f t="shared" si="7"/>
        <v>1.05</v>
      </c>
      <c r="X53" s="84">
        <f t="shared" si="8"/>
        <v>0</v>
      </c>
      <c r="Y53" s="58">
        <f>IF(AND(I53&gt;=1,E53="Especialista UAC"),VLOOKUP(W53,TABLA!$A$32:$D$36,4,1),0)/30*F53</f>
        <v>50</v>
      </c>
      <c r="Z53" s="59">
        <f t="shared" si="9"/>
        <v>50</v>
      </c>
      <c r="AA53" s="198"/>
      <c r="AB53" s="198"/>
      <c r="AC53" s="214"/>
      <c r="AD53" s="32"/>
      <c r="AE53" s="154"/>
      <c r="AF53" s="154"/>
    </row>
    <row r="54" spans="1:32" x14ac:dyDescent="0.2">
      <c r="A54" s="48" t="str">
        <f>VLOOKUP(C54,'PRODUCTIVIDAD UAC'!$H$21:$I$78,2,0)</f>
        <v>G9</v>
      </c>
      <c r="B54" s="48" t="str">
        <f>VLOOKUP(A54,'PRODUCTIVIDAD UAC'!$B$3:$C$17,2,0)</f>
        <v>ROBALINO CALLA HILDA MARISOL</v>
      </c>
      <c r="C54" s="178">
        <v>7030422</v>
      </c>
      <c r="D54" s="50" t="str">
        <f>VLOOKUP(C54,Homologacion!$E$1:$F$130,2,0)</f>
        <v>GAYOSO GALARZA MIGUEL ANGEL</v>
      </c>
      <c r="E54" s="31" t="str">
        <f>VLOOKUP(C54,Homologacion!$E$1:$G$130,3,0)</f>
        <v>Especialista UAC</v>
      </c>
      <c r="F54" s="173">
        <v>30</v>
      </c>
      <c r="G54" s="168">
        <f>VLOOKUP($C54,'PRODUCTIVIDAD UAC'!$K:$O,4,0)</f>
        <v>160</v>
      </c>
      <c r="H54" s="51">
        <f>VLOOKUP($C54,'PRODUCTIVIDAD UAC'!$K:$O,5,0)</f>
        <v>159</v>
      </c>
      <c r="I54" s="52">
        <f t="shared" si="0"/>
        <v>0.99375000000000002</v>
      </c>
      <c r="J54" s="61">
        <f t="shared" si="1"/>
        <v>0.49687500000000001</v>
      </c>
      <c r="K54" s="53">
        <f>IFERROR(VLOOKUP($C54,'SLA UAC'!$G:$I,3,0),0)</f>
        <v>0</v>
      </c>
      <c r="L54" s="51">
        <f>IFERROR(VLOOKUP($C54,'SLA UAC'!$G:$I,2,0),0)</f>
        <v>0</v>
      </c>
      <c r="M54" s="52">
        <f t="shared" si="2"/>
        <v>0</v>
      </c>
      <c r="N54" s="54">
        <f t="shared" si="3"/>
        <v>0</v>
      </c>
      <c r="O54" s="137">
        <f t="shared" si="4"/>
        <v>0.49687500000000001</v>
      </c>
      <c r="P54" s="135">
        <f t="shared" si="5"/>
        <v>0.5</v>
      </c>
      <c r="Q54" s="136">
        <f t="shared" si="6"/>
        <v>0.99</v>
      </c>
      <c r="R54" s="78">
        <f>VLOOKUP(Q54,TABLA!$A$5:$D$16,4,1)</f>
        <v>1</v>
      </c>
      <c r="S54" s="55">
        <f>IFERROR(VLOOKUP(C54,CALIDAD!$AK$3:$AM$37,3,0),100%)</f>
        <v>1.0000000000000002</v>
      </c>
      <c r="T54" s="79">
        <f>VLOOKUP(S54,TABLA!$A$20:$D$29,4,1)</f>
        <v>1.1000000000000001</v>
      </c>
      <c r="U54" s="168">
        <f>VLOOKUP(A54,EQUIPO!$B$6:$E$19,2,0)</f>
        <v>2027.7777777777785</v>
      </c>
      <c r="V54" s="168">
        <f>VLOOKUP(A54,EQUIPO!$B$6:$E$19,3,0)</f>
        <v>2134</v>
      </c>
      <c r="W54" s="172">
        <f t="shared" si="7"/>
        <v>1.05</v>
      </c>
      <c r="X54" s="84">
        <f t="shared" si="8"/>
        <v>0</v>
      </c>
      <c r="Y54" s="58">
        <f>IF(AND(I54&gt;=1,E54="Especialista UAC"),VLOOKUP(W54,TABLA!$A$32:$D$36,4,1),0)/30*F54</f>
        <v>0</v>
      </c>
      <c r="Z54" s="59">
        <f t="shared" si="9"/>
        <v>0</v>
      </c>
      <c r="AA54" s="198"/>
      <c r="AB54" s="198"/>
      <c r="AC54" s="214"/>
      <c r="AD54" s="32"/>
      <c r="AE54" s="154"/>
      <c r="AF54" s="154"/>
    </row>
    <row r="55" spans="1:32" x14ac:dyDescent="0.2">
      <c r="A55" s="48" t="str">
        <f>VLOOKUP(C55,'PRODUCTIVIDAD UAC'!$H$21:$I$78,2,0)</f>
        <v>G4</v>
      </c>
      <c r="B55" s="48" t="str">
        <f>VLOOKUP(A55,'PRODUCTIVIDAD UAC'!$B$3:$C$17,2,0)</f>
        <v>GALARZA GALARRETA MARIA TERESA</v>
      </c>
      <c r="C55" s="178">
        <v>7016991</v>
      </c>
      <c r="D55" s="50" t="str">
        <f>VLOOKUP(C55,Homologacion!$E$1:$F$130,2,0)</f>
        <v>VARGAS MIÑANO PAMELA SOLANGE</v>
      </c>
      <c r="E55" s="31" t="str">
        <f>VLOOKUP(C55,Homologacion!$E$1:$G$130,3,0)</f>
        <v>Especialista UAC</v>
      </c>
      <c r="F55" s="173">
        <v>23</v>
      </c>
      <c r="G55" s="168">
        <f>VLOOKUP($C55,'PRODUCTIVIDAD UAC'!$K:$O,4,0)</f>
        <v>166.22222222222274</v>
      </c>
      <c r="H55" s="51">
        <f>VLOOKUP($C55,'PRODUCTIVIDAD UAC'!$K:$O,5,0)</f>
        <v>157</v>
      </c>
      <c r="I55" s="52">
        <f t="shared" si="0"/>
        <v>0.94451871657753717</v>
      </c>
      <c r="J55" s="61">
        <f t="shared" si="1"/>
        <v>0.47225935828876858</v>
      </c>
      <c r="K55" s="53">
        <f>IFERROR(VLOOKUP($C55,'SLA UAC'!$G:$I,3,0),0)</f>
        <v>157</v>
      </c>
      <c r="L55" s="51">
        <f>IFERROR(VLOOKUP($C55,'SLA UAC'!$G:$I,2,0),0)</f>
        <v>156</v>
      </c>
      <c r="M55" s="52">
        <f t="shared" si="2"/>
        <v>0.99363057324840764</v>
      </c>
      <c r="N55" s="54">
        <f t="shared" si="3"/>
        <v>0.49681528662420382</v>
      </c>
      <c r="O55" s="137">
        <f t="shared" si="4"/>
        <v>0.96907464491297235</v>
      </c>
      <c r="P55" s="135">
        <f t="shared" si="5"/>
        <v>1</v>
      </c>
      <c r="Q55" s="136">
        <f t="shared" si="6"/>
        <v>0.97</v>
      </c>
      <c r="R55" s="78">
        <f>VLOOKUP(Q55,TABLA!$A$5:$D$16,4,1)</f>
        <v>0.95</v>
      </c>
      <c r="S55" s="55">
        <f>IFERROR(VLOOKUP(C55,CALIDAD!$AK$3:$AM$37,3,0),100%)</f>
        <v>1</v>
      </c>
      <c r="T55" s="79">
        <f>VLOOKUP(S55,TABLA!$A$20:$D$29,4,1)</f>
        <v>1.1000000000000001</v>
      </c>
      <c r="U55" s="168">
        <f>VLOOKUP(A55,EQUIPO!$B$6:$E$19,2,0)</f>
        <v>386.22222222222274</v>
      </c>
      <c r="V55" s="168">
        <f>VLOOKUP(A55,EQUIPO!$B$6:$E$19,3,0)</f>
        <v>375</v>
      </c>
      <c r="W55" s="172">
        <f t="shared" si="7"/>
        <v>0.97</v>
      </c>
      <c r="X55" s="84">
        <f t="shared" si="8"/>
        <v>0</v>
      </c>
      <c r="Y55" s="58">
        <f>IF(AND(I55&gt;=1,E55="Especialista UAC"),VLOOKUP(W55,TABLA!$A$32:$D$36,4,1),0)/30*F55</f>
        <v>0</v>
      </c>
      <c r="Z55" s="59">
        <f t="shared" si="9"/>
        <v>0</v>
      </c>
      <c r="AA55" s="198"/>
      <c r="AB55" s="198"/>
      <c r="AC55" s="214"/>
      <c r="AD55" s="32"/>
      <c r="AE55" s="154"/>
      <c r="AF55" s="154"/>
    </row>
    <row r="56" spans="1:32" x14ac:dyDescent="0.2">
      <c r="A56" s="48" t="str">
        <f>VLOOKUP(C56,'PRODUCTIVIDAD UAC'!$H$21:$I$78,2,0)</f>
        <v>G8</v>
      </c>
      <c r="B56" s="48" t="str">
        <f>VLOOKUP(A56,'PRODUCTIVIDAD UAC'!$B$3:$C$17,2,0)</f>
        <v>PONCE ENCISO PABLO FERNANDO</v>
      </c>
      <c r="C56" s="178">
        <v>7054026</v>
      </c>
      <c r="D56" s="50" t="str">
        <f>VLOOKUP(C56,Homologacion!$E$1:$F$130,2,0)</f>
        <v>CORRALES JAYO CHRISTIAN STIVE</v>
      </c>
      <c r="E56" s="31" t="str">
        <f>VLOOKUP(C56,Homologacion!$E$1:$G$130,3,0)</f>
        <v>Apoyo UAC</v>
      </c>
      <c r="F56" s="173">
        <v>30</v>
      </c>
      <c r="G56" s="168">
        <f>VLOOKUP($C56,'PRODUCTIVIDAD UAC'!$K:$O,4,0)</f>
        <v>160</v>
      </c>
      <c r="H56" s="51">
        <f>VLOOKUP($C56,'PRODUCTIVIDAD UAC'!$K:$O,5,0)</f>
        <v>140</v>
      </c>
      <c r="I56" s="52">
        <f t="shared" si="0"/>
        <v>0.875</v>
      </c>
      <c r="J56" s="61">
        <f t="shared" si="1"/>
        <v>0.4375</v>
      </c>
      <c r="K56" s="53">
        <f>IFERROR(VLOOKUP($C56,'SLA UAC'!$G:$I,3,0),0)</f>
        <v>136</v>
      </c>
      <c r="L56" s="51">
        <f>IFERROR(VLOOKUP($C56,'SLA UAC'!$G:$I,2,0),0)</f>
        <v>99</v>
      </c>
      <c r="M56" s="52">
        <f t="shared" si="2"/>
        <v>0.7279411764705882</v>
      </c>
      <c r="N56" s="54">
        <f t="shared" si="3"/>
        <v>0.3639705882352941</v>
      </c>
      <c r="O56" s="137">
        <f t="shared" si="4"/>
        <v>0.80147058823529416</v>
      </c>
      <c r="P56" s="135">
        <f t="shared" si="5"/>
        <v>1</v>
      </c>
      <c r="Q56" s="136">
        <f t="shared" si="6"/>
        <v>0.8</v>
      </c>
      <c r="R56" s="78">
        <f>VLOOKUP(Q56,TABLA!$A$5:$D$16,4,1)</f>
        <v>0.7</v>
      </c>
      <c r="S56" s="55">
        <f>IFERROR(VLOOKUP(C56,CALIDAD!$AK$3:$AM$37,3,0),100%)</f>
        <v>1</v>
      </c>
      <c r="T56" s="79">
        <f>VLOOKUP(S56,TABLA!$A$20:$D$29,4,1)</f>
        <v>1.1000000000000001</v>
      </c>
      <c r="U56" s="168">
        <f>VLOOKUP(A56,EQUIPO!$B$6:$E$19,2,0)</f>
        <v>880</v>
      </c>
      <c r="V56" s="168">
        <f>VLOOKUP(A56,EQUIPO!$B$6:$E$19,3,0)</f>
        <v>807</v>
      </c>
      <c r="W56" s="172">
        <f t="shared" si="7"/>
        <v>0.92</v>
      </c>
      <c r="X56" s="84">
        <f t="shared" si="8"/>
        <v>0</v>
      </c>
      <c r="Y56" s="58">
        <f>IF(AND(I56&gt;=1,E56="Especialista UAC"),VLOOKUP(W56,TABLA!$A$32:$D$36,4,1),0)/30*F56</f>
        <v>0</v>
      </c>
      <c r="Z56" s="59">
        <f t="shared" si="9"/>
        <v>0</v>
      </c>
      <c r="AA56" s="198"/>
      <c r="AB56" s="198"/>
      <c r="AC56" s="214"/>
      <c r="AD56" s="32"/>
      <c r="AE56" s="154"/>
      <c r="AF56" s="154"/>
    </row>
    <row r="57" spans="1:32" x14ac:dyDescent="0.2">
      <c r="A57" s="48" t="str">
        <f>VLOOKUP(C57,'PRODUCTIVIDAD UAC'!$H$21:$I$78,2,0)</f>
        <v>G3</v>
      </c>
      <c r="B57" s="48" t="str">
        <f>VLOOKUP(A57,'PRODUCTIVIDAD UAC'!$B$3:$C$17,2,0)</f>
        <v>PEREZ DIAZ ROSA MARIA</v>
      </c>
      <c r="C57" s="178">
        <v>50008739</v>
      </c>
      <c r="D57" s="50" t="str">
        <f>VLOOKUP(C57,Homologacion!$E$1:$F$130,2,0)</f>
        <v>MENESES ALEGRE KAREN CRISTINA</v>
      </c>
      <c r="E57" s="31" t="str">
        <f>VLOOKUP(C57,Homologacion!$E$1:$G$130,3,0)</f>
        <v>Especialista UAC</v>
      </c>
      <c r="F57" s="173">
        <v>30</v>
      </c>
      <c r="G57" s="168">
        <f>VLOOKUP($C57,'PRODUCTIVIDAD UAC'!$K:$O,4,0)</f>
        <v>105</v>
      </c>
      <c r="H57" s="51">
        <f>VLOOKUP($C57,'PRODUCTIVIDAD UAC'!$K:$O,5,0)</f>
        <v>98</v>
      </c>
      <c r="I57" s="52">
        <f t="shared" si="0"/>
        <v>0.93333333333333335</v>
      </c>
      <c r="J57" s="61">
        <f t="shared" si="1"/>
        <v>0.46666666666666667</v>
      </c>
      <c r="K57" s="53">
        <f>IFERROR(VLOOKUP($C57,'SLA UAC'!$G:$I,3,0),0)</f>
        <v>98</v>
      </c>
      <c r="L57" s="51">
        <f>IFERROR(VLOOKUP($C57,'SLA UAC'!$G:$I,2,0),0)</f>
        <v>84</v>
      </c>
      <c r="M57" s="52">
        <f t="shared" si="2"/>
        <v>0.8571428571428571</v>
      </c>
      <c r="N57" s="54">
        <f t="shared" si="3"/>
        <v>0.42857142857142855</v>
      </c>
      <c r="O57" s="137">
        <f t="shared" si="4"/>
        <v>0.89523809523809517</v>
      </c>
      <c r="P57" s="135">
        <f t="shared" si="5"/>
        <v>1</v>
      </c>
      <c r="Q57" s="136">
        <f t="shared" si="6"/>
        <v>0.9</v>
      </c>
      <c r="R57" s="78">
        <f>VLOOKUP(Q57,TABLA!$A$5:$D$16,4,1)</f>
        <v>0.9</v>
      </c>
      <c r="S57" s="55">
        <f>IFERROR(VLOOKUP(C57,CALIDAD!$AK$3:$AM$37,3,0),100%)</f>
        <v>1</v>
      </c>
      <c r="T57" s="79">
        <f>VLOOKUP(S57,TABLA!$A$20:$D$29,4,1)</f>
        <v>1.1000000000000001</v>
      </c>
      <c r="U57" s="168">
        <f>VLOOKUP(A57,EQUIPO!$B$6:$E$19,2,0)</f>
        <v>1256.8888888888889</v>
      </c>
      <c r="V57" s="168">
        <f>VLOOKUP(A57,EQUIPO!$B$6:$E$19,3,0)</f>
        <v>964</v>
      </c>
      <c r="W57" s="172">
        <f t="shared" si="7"/>
        <v>0.77</v>
      </c>
      <c r="X57" s="84">
        <f t="shared" si="8"/>
        <v>0</v>
      </c>
      <c r="Y57" s="58">
        <f>IF(AND(I57&gt;=1,E57="Especialista UAC"),VLOOKUP(W57,TABLA!$A$32:$D$36,4,1),0)/30*F57</f>
        <v>0</v>
      </c>
      <c r="Z57" s="59">
        <f t="shared" si="9"/>
        <v>0</v>
      </c>
      <c r="AA57" s="198"/>
      <c r="AB57" s="198"/>
      <c r="AC57" s="214"/>
      <c r="AD57" s="32"/>
      <c r="AE57" s="154"/>
      <c r="AF57" s="154"/>
    </row>
    <row r="58" spans="1:32" x14ac:dyDescent="0.2">
      <c r="A58" s="48" t="str">
        <f>VLOOKUP(C58,'PRODUCTIVIDAD UAC'!$H$21:$I$78,2,0)</f>
        <v>G2</v>
      </c>
      <c r="B58" s="48" t="str">
        <f>VLOOKUP(A58,'PRODUCTIVIDAD UAC'!$B$3:$C$17,2,0)</f>
        <v>PEREZ DIAZ ROSA MARIA</v>
      </c>
      <c r="C58" s="178">
        <v>50062066</v>
      </c>
      <c r="D58" s="50" t="str">
        <f>VLOOKUP(C58,Homologacion!$E$1:$F$130,2,0)</f>
        <v>ORTEGA SALINAS JUAN CARLOS</v>
      </c>
      <c r="E58" s="31" t="str">
        <f>VLOOKUP(C58,Homologacion!$E$1:$G$130,3,0)</f>
        <v>Apoyo UAC</v>
      </c>
      <c r="F58" s="173">
        <v>30</v>
      </c>
      <c r="G58" s="168">
        <f>VLOOKUP($C58,'PRODUCTIVIDAD UAC'!$K:$O,4,0)</f>
        <v>358</v>
      </c>
      <c r="H58" s="51">
        <f>VLOOKUP($C58,'PRODUCTIVIDAD UAC'!$K:$O,5,0)</f>
        <v>362</v>
      </c>
      <c r="I58" s="52">
        <f t="shared" si="0"/>
        <v>1.011173184357542</v>
      </c>
      <c r="J58" s="61">
        <f t="shared" si="1"/>
        <v>0.505586592178771</v>
      </c>
      <c r="K58" s="53">
        <f>IFERROR(VLOOKUP($C58,'SLA UAC'!$G:$I,3,0),0)</f>
        <v>356</v>
      </c>
      <c r="L58" s="51">
        <f>IFERROR(VLOOKUP($C58,'SLA UAC'!$G:$I,2,0),0)</f>
        <v>352</v>
      </c>
      <c r="M58" s="52">
        <f t="shared" si="2"/>
        <v>0.9887640449438202</v>
      </c>
      <c r="N58" s="54">
        <f t="shared" si="3"/>
        <v>0.4943820224719101</v>
      </c>
      <c r="O58" s="137">
        <f t="shared" si="4"/>
        <v>0.9999686146506811</v>
      </c>
      <c r="P58" s="135">
        <f t="shared" si="5"/>
        <v>1</v>
      </c>
      <c r="Q58" s="136">
        <f t="shared" si="6"/>
        <v>1</v>
      </c>
      <c r="R58" s="78">
        <f>VLOOKUP(Q58,TABLA!$A$5:$D$16,4,1)</f>
        <v>1</v>
      </c>
      <c r="S58" s="55">
        <f>IFERROR(VLOOKUP(C58,CALIDAD!$AK$3:$AM$37,3,0),100%)</f>
        <v>1</v>
      </c>
      <c r="T58" s="79">
        <f>VLOOKUP(S58,TABLA!$A$20:$D$29,4,1)</f>
        <v>1.1000000000000001</v>
      </c>
      <c r="U58" s="168">
        <f>VLOOKUP(A58,EQUIPO!$B$6:$E$19,2,0)</f>
        <v>1198</v>
      </c>
      <c r="V58" s="168">
        <f>VLOOKUP(A58,EQUIPO!$B$6:$E$19,3,0)</f>
        <v>1295</v>
      </c>
      <c r="W58" s="172">
        <f t="shared" si="7"/>
        <v>1.08</v>
      </c>
      <c r="X58" s="84">
        <f t="shared" si="8"/>
        <v>0</v>
      </c>
      <c r="Y58" s="58">
        <f>IF(AND(I58&gt;=1,E58="Especialista UAC"),VLOOKUP(W58,TABLA!$A$32:$D$36,4,1),0)/30*F58</f>
        <v>0</v>
      </c>
      <c r="Z58" s="59">
        <f t="shared" si="9"/>
        <v>0</v>
      </c>
      <c r="AA58" s="198"/>
      <c r="AB58" s="198"/>
      <c r="AC58" s="214"/>
      <c r="AD58" s="32"/>
      <c r="AE58" s="154"/>
      <c r="AF58" s="154"/>
    </row>
    <row r="59" spans="1:32" x14ac:dyDescent="0.2">
      <c r="A59" s="48" t="str">
        <f>VLOOKUP(C59,'PRODUCTIVIDAD UAC'!$H$21:$I$78,2,0)</f>
        <v>G3</v>
      </c>
      <c r="B59" s="48" t="str">
        <f>VLOOKUP(A59,'PRODUCTIVIDAD UAC'!$B$3:$C$17,2,0)</f>
        <v>PEREZ DIAZ ROSA MARIA</v>
      </c>
      <c r="C59" s="178">
        <v>7017700</v>
      </c>
      <c r="D59" s="50" t="str">
        <f>VLOOKUP(C59,Homologacion!$E$1:$F$130,2,0)</f>
        <v>SANCHEZ RODRIGUEZ JENY KARINA</v>
      </c>
      <c r="E59" s="31" t="str">
        <f>VLOOKUP(C59,Homologacion!$E$1:$G$130,3,0)</f>
        <v>Especialista UAC</v>
      </c>
      <c r="F59" s="173">
        <v>30</v>
      </c>
      <c r="G59" s="168">
        <f>VLOOKUP($C59,'PRODUCTIVIDAD UAC'!$K:$O,4,0)</f>
        <v>80.888888888888943</v>
      </c>
      <c r="H59" s="51">
        <f>VLOOKUP($C59,'PRODUCTIVIDAD UAC'!$K:$O,5,0)</f>
        <v>52</v>
      </c>
      <c r="I59" s="52">
        <f t="shared" si="0"/>
        <v>0.64285714285714246</v>
      </c>
      <c r="J59" s="61">
        <f t="shared" si="1"/>
        <v>0.32142857142857123</v>
      </c>
      <c r="K59" s="53">
        <f>IFERROR(VLOOKUP($C59,'SLA UAC'!$G:$I,3,0),0)</f>
        <v>35</v>
      </c>
      <c r="L59" s="51">
        <f>IFERROR(VLOOKUP($C59,'SLA UAC'!$G:$I,2,0),0)</f>
        <v>26</v>
      </c>
      <c r="M59" s="52">
        <f t="shared" si="2"/>
        <v>0.74285714285714288</v>
      </c>
      <c r="N59" s="54">
        <f t="shared" si="3"/>
        <v>0.37142857142857144</v>
      </c>
      <c r="O59" s="137">
        <f t="shared" si="4"/>
        <v>0.69285714285714262</v>
      </c>
      <c r="P59" s="135">
        <f t="shared" si="5"/>
        <v>1</v>
      </c>
      <c r="Q59" s="136">
        <f t="shared" si="6"/>
        <v>0.69</v>
      </c>
      <c r="R59" s="78">
        <f>VLOOKUP(Q59,TABLA!$A$5:$D$16,4,1)</f>
        <v>0.6</v>
      </c>
      <c r="S59" s="55">
        <f>IFERROR(VLOOKUP(C59,CALIDAD!$AK$3:$AM$37,3,0),100%)</f>
        <v>1</v>
      </c>
      <c r="T59" s="79">
        <f>VLOOKUP(S59,TABLA!$A$20:$D$29,4,1)</f>
        <v>1.1000000000000001</v>
      </c>
      <c r="U59" s="168">
        <f>VLOOKUP(A59,EQUIPO!$B$6:$E$19,2,0)</f>
        <v>1256.8888888888889</v>
      </c>
      <c r="V59" s="168">
        <f>VLOOKUP(A59,EQUIPO!$B$6:$E$19,3,0)</f>
        <v>964</v>
      </c>
      <c r="W59" s="172">
        <f t="shared" si="7"/>
        <v>0.77</v>
      </c>
      <c r="X59" s="84">
        <f t="shared" si="8"/>
        <v>0</v>
      </c>
      <c r="Y59" s="58">
        <f>IF(AND(I59&gt;=1,E59="Especialista UAC"),VLOOKUP(W59,TABLA!$A$32:$D$36,4,1),0)/30*F59</f>
        <v>0</v>
      </c>
      <c r="Z59" s="59">
        <f t="shared" si="9"/>
        <v>0</v>
      </c>
      <c r="AA59" s="198"/>
      <c r="AB59" s="198"/>
      <c r="AC59" s="214"/>
      <c r="AD59" s="32"/>
      <c r="AE59" s="154"/>
      <c r="AF59" s="154"/>
    </row>
    <row r="60" spans="1:32" x14ac:dyDescent="0.2">
      <c r="A60" s="48" t="str">
        <f>VLOOKUP(C60,'PRODUCTIVIDAD UAC'!$H$21:$I$82,2,0)</f>
        <v>Contáctenos</v>
      </c>
      <c r="B60" s="48" t="str">
        <f>VLOOKUP(A60,'PRODUCTIVIDAD UAC'!$B$3:$C$17,2,0)</f>
        <v>PEREZ DIAZ ROSA MARIA</v>
      </c>
      <c r="C60" s="178">
        <v>50054337</v>
      </c>
      <c r="D60" s="50" t="str">
        <f>VLOOKUP(C60,Homologacion!$E$1:$F$130,2,0)</f>
        <v>MALLQUI OLIVOS IVONNE KARIN</v>
      </c>
      <c r="E60" s="31" t="str">
        <f>VLOOKUP(C60,Homologacion!$E$1:$G$130,3,0)</f>
        <v>Apoyo UAC</v>
      </c>
      <c r="F60" s="173">
        <v>30</v>
      </c>
      <c r="G60" s="168">
        <f>VLOOKUP($C60,'PRODUCTIVIDAD UAC'!$K:$O,4,0)</f>
        <v>460</v>
      </c>
      <c r="H60" s="51">
        <f>VLOOKUP($C60,'PRODUCTIVIDAD UAC'!$K:$O,5,0)</f>
        <v>440</v>
      </c>
      <c r="I60" s="52">
        <f t="shared" si="0"/>
        <v>0.95652173913043481</v>
      </c>
      <c r="J60" s="61">
        <f t="shared" si="1"/>
        <v>0.47826086956521741</v>
      </c>
      <c r="K60" s="53">
        <f>IFERROR(VLOOKUP($C60,'SLA UAC'!$G:$I,3,0),0)</f>
        <v>391</v>
      </c>
      <c r="L60" s="51">
        <f>IFERROR(VLOOKUP($C60,'SLA UAC'!$G:$I,2,0),0)</f>
        <v>382</v>
      </c>
      <c r="M60" s="52">
        <f t="shared" si="2"/>
        <v>0.97698209718670082</v>
      </c>
      <c r="N60" s="54">
        <f t="shared" si="3"/>
        <v>0.48849104859335041</v>
      </c>
      <c r="O60" s="137">
        <f t="shared" si="4"/>
        <v>0.96675191815856776</v>
      </c>
      <c r="P60" s="135">
        <f t="shared" si="5"/>
        <v>1</v>
      </c>
      <c r="Q60" s="136">
        <f t="shared" si="6"/>
        <v>0.97</v>
      </c>
      <c r="R60" s="78">
        <f>VLOOKUP(Q60,TABLA!$A$5:$D$16,4,1)</f>
        <v>0.95</v>
      </c>
      <c r="S60" s="55">
        <f>IFERROR(VLOOKUP(C60,CALIDAD!$AK$3:$AM$37,3,0),100%)</f>
        <v>1</v>
      </c>
      <c r="T60" s="79">
        <f>VLOOKUP(S60,TABLA!$A$20:$D$29,4,1)</f>
        <v>1.1000000000000001</v>
      </c>
      <c r="U60" s="168">
        <f>VLOOKUP(A60,EQUIPO!$B$6:$E$19,2,0)</f>
        <v>1720</v>
      </c>
      <c r="V60" s="168">
        <f>VLOOKUP(A60,EQUIPO!$B$6:$E$19,3,0)</f>
        <v>1691</v>
      </c>
      <c r="W60" s="172">
        <f t="shared" si="7"/>
        <v>0.98</v>
      </c>
      <c r="X60" s="84">
        <f t="shared" si="8"/>
        <v>0</v>
      </c>
      <c r="Y60" s="58">
        <f>IF(AND(I60&gt;=1,E60="Especialista UAC"),VLOOKUP(W60,TABLA!$A$32:$D$36,4,1),0)/30*F60</f>
        <v>0</v>
      </c>
      <c r="Z60" s="59">
        <f t="shared" si="9"/>
        <v>0</v>
      </c>
      <c r="AA60" s="198"/>
      <c r="AB60" s="198"/>
      <c r="AC60" s="214"/>
      <c r="AD60" s="32"/>
      <c r="AE60" s="154"/>
      <c r="AF60" s="154"/>
    </row>
    <row r="61" spans="1:32" x14ac:dyDescent="0.2">
      <c r="A61" s="48" t="str">
        <f>VLOOKUP(C61,'PRODUCTIVIDAD UAC'!$H$21:$I$82,2,0)</f>
        <v>Contáctenos</v>
      </c>
      <c r="B61" s="48" t="str">
        <f>VLOOKUP(A61,'PRODUCTIVIDAD UAC'!$B$3:$C$17,2,0)</f>
        <v>PEREZ DIAZ ROSA MARIA</v>
      </c>
      <c r="C61" s="178">
        <v>50094481</v>
      </c>
      <c r="D61" s="50" t="str">
        <f>VLOOKUP(C61,Homologacion!$E$1:$F$130,2,0)</f>
        <v>CASTRO OLIVARES JUANA VERONICA</v>
      </c>
      <c r="E61" s="31" t="str">
        <f>VLOOKUP(C61,Homologacion!$E$1:$G$130,3,0)</f>
        <v>Apoyo UAC</v>
      </c>
      <c r="F61" s="173">
        <v>30</v>
      </c>
      <c r="G61" s="168">
        <f>VLOOKUP($C61,'PRODUCTIVIDAD UAC'!$K:$O,4,0)</f>
        <v>440</v>
      </c>
      <c r="H61" s="51">
        <f>VLOOKUP($C61,'PRODUCTIVIDAD UAC'!$K:$O,5,0)</f>
        <v>482</v>
      </c>
      <c r="I61" s="52">
        <f t="shared" si="0"/>
        <v>1.0954545454545455</v>
      </c>
      <c r="J61" s="61">
        <f t="shared" si="1"/>
        <v>0.54772727272727273</v>
      </c>
      <c r="K61" s="53">
        <f>IFERROR(VLOOKUP($C61,'SLA UAC'!$G:$I,3,0),0)</f>
        <v>407</v>
      </c>
      <c r="L61" s="51">
        <f>IFERROR(VLOOKUP($C61,'SLA UAC'!$G:$I,2,0),0)</f>
        <v>406</v>
      </c>
      <c r="M61" s="52">
        <f t="shared" si="2"/>
        <v>0.99754299754299758</v>
      </c>
      <c r="N61" s="54">
        <f t="shared" si="3"/>
        <v>0.49877149877149879</v>
      </c>
      <c r="O61" s="137">
        <f t="shared" si="4"/>
        <v>1.0464987714987715</v>
      </c>
      <c r="P61" s="135">
        <f t="shared" si="5"/>
        <v>1</v>
      </c>
      <c r="Q61" s="136">
        <f t="shared" si="6"/>
        <v>1.05</v>
      </c>
      <c r="R61" s="78">
        <f>VLOOKUP(Q61,TABLA!$A$5:$D$16,4,1)</f>
        <v>1.05</v>
      </c>
      <c r="S61" s="55">
        <f>IFERROR(VLOOKUP(C61,CALIDAD!$AK$3:$AM$37,3,0),100%)</f>
        <v>1</v>
      </c>
      <c r="T61" s="79">
        <f>VLOOKUP(S61,TABLA!$A$20:$D$29,4,1)</f>
        <v>1.1000000000000001</v>
      </c>
      <c r="U61" s="168">
        <f>VLOOKUP(A61,EQUIPO!$B$6:$E$19,2,0)</f>
        <v>1720</v>
      </c>
      <c r="V61" s="168">
        <f>VLOOKUP(A61,EQUIPO!$B$6:$E$19,3,0)</f>
        <v>1691</v>
      </c>
      <c r="W61" s="172">
        <f t="shared" si="7"/>
        <v>0.98</v>
      </c>
      <c r="X61" s="84">
        <f t="shared" si="8"/>
        <v>0</v>
      </c>
      <c r="Y61" s="58">
        <f>IF(AND(I61&gt;=1,E61="Especialista UAC"),VLOOKUP(W61,TABLA!$A$32:$D$36,4,1),0)/30*F61</f>
        <v>0</v>
      </c>
      <c r="Z61" s="59">
        <f t="shared" si="9"/>
        <v>0</v>
      </c>
      <c r="AA61" s="198"/>
      <c r="AB61" s="198"/>
      <c r="AC61" s="214"/>
      <c r="AD61" s="32"/>
      <c r="AE61" s="154"/>
      <c r="AF61" s="154"/>
    </row>
    <row r="62" spans="1:32" x14ac:dyDescent="0.2">
      <c r="A62" s="48" t="str">
        <f>VLOOKUP(C62,'PRODUCTIVIDAD UAC'!$H$21:$I$82,2,0)</f>
        <v>Contáctenos</v>
      </c>
      <c r="B62" s="48" t="str">
        <f>VLOOKUP(A62,'PRODUCTIVIDAD UAC'!$B$3:$C$17,2,0)</f>
        <v>PEREZ DIAZ ROSA MARIA</v>
      </c>
      <c r="C62" s="178">
        <v>7009426</v>
      </c>
      <c r="D62" s="50" t="str">
        <f>VLOOKUP(C62,Homologacion!$E$1:$F$130,2,0)</f>
        <v>ROJAS LOPEZ MATILDE GRACIELA</v>
      </c>
      <c r="E62" s="31" t="str">
        <f>VLOOKUP(C62,Homologacion!$E$1:$G$130,3,0)</f>
        <v>Especialista UAC</v>
      </c>
      <c r="F62" s="173">
        <v>25</v>
      </c>
      <c r="G62" s="168">
        <f>VLOOKUP($C62,'PRODUCTIVIDAD UAC'!$K:$O,4,0)</f>
        <v>400</v>
      </c>
      <c r="H62" s="51">
        <f>VLOOKUP($C62,'PRODUCTIVIDAD UAC'!$K:$O,5,0)</f>
        <v>340</v>
      </c>
      <c r="I62" s="52">
        <f t="shared" si="0"/>
        <v>0.85</v>
      </c>
      <c r="J62" s="61">
        <f t="shared" si="1"/>
        <v>0.42499999999999999</v>
      </c>
      <c r="K62" s="53">
        <f>IFERROR(VLOOKUP($C62,'SLA UAC'!$G:$I,3,0),0)</f>
        <v>328</v>
      </c>
      <c r="L62" s="51">
        <f>IFERROR(VLOOKUP($C62,'SLA UAC'!$G:$I,2,0),0)</f>
        <v>309</v>
      </c>
      <c r="M62" s="52">
        <f t="shared" si="2"/>
        <v>0.94207317073170727</v>
      </c>
      <c r="N62" s="54">
        <f t="shared" si="3"/>
        <v>0.47103658536585363</v>
      </c>
      <c r="O62" s="137">
        <f t="shared" si="4"/>
        <v>0.89603658536585362</v>
      </c>
      <c r="P62" s="135">
        <f t="shared" si="5"/>
        <v>1</v>
      </c>
      <c r="Q62" s="136">
        <f t="shared" si="6"/>
        <v>0.9</v>
      </c>
      <c r="R62" s="78">
        <f>VLOOKUP(Q62,TABLA!$A$5:$D$16,4,1)</f>
        <v>0.9</v>
      </c>
      <c r="S62" s="55">
        <f>IFERROR(VLOOKUP(C62,CALIDAD!$AK$3:$AM$37,3,0),100%)</f>
        <v>1</v>
      </c>
      <c r="T62" s="79">
        <f>VLOOKUP(S62,TABLA!$A$20:$D$29,4,1)</f>
        <v>1.1000000000000001</v>
      </c>
      <c r="U62" s="168">
        <f>VLOOKUP(A62,EQUIPO!$B$6:$E$19,2,0)</f>
        <v>1720</v>
      </c>
      <c r="V62" s="168">
        <f>VLOOKUP(A62,EQUIPO!$B$6:$E$19,3,0)</f>
        <v>1691</v>
      </c>
      <c r="W62" s="172">
        <f t="shared" si="7"/>
        <v>0.98</v>
      </c>
      <c r="X62" s="84">
        <f t="shared" si="8"/>
        <v>0</v>
      </c>
      <c r="Y62" s="58">
        <f>IF(AND(I62&gt;=1,E62="Especialista UAC"),VLOOKUP(W62,TABLA!$A$32:$D$36,4,1),0)/30*F62</f>
        <v>0</v>
      </c>
      <c r="Z62" s="59">
        <f t="shared" si="9"/>
        <v>0</v>
      </c>
      <c r="AA62" s="198"/>
      <c r="AB62" s="198"/>
      <c r="AC62" s="214"/>
      <c r="AD62" s="32"/>
      <c r="AE62" s="154"/>
      <c r="AF62" s="154"/>
    </row>
    <row r="63" spans="1:32" x14ac:dyDescent="0.2">
      <c r="A63" s="48" t="str">
        <f>VLOOKUP(C63,'PRODUCTIVIDAD UAC'!$H$21:$I$82,2,0)</f>
        <v>Contáctenos</v>
      </c>
      <c r="B63" s="48" t="str">
        <f>VLOOKUP(A63,'PRODUCTIVIDAD UAC'!$B$3:$C$17,2,0)</f>
        <v>PEREZ DIAZ ROSA MARIA</v>
      </c>
      <c r="C63" s="178">
        <v>7058852</v>
      </c>
      <c r="D63" s="50" t="str">
        <f>VLOOKUP(C63,Homologacion!$E$1:$F$130,2,0)</f>
        <v>PRADERA PEREZ MIGUEL ANGEL</v>
      </c>
      <c r="E63" s="31" t="str">
        <f>VLOOKUP(C63,Homologacion!$E$1:$G$130,3,0)</f>
        <v>Especialista UAC</v>
      </c>
      <c r="F63" s="173">
        <v>30</v>
      </c>
      <c r="G63" s="168">
        <f>VLOOKUP($C63,'PRODUCTIVIDAD UAC'!$K:$O,4,0)</f>
        <v>420</v>
      </c>
      <c r="H63" s="51">
        <f>VLOOKUP($C63,'PRODUCTIVIDAD UAC'!$K:$O,5,0)</f>
        <v>429</v>
      </c>
      <c r="I63" s="52">
        <f t="shared" si="0"/>
        <v>1.0214285714285714</v>
      </c>
      <c r="J63" s="61">
        <f t="shared" si="1"/>
        <v>0.51071428571428568</v>
      </c>
      <c r="K63" s="53">
        <f>IFERROR(VLOOKUP($C63,'SLA UAC'!$G:$I,3,0),0)</f>
        <v>394</v>
      </c>
      <c r="L63" s="51">
        <f>IFERROR(VLOOKUP($C63,'SLA UAC'!$G:$I,2,0),0)</f>
        <v>391</v>
      </c>
      <c r="M63" s="52">
        <f t="shared" si="2"/>
        <v>0.99238578680203049</v>
      </c>
      <c r="N63" s="54">
        <f t="shared" si="3"/>
        <v>0.49619289340101524</v>
      </c>
      <c r="O63" s="137">
        <f t="shared" si="4"/>
        <v>1.0069071791153008</v>
      </c>
      <c r="P63" s="135">
        <f t="shared" si="5"/>
        <v>1</v>
      </c>
      <c r="Q63" s="136">
        <f t="shared" si="6"/>
        <v>1.01</v>
      </c>
      <c r="R63" s="78">
        <f>VLOOKUP(Q63,TABLA!$A$5:$D$16,4,1)</f>
        <v>1.05</v>
      </c>
      <c r="S63" s="55">
        <f>IFERROR(VLOOKUP(C63,CALIDAD!$AK$3:$AM$37,3,0),100%)</f>
        <v>1</v>
      </c>
      <c r="T63" s="79">
        <f>VLOOKUP(S63,TABLA!$A$20:$D$29,4,1)</f>
        <v>1.1000000000000001</v>
      </c>
      <c r="U63" s="168">
        <f>VLOOKUP(A63,EQUIPO!$B$6:$E$19,2,0)</f>
        <v>1720</v>
      </c>
      <c r="V63" s="168">
        <f>VLOOKUP(A63,EQUIPO!$B$6:$E$19,3,0)</f>
        <v>1691</v>
      </c>
      <c r="W63" s="172">
        <f t="shared" si="7"/>
        <v>0.98</v>
      </c>
      <c r="X63" s="84">
        <f t="shared" si="8"/>
        <v>0</v>
      </c>
      <c r="Y63" s="58">
        <f>IF(AND(I63&gt;=1,E63="Especialista UAC"),VLOOKUP(W63,TABLA!$A$32:$D$36,4,1),0)/30*F63</f>
        <v>0</v>
      </c>
      <c r="Z63" s="59">
        <f t="shared" si="9"/>
        <v>0</v>
      </c>
      <c r="AA63" s="198"/>
      <c r="AB63" s="198"/>
      <c r="AC63" s="214"/>
      <c r="AD63" s="32"/>
      <c r="AE63" s="154"/>
      <c r="AF63" s="154"/>
    </row>
    <row r="64" spans="1:32" x14ac:dyDescent="0.2">
      <c r="A64" s="48" t="str">
        <f>VLOOKUP(C64,'PRODUCTIVIDAD UAC'!$H$21:$I$82,2,0)</f>
        <v>G1</v>
      </c>
      <c r="B64" s="48" t="str">
        <f>VLOOKUP(A64,'PRODUCTIVIDAD UAC'!$B$3:$C$17,2,0)</f>
        <v>PONCE ENCISO PABLO FERNANDO</v>
      </c>
      <c r="C64" s="178">
        <v>7032030</v>
      </c>
      <c r="D64" s="50" t="str">
        <f>VLOOKUP(C64,Homologacion!$E$1:$F$130,2,0)</f>
        <v>HUAMANCHUMO COVEÑAS MARIO WALTHER</v>
      </c>
      <c r="E64" s="31" t="str">
        <f>VLOOKUP(C64,Homologacion!$E$1:$G$130,3,0)</f>
        <v>Apoyo UAC</v>
      </c>
      <c r="F64" s="173">
        <v>28</v>
      </c>
      <c r="G64" s="168">
        <f>VLOOKUP($C64,'PRODUCTIVIDAD UAC'!$K:$O,4,0)</f>
        <v>400</v>
      </c>
      <c r="H64" s="51">
        <f>VLOOKUP($C64,'PRODUCTIVIDAD UAC'!$K:$O,5,0)</f>
        <v>246</v>
      </c>
      <c r="I64" s="52">
        <f t="shared" si="0"/>
        <v>0.61499999999999999</v>
      </c>
      <c r="J64" s="61">
        <f t="shared" si="1"/>
        <v>0.3075</v>
      </c>
      <c r="K64" s="53">
        <f>IFERROR(VLOOKUP($C64,'SLA UAC'!$G:$I,3,0),0)</f>
        <v>244</v>
      </c>
      <c r="L64" s="51">
        <f>IFERROR(VLOOKUP($C64,'SLA UAC'!$G:$I,2,0),0)</f>
        <v>211</v>
      </c>
      <c r="M64" s="52">
        <f t="shared" si="2"/>
        <v>0.86475409836065575</v>
      </c>
      <c r="N64" s="54">
        <f t="shared" si="3"/>
        <v>0.43237704918032788</v>
      </c>
      <c r="O64" s="137">
        <f t="shared" ref="O64:O66" si="10">SUM(J64,N64)</f>
        <v>0.73987704918032793</v>
      </c>
      <c r="P64" s="135">
        <f t="shared" ref="P64:P66" si="11">SUMIF(K64,"&lt;&gt;0",$N$6)+SUMIF(G64,"&lt;&gt;0",$J$6)</f>
        <v>1</v>
      </c>
      <c r="Q64" s="136">
        <f t="shared" si="6"/>
        <v>0.74</v>
      </c>
      <c r="R64" s="78">
        <f>VLOOKUP(Q64,TABLA!$A$5:$D$16,4,1)</f>
        <v>0.6</v>
      </c>
      <c r="S64" s="55">
        <f>IFERROR(VLOOKUP(C64,CALIDAD!$AK$3:$AM$37,3,0),100%)</f>
        <v>1</v>
      </c>
      <c r="T64" s="79">
        <f>VLOOKUP(S64,TABLA!$A$20:$D$29,4,1)</f>
        <v>1.1000000000000001</v>
      </c>
      <c r="U64" s="168">
        <f>VLOOKUP(A64,EQUIPO!$B$6:$E$19,2,0)</f>
        <v>2200</v>
      </c>
      <c r="V64" s="168">
        <f>VLOOKUP(A64,EQUIPO!$B$6:$E$19,3,0)</f>
        <v>1728</v>
      </c>
      <c r="W64" s="172">
        <f t="shared" si="7"/>
        <v>0.79</v>
      </c>
      <c r="X64" s="84">
        <f t="shared" ref="X64:X66" si="12">IFERROR(IF(OR(M64&gt;=60%,K64=0),(R64*T64)*VLOOKUP(E64,$S$2:$U$4,3,0),0),0)/30*F64</f>
        <v>0</v>
      </c>
      <c r="Y64" s="58">
        <f>IF(AND(I64&gt;=1,E64="Especialista UAC"),VLOOKUP(W64,TABLA!$A$32:$D$36,4,1),0)/30*F64</f>
        <v>0</v>
      </c>
      <c r="Z64" s="59">
        <f t="shared" ref="Z64:Z66" si="13">SUM(X64:Y64)</f>
        <v>0</v>
      </c>
      <c r="AA64" s="198"/>
      <c r="AB64" s="198"/>
      <c r="AC64" s="214"/>
      <c r="AD64" s="32"/>
      <c r="AE64" s="154"/>
      <c r="AF64" s="154"/>
    </row>
    <row r="65" spans="1:32" x14ac:dyDescent="0.2">
      <c r="A65" s="48" t="str">
        <f>VLOOKUP(C65,'PRODUCTIVIDAD UAC'!$H$21:$I$82,2,0)</f>
        <v>Impugnaciones</v>
      </c>
      <c r="B65" s="48" t="str">
        <f>VLOOKUP(A65,'PRODUCTIVIDAD UAC'!$B$3:$C$17,2,0)</f>
        <v>GALARZA GALARRETA MARIA TERESA</v>
      </c>
      <c r="C65" s="178">
        <v>50067909</v>
      </c>
      <c r="D65" s="50" t="str">
        <f>VLOOKUP(C65,Homologacion!$E$1:$F$130,2,0)</f>
        <v>QUISPE TORO ALEXANDRA CECILIA</v>
      </c>
      <c r="E65" s="31" t="str">
        <f>VLOOKUP(C65,Homologacion!$E$1:$G$130,3,0)</f>
        <v>Apoyo UAC</v>
      </c>
      <c r="F65" s="173">
        <v>28</v>
      </c>
      <c r="G65" s="168">
        <f>VLOOKUP($C65,'PRODUCTIVIDAD UAC'!$K:$O,4,0)</f>
        <v>144</v>
      </c>
      <c r="H65" s="51">
        <f>VLOOKUP($C65,'PRODUCTIVIDAD UAC'!$K:$O,5,0)</f>
        <v>117</v>
      </c>
      <c r="I65" s="52">
        <f t="shared" si="0"/>
        <v>0.8125</v>
      </c>
      <c r="J65" s="61">
        <f t="shared" si="1"/>
        <v>0.40625</v>
      </c>
      <c r="K65" s="53">
        <f>IFERROR(VLOOKUP($C65,'SLA UAC'!$G:$I,3,0),0)</f>
        <v>114</v>
      </c>
      <c r="L65" s="51">
        <f>IFERROR(VLOOKUP($C65,'SLA UAC'!$G:$I,2,0),0)</f>
        <v>111</v>
      </c>
      <c r="M65" s="52">
        <f t="shared" si="2"/>
        <v>0.97368421052631582</v>
      </c>
      <c r="N65" s="54">
        <f t="shared" si="3"/>
        <v>0.48684210526315791</v>
      </c>
      <c r="O65" s="137">
        <f t="shared" si="10"/>
        <v>0.89309210526315796</v>
      </c>
      <c r="P65" s="135">
        <f t="shared" si="11"/>
        <v>1</v>
      </c>
      <c r="Q65" s="136">
        <f t="shared" si="6"/>
        <v>0.89</v>
      </c>
      <c r="R65" s="78">
        <f>VLOOKUP(Q65,TABLA!$A$5:$D$16,4,1)</f>
        <v>0.8</v>
      </c>
      <c r="S65" s="55">
        <f>IFERROR(VLOOKUP(C65,CALIDAD!$AK$3:$AM$37,3,0),100%)</f>
        <v>1</v>
      </c>
      <c r="T65" s="79">
        <f>VLOOKUP(S65,TABLA!$A$20:$D$29,4,1)</f>
        <v>1.1000000000000001</v>
      </c>
      <c r="U65" s="168">
        <f>VLOOKUP(A65,EQUIPO!$B$6:$E$19,2,0)</f>
        <v>568</v>
      </c>
      <c r="V65" s="168">
        <f>VLOOKUP(A65,EQUIPO!$B$6:$E$19,3,0)</f>
        <v>431</v>
      </c>
      <c r="W65" s="172">
        <f t="shared" si="7"/>
        <v>0.76</v>
      </c>
      <c r="X65" s="84">
        <f t="shared" si="12"/>
        <v>0</v>
      </c>
      <c r="Y65" s="58">
        <f>IF(AND(I65&gt;=1,E65="Especialista UAC"),VLOOKUP(W65,TABLA!$A$32:$D$36,4,1),0)/30*F65</f>
        <v>0</v>
      </c>
      <c r="Z65" s="59">
        <f t="shared" si="13"/>
        <v>0</v>
      </c>
      <c r="AA65" s="198"/>
      <c r="AB65" s="198"/>
      <c r="AC65" s="214"/>
      <c r="AD65" s="32"/>
      <c r="AE65" s="154"/>
      <c r="AF65" s="154"/>
    </row>
    <row r="66" spans="1:32" x14ac:dyDescent="0.2">
      <c r="A66" s="48" t="str">
        <f>VLOOKUP(C66,'PRODUCTIVIDAD UAC'!$H$21:$I$82,2,0)</f>
        <v>G3</v>
      </c>
      <c r="B66" s="48" t="str">
        <f>VLOOKUP(A66,'PRODUCTIVIDAD UAC'!$B$3:$C$17,2,0)</f>
        <v>PEREZ DIAZ ROSA MARIA</v>
      </c>
      <c r="C66" s="178">
        <v>7015480</v>
      </c>
      <c r="D66" s="50" t="str">
        <f>VLOOKUP(C66,Homologacion!$E$1:$F$130,2,0)</f>
        <v>SAAVEDRA ENCISO VICTOR MANUEL</v>
      </c>
      <c r="E66" s="31" t="str">
        <f>VLOOKUP(C66,Homologacion!$E$1:$G$130,3,0)</f>
        <v>Apoyo UAC</v>
      </c>
      <c r="F66" s="173">
        <v>10</v>
      </c>
      <c r="G66" s="168">
        <f>VLOOKUP($C66,'PRODUCTIVIDAD UAC'!$K:$O,4,0)</f>
        <v>63</v>
      </c>
      <c r="H66" s="51">
        <f>VLOOKUP($C66,'PRODUCTIVIDAD UAC'!$K:$O,5,0)</f>
        <v>22</v>
      </c>
      <c r="I66" s="52">
        <f t="shared" si="0"/>
        <v>0.34920634920634919</v>
      </c>
      <c r="J66" s="61">
        <f t="shared" si="1"/>
        <v>0.17460317460317459</v>
      </c>
      <c r="K66" s="53">
        <f>IFERROR(VLOOKUP($C66,'SLA UAC'!$G:$I,3,0),0)</f>
        <v>20</v>
      </c>
      <c r="L66" s="51">
        <f>IFERROR(VLOOKUP($C66,'SLA UAC'!$G:$I,2,0),0)</f>
        <v>20</v>
      </c>
      <c r="M66" s="52">
        <f t="shared" si="2"/>
        <v>1</v>
      </c>
      <c r="N66" s="54">
        <f t="shared" si="3"/>
        <v>0.5</v>
      </c>
      <c r="O66" s="137">
        <f t="shared" si="10"/>
        <v>0.67460317460317465</v>
      </c>
      <c r="P66" s="135">
        <f t="shared" si="11"/>
        <v>1</v>
      </c>
      <c r="Q66" s="136">
        <f t="shared" si="6"/>
        <v>0.67</v>
      </c>
      <c r="R66" s="78">
        <f>VLOOKUP(Q66,TABLA!$A$5:$D$16,4,1)</f>
        <v>0.6</v>
      </c>
      <c r="S66" s="55">
        <f>IFERROR(VLOOKUP(C66,CALIDAD!$AK$3:$AM$37,3,0),100%)</f>
        <v>1</v>
      </c>
      <c r="T66" s="79">
        <f>VLOOKUP(S66,TABLA!$A$20:$D$29,4,1)</f>
        <v>1.1000000000000001</v>
      </c>
      <c r="U66" s="168">
        <f>VLOOKUP(A66,EQUIPO!$B$6:$E$19,2,0)</f>
        <v>1256.8888888888889</v>
      </c>
      <c r="V66" s="168">
        <f>VLOOKUP(A66,EQUIPO!$B$6:$E$19,3,0)</f>
        <v>964</v>
      </c>
      <c r="W66" s="172">
        <f t="shared" si="7"/>
        <v>0.77</v>
      </c>
      <c r="X66" s="84">
        <f t="shared" si="12"/>
        <v>0</v>
      </c>
      <c r="Y66" s="58">
        <f>IF(AND(I66&gt;=1,E66="Especialista UAC"),VLOOKUP(W66,TABLA!$A$32:$D$36,4,1),0)/30*F66</f>
        <v>0</v>
      </c>
      <c r="Z66" s="59">
        <f t="shared" si="13"/>
        <v>0</v>
      </c>
      <c r="AA66" s="198"/>
      <c r="AB66" s="198"/>
      <c r="AC66" s="214"/>
      <c r="AD66" s="32"/>
      <c r="AE66" s="154"/>
      <c r="AF66" s="154"/>
    </row>
    <row r="67" spans="1:32" x14ac:dyDescent="0.2">
      <c r="A67" s="48"/>
      <c r="B67" s="48"/>
      <c r="C67" s="65">
        <v>7018195</v>
      </c>
      <c r="D67" s="50" t="str">
        <f>VLOOKUP(C67,Homologacion!$E$1:$F$130,2,0)</f>
        <v>MUÑOZ SANCHEZ CAROL INES</v>
      </c>
      <c r="E67" s="31" t="str">
        <f>VLOOKUP(C67,Homologacion!$E$1:$G$130,3,0)</f>
        <v>Especialista UAC</v>
      </c>
      <c r="F67" s="173">
        <v>29</v>
      </c>
      <c r="G67" s="168"/>
      <c r="H67" s="51"/>
      <c r="I67" s="52"/>
      <c r="J67" s="61"/>
      <c r="K67" s="53"/>
      <c r="L67" s="51"/>
      <c r="M67" s="52"/>
      <c r="N67" s="54"/>
      <c r="O67" s="137">
        <f t="shared" ref="O67:O68" si="14">SUM(J67,N67)</f>
        <v>0</v>
      </c>
      <c r="P67" s="135">
        <f t="shared" ref="P67:P68" si="15">SUMIF(K67,"&lt;&gt;0",$N$6)+SUMIF(G67,"&lt;&gt;0",$J$6)</f>
        <v>1</v>
      </c>
      <c r="Q67" s="136">
        <f t="shared" ref="Q67:Q68" si="16">ROUND(O67/P67,2)</f>
        <v>0</v>
      </c>
      <c r="R67" s="78">
        <f>VLOOKUP(Q67,TABLA!$A$5:$D$16,4,1)</f>
        <v>0</v>
      </c>
      <c r="S67" s="55"/>
      <c r="T67" s="79"/>
      <c r="U67" s="49"/>
      <c r="V67" s="51"/>
      <c r="W67" s="52"/>
      <c r="X67" s="84"/>
      <c r="Y67" s="58">
        <f>IF(AND(I67&gt;=1,E67="Especialista UAC"),VLOOKUP(W67,TABLA!$A$32:$D$36,4,1),0)/30*F67</f>
        <v>0</v>
      </c>
      <c r="Z67" s="59">
        <f>+X67*F67/28</f>
        <v>0</v>
      </c>
      <c r="AA67" s="198"/>
      <c r="AB67" s="198"/>
      <c r="AC67" s="214"/>
      <c r="AD67" s="32"/>
      <c r="AE67" s="154"/>
      <c r="AF67" s="154"/>
    </row>
    <row r="68" spans="1:32" x14ac:dyDescent="0.2">
      <c r="A68" s="48"/>
      <c r="B68" s="48"/>
      <c r="C68" s="65">
        <v>7040314</v>
      </c>
      <c r="D68" s="50" t="str">
        <f>VLOOKUP(C68,Homologacion!$E$1:$F$130,2,0)</f>
        <v>DIAZ MENDEZ CESAR ALBERTO</v>
      </c>
      <c r="E68" s="31" t="str">
        <f>VLOOKUP(C68,Homologacion!$E$1:$G$130,3,0)</f>
        <v>Especialista UAC</v>
      </c>
      <c r="F68" s="173">
        <v>23</v>
      </c>
      <c r="G68" s="168"/>
      <c r="H68" s="51"/>
      <c r="I68" s="52"/>
      <c r="J68" s="61"/>
      <c r="K68" s="53"/>
      <c r="L68" s="51"/>
      <c r="M68" s="52"/>
      <c r="N68" s="54"/>
      <c r="O68" s="137">
        <f t="shared" si="14"/>
        <v>0</v>
      </c>
      <c r="P68" s="135">
        <f t="shared" si="15"/>
        <v>1</v>
      </c>
      <c r="Q68" s="136">
        <f t="shared" si="16"/>
        <v>0</v>
      </c>
      <c r="R68" s="78">
        <f>VLOOKUP(Q68,TABLA!$A$5:$D$16,4,1)</f>
        <v>0</v>
      </c>
      <c r="S68" s="55"/>
      <c r="T68" s="79"/>
      <c r="U68" s="49"/>
      <c r="V68" s="51"/>
      <c r="W68" s="52"/>
      <c r="X68" s="84"/>
      <c r="Y68" s="58">
        <f>IF(AND(I68&gt;=1,E68="Especialista UAC"),VLOOKUP(W68,TABLA!$A$32:$D$36,4,1),0)/30*F68</f>
        <v>0</v>
      </c>
      <c r="Z68" s="59">
        <f>+X68*F68/28</f>
        <v>0</v>
      </c>
      <c r="AA68" s="198"/>
      <c r="AB68" s="198"/>
      <c r="AC68" s="214"/>
    </row>
  </sheetData>
  <autoFilter ref="A7:AD68"/>
  <sortState ref="C8:AE93">
    <sortCondition ref="E8:E93"/>
  </sortState>
  <mergeCells count="11">
    <mergeCell ref="G6:I6"/>
    <mergeCell ref="K6:M6"/>
    <mergeCell ref="O6:R6"/>
    <mergeCell ref="Z4:Z5"/>
    <mergeCell ref="AA4:AA5"/>
    <mergeCell ref="AA6:AA7"/>
    <mergeCell ref="S3:T3"/>
    <mergeCell ref="S2:T2"/>
    <mergeCell ref="S4:T4"/>
    <mergeCell ref="U6:W6"/>
    <mergeCell ref="S6:T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X16"/>
  <sheetViews>
    <sheetView showGridLines="0" zoomScale="80" zoomScaleNormal="80" workbookViewId="0">
      <pane xSplit="4" ySplit="7" topLeftCell="I8" activePane="bottomRight" state="frozen"/>
      <selection activeCell="B1" sqref="B1"/>
      <selection pane="topRight" activeCell="H1" sqref="H1"/>
      <selection pane="bottomLeft" activeCell="B6" sqref="B6"/>
      <selection pane="bottomRight" activeCell="S4" sqref="S4"/>
    </sheetView>
  </sheetViews>
  <sheetFormatPr baseColWidth="10" defaultRowHeight="12.75" outlineLevelCol="1" x14ac:dyDescent="0.2"/>
  <cols>
    <col min="1" max="1" width="10.42578125" style="25" customWidth="1" collapsed="1"/>
    <col min="2" max="2" width="30.5703125" style="25" bestFit="1" customWidth="1"/>
    <col min="3" max="3" width="12.42578125" style="25" bestFit="1" customWidth="1" collapsed="1"/>
    <col min="4" max="4" width="12.5703125" style="25" customWidth="1"/>
    <col min="5" max="5" width="8.85546875" style="25" customWidth="1"/>
    <col min="6" max="6" width="10" style="25" bestFit="1" customWidth="1"/>
    <col min="7" max="7" width="9.85546875" style="25" customWidth="1"/>
    <col min="8" max="8" width="11.28515625" style="25" bestFit="1" customWidth="1"/>
    <col min="9" max="9" width="10.7109375" style="25" customWidth="1" collapsed="1"/>
    <col min="10" max="10" width="8.85546875" style="25" customWidth="1"/>
    <col min="11" max="11" width="11.28515625" style="25" customWidth="1"/>
    <col min="12" max="12" width="8.42578125" style="25" customWidth="1"/>
    <col min="13" max="14" width="10.28515625" style="25" customWidth="1" outlineLevel="1"/>
    <col min="15" max="15" width="10.28515625" style="25" customWidth="1"/>
    <col min="16" max="16" width="8.7109375" style="25" customWidth="1"/>
    <col min="17" max="18" width="10.85546875" style="25" customWidth="1"/>
    <col min="19" max="19" width="12.42578125" style="32" bestFit="1" customWidth="1"/>
    <col min="20" max="20" width="9.42578125" style="25" customWidth="1"/>
    <col min="21" max="21" width="13.42578125" style="32" customWidth="1"/>
    <col min="22" max="22" width="5.5703125" style="25" customWidth="1"/>
    <col min="23" max="16384" width="11.42578125" style="25"/>
  </cols>
  <sheetData>
    <row r="1" spans="1:24" ht="12" customHeight="1" x14ac:dyDescent="0.2">
      <c r="A1" s="44"/>
      <c r="B1" s="44"/>
      <c r="C1" s="43"/>
      <c r="S1" s="30"/>
    </row>
    <row r="2" spans="1:24" ht="12.75" customHeight="1" x14ac:dyDescent="0.2">
      <c r="A2" s="43"/>
      <c r="B2" s="43"/>
      <c r="C2" s="43"/>
      <c r="G2" s="28"/>
      <c r="H2" s="26"/>
      <c r="I2" s="26"/>
      <c r="J2" s="27"/>
      <c r="K2" s="28"/>
      <c r="Q2" s="218" t="s">
        <v>221</v>
      </c>
      <c r="R2" s="218"/>
      <c r="S2" s="81"/>
    </row>
    <row r="3" spans="1:24" ht="12.75" customHeight="1" x14ac:dyDescent="0.2">
      <c r="A3" s="43"/>
      <c r="B3" s="43"/>
      <c r="C3" s="43"/>
      <c r="G3" s="28"/>
      <c r="H3" s="26"/>
      <c r="I3" s="26"/>
      <c r="J3" s="27"/>
      <c r="K3" s="28"/>
      <c r="Q3" s="218"/>
      <c r="R3" s="218"/>
      <c r="S3" s="81"/>
      <c r="T3" s="231"/>
      <c r="U3" s="232"/>
    </row>
    <row r="4" spans="1:24" ht="12" customHeight="1" x14ac:dyDescent="0.2">
      <c r="A4" s="43"/>
      <c r="B4" s="43"/>
      <c r="C4" s="43"/>
      <c r="Q4" s="218" t="s">
        <v>220</v>
      </c>
      <c r="R4" s="218"/>
      <c r="S4" s="81"/>
    </row>
    <row r="5" spans="1:24" ht="12" customHeight="1" x14ac:dyDescent="0.2">
      <c r="A5" s="43"/>
      <c r="B5" s="43"/>
      <c r="C5" s="43"/>
      <c r="Q5" s="82"/>
      <c r="R5" s="82"/>
      <c r="S5" s="83"/>
    </row>
    <row r="6" spans="1:24" ht="15.75" x14ac:dyDescent="0.2">
      <c r="E6" s="219" t="s">
        <v>253</v>
      </c>
      <c r="F6" s="219"/>
      <c r="G6" s="219"/>
      <c r="H6" s="41">
        <v>0.6</v>
      </c>
      <c r="I6" s="222" t="s">
        <v>267</v>
      </c>
      <c r="J6" s="223"/>
      <c r="K6" s="223"/>
      <c r="L6" s="40">
        <v>0.4</v>
      </c>
      <c r="M6" s="224" t="s">
        <v>491</v>
      </c>
      <c r="N6" s="225"/>
      <c r="O6" s="225"/>
      <c r="P6" s="226"/>
      <c r="Q6" s="220" t="s">
        <v>201</v>
      </c>
      <c r="R6" s="221"/>
      <c r="S6" s="30"/>
      <c r="T6" s="97"/>
    </row>
    <row r="7" spans="1:24" ht="30" customHeight="1" x14ac:dyDescent="0.2">
      <c r="A7" s="37" t="s">
        <v>1</v>
      </c>
      <c r="B7" s="37" t="s">
        <v>2</v>
      </c>
      <c r="C7" s="37" t="s">
        <v>189</v>
      </c>
      <c r="D7" s="37" t="s">
        <v>306</v>
      </c>
      <c r="E7" s="36" t="s">
        <v>115</v>
      </c>
      <c r="F7" s="36" t="s">
        <v>191</v>
      </c>
      <c r="G7" s="36" t="s">
        <v>204</v>
      </c>
      <c r="H7" s="36" t="s">
        <v>207</v>
      </c>
      <c r="I7" s="38" t="s">
        <v>197</v>
      </c>
      <c r="J7" s="39" t="s">
        <v>196</v>
      </c>
      <c r="K7" s="39" t="s">
        <v>204</v>
      </c>
      <c r="L7" s="39" t="s">
        <v>208</v>
      </c>
      <c r="M7" s="138" t="s">
        <v>493</v>
      </c>
      <c r="N7" s="139" t="s">
        <v>492</v>
      </c>
      <c r="O7" s="139" t="s">
        <v>491</v>
      </c>
      <c r="P7" s="140" t="s">
        <v>116</v>
      </c>
      <c r="Q7" s="42" t="s">
        <v>205</v>
      </c>
      <c r="R7" s="42" t="s">
        <v>203</v>
      </c>
      <c r="S7" s="34" t="s">
        <v>186</v>
      </c>
      <c r="T7" s="35" t="s">
        <v>187</v>
      </c>
      <c r="U7" s="35" t="s">
        <v>188</v>
      </c>
    </row>
    <row r="8" spans="1:24" x14ac:dyDescent="0.2">
      <c r="A8" s="50">
        <v>7013469</v>
      </c>
      <c r="B8" s="50" t="str">
        <f>VLOOKUP(A8,Homologacion!$E$1:$F$130,2,0)</f>
        <v>GALARZA GALARRETA MARIA TERESA</v>
      </c>
      <c r="C8" s="50" t="s">
        <v>220</v>
      </c>
      <c r="D8" s="50">
        <v>14</v>
      </c>
      <c r="E8" s="88">
        <f>SUMIF(ESPECIALISTA!$B$8:$B$144,$B8,ESPECIALISTA!$G$8:$G$144)</f>
        <v>1247.2222222222226</v>
      </c>
      <c r="F8" s="88">
        <f>SUMIF(ESPECIALISTA!$B$8:$B$144,$B8,ESPECIALISTA!$H$8:$H$144)</f>
        <v>1082</v>
      </c>
      <c r="G8" s="52">
        <f t="shared" ref="G8:G11" si="0">IFERROR((F8/E8),0)</f>
        <v>0.86752783964365232</v>
      </c>
      <c r="H8" s="61">
        <f t="shared" ref="H8:H11" si="1">+G8*$H$6</f>
        <v>0.52051670378619141</v>
      </c>
      <c r="I8" s="90">
        <f>SUMIF(ESPECIALISTA!$B$8:$B$144,$B8,ESPECIALISTA!$K$8:$K$144)</f>
        <v>1001</v>
      </c>
      <c r="J8" s="88">
        <f>SUMIF(ESPECIALISTA!$B$8:$B$144,$B8,ESPECIALISTA!$L$8:$L$144)</f>
        <v>932</v>
      </c>
      <c r="K8" s="52">
        <f t="shared" ref="K8:K11" si="2">IFERROR((J8/I8),0)</f>
        <v>0.93106893106893107</v>
      </c>
      <c r="L8" s="54">
        <f t="shared" ref="L8:L11" si="3">+K8*$L$6</f>
        <v>0.37242757242757246</v>
      </c>
      <c r="M8" s="62">
        <f t="shared" ref="M8:M11" si="4">ROUND(SUM(H8+L8),2)</f>
        <v>0.89</v>
      </c>
      <c r="N8" s="135">
        <f t="shared" ref="N8:N11" si="5">SUMIF(I8,"&lt;&gt;0",$L$6)+SUMIF(E8,"&lt;&gt;0",$H$6)</f>
        <v>1</v>
      </c>
      <c r="O8" s="136">
        <f t="shared" ref="O8:O11" si="6">ROUND(M8/N8,2)</f>
        <v>0.89</v>
      </c>
      <c r="P8" s="63">
        <f>VLOOKUP(O8,TABLA!$G$5:$J$16,4,1)</f>
        <v>0.8</v>
      </c>
      <c r="Q8" s="55">
        <f>AVERAGEIF(ESPECIALISTA!$B$8:$B$144,$B8,ESPECIALISTA!$S$8:$S$144)</f>
        <v>1</v>
      </c>
      <c r="R8" s="56">
        <f>VLOOKUP(Q8,TABLA!$G$20:$J$29,4,1)</f>
        <v>1.1000000000000001</v>
      </c>
      <c r="S8" s="57">
        <f t="shared" ref="S8:S11" si="7">IFERROR(IF(OR(K8&gt;=60%,I8=0),(R8*P8)*VLOOKUP(C8,$Q$2:$S$4,3,0),0),0)/30*D8</f>
        <v>0</v>
      </c>
      <c r="T8" s="58">
        <v>0</v>
      </c>
      <c r="U8" s="60">
        <f t="shared" ref="U8:U16" si="8">T8+S8</f>
        <v>0</v>
      </c>
    </row>
    <row r="9" spans="1:24" x14ac:dyDescent="0.2">
      <c r="A9" s="50">
        <v>7034689</v>
      </c>
      <c r="B9" s="50" t="str">
        <f>VLOOKUP(A9,Homologacion!$E$1:$F$130,2,0)</f>
        <v>ROBALINO CALLA HILDA MARISOL</v>
      </c>
      <c r="C9" s="50" t="s">
        <v>220</v>
      </c>
      <c r="D9" s="50">
        <v>30</v>
      </c>
      <c r="E9" s="88">
        <f>SUMIF(ESPECIALISTA!$B$8:$B$144,$B9,ESPECIALISTA!$G$8:$G$144)</f>
        <v>2027.7777777777785</v>
      </c>
      <c r="F9" s="88">
        <f>SUMIF(ESPECIALISTA!$B$8:$B$144,$B9,ESPECIALISTA!$H$8:$H$144)</f>
        <v>2134</v>
      </c>
      <c r="G9" s="52">
        <f t="shared" si="0"/>
        <v>1.0523835616438353</v>
      </c>
      <c r="H9" s="61">
        <f t="shared" si="1"/>
        <v>0.63143013698630113</v>
      </c>
      <c r="I9" s="90">
        <f>SUMIF(ESPECIALISTA!$B$8:$B$144,$B9,ESPECIALISTA!$K$8:$K$144)</f>
        <v>1430</v>
      </c>
      <c r="J9" s="88">
        <f>SUMIF(ESPECIALISTA!$B$8:$B$144,$B9,ESPECIALISTA!$L$8:$L$144)</f>
        <v>1221</v>
      </c>
      <c r="K9" s="52">
        <f t="shared" si="2"/>
        <v>0.85384615384615381</v>
      </c>
      <c r="L9" s="54">
        <f t="shared" si="3"/>
        <v>0.34153846153846157</v>
      </c>
      <c r="M9" s="62">
        <f t="shared" si="4"/>
        <v>0.97</v>
      </c>
      <c r="N9" s="135">
        <f t="shared" si="5"/>
        <v>1</v>
      </c>
      <c r="O9" s="136">
        <f t="shared" si="6"/>
        <v>0.97</v>
      </c>
      <c r="P9" s="63">
        <f>VLOOKUP(O9,TABLA!$G$5:$J$16,4,1)</f>
        <v>0.95</v>
      </c>
      <c r="Q9" s="55">
        <f>AVERAGEIF(ESPECIALISTA!$B$8:$B$144,$B9,ESPECIALISTA!$S$8:$S$144)</f>
        <v>0.91633333333333344</v>
      </c>
      <c r="R9" s="56">
        <f>VLOOKUP(Q9,TABLA!$G$20:$J$29,4,1)</f>
        <v>0.9</v>
      </c>
      <c r="S9" s="57">
        <f t="shared" si="7"/>
        <v>0</v>
      </c>
      <c r="T9" s="58">
        <v>0</v>
      </c>
      <c r="U9" s="60">
        <f t="shared" si="8"/>
        <v>0</v>
      </c>
      <c r="W9" s="191"/>
    </row>
    <row r="10" spans="1:24" x14ac:dyDescent="0.2">
      <c r="A10" s="50">
        <v>50040468</v>
      </c>
      <c r="B10" s="50" t="str">
        <f>VLOOKUP(A10,Homologacion!$E$1:$F$130,2,0)</f>
        <v>PONCE ENCISO PABLO FERNANDO</v>
      </c>
      <c r="C10" s="50" t="s">
        <v>220</v>
      </c>
      <c r="D10" s="50">
        <v>30</v>
      </c>
      <c r="E10" s="88">
        <f>SUMIF(ESPECIALISTA!$B$8:$B$144,$B10,ESPECIALISTA!$G$8:$G$144)</f>
        <v>3080</v>
      </c>
      <c r="F10" s="88">
        <f>SUMIF(ESPECIALISTA!$B$8:$B$144,$B10,ESPECIALISTA!$H$8:$H$144)</f>
        <v>2535</v>
      </c>
      <c r="G10" s="52">
        <f t="shared" si="0"/>
        <v>0.82305194805194803</v>
      </c>
      <c r="H10" s="61">
        <f t="shared" si="1"/>
        <v>0.49383116883116879</v>
      </c>
      <c r="I10" s="90">
        <f>SUMIF(ESPECIALISTA!$B$8:$B$144,$B10,ESPECIALISTA!$K$8:$K$144)</f>
        <v>2386</v>
      </c>
      <c r="J10" s="88">
        <f>SUMIF(ESPECIALISTA!$B$8:$B$144,$B10,ESPECIALISTA!$L$8:$L$144)</f>
        <v>1959</v>
      </c>
      <c r="K10" s="52">
        <f t="shared" si="2"/>
        <v>0.82103939647946356</v>
      </c>
      <c r="L10" s="54">
        <f t="shared" si="3"/>
        <v>0.32841575859178546</v>
      </c>
      <c r="M10" s="62">
        <f t="shared" si="4"/>
        <v>0.82</v>
      </c>
      <c r="N10" s="135">
        <f t="shared" si="5"/>
        <v>1</v>
      </c>
      <c r="O10" s="136">
        <f t="shared" si="6"/>
        <v>0.82</v>
      </c>
      <c r="P10" s="63">
        <f>VLOOKUP(O10,TABLA!$G$5:$J$16,4,1)</f>
        <v>0.7</v>
      </c>
      <c r="Q10" s="55">
        <f>AVERAGEIF(ESPECIALISTA!$B$8:$B$144,$B10,ESPECIALISTA!$S$8:$S$144)</f>
        <v>0.80136363636363628</v>
      </c>
      <c r="R10" s="56">
        <f>VLOOKUP(Q10,TABLA!$G$20:$J$29,4,1)</f>
        <v>0.7</v>
      </c>
      <c r="S10" s="57">
        <f t="shared" si="7"/>
        <v>0</v>
      </c>
      <c r="T10" s="58">
        <v>0</v>
      </c>
      <c r="U10" s="60">
        <f t="shared" si="8"/>
        <v>0</v>
      </c>
    </row>
    <row r="11" spans="1:24" x14ac:dyDescent="0.2">
      <c r="A11" s="50">
        <v>7028723</v>
      </c>
      <c r="B11" s="50" t="str">
        <f>VLOOKUP(A11,Homologacion!$E$1:$F$130,2,0)</f>
        <v>PEREZ DIAZ ROSA MARIA</v>
      </c>
      <c r="C11" s="50" t="s">
        <v>220</v>
      </c>
      <c r="D11" s="50">
        <v>29</v>
      </c>
      <c r="E11" s="88">
        <f>SUMIF(ESPECIALISTA!$B$8:$B$144,$B11,ESPECIALISTA!$G$8:$G$144)</f>
        <v>4796.3888888888887</v>
      </c>
      <c r="F11" s="88">
        <f>SUMIF(ESPECIALISTA!$B$8:$B$144,$B11,ESPECIALISTA!$H$8:$H$144)</f>
        <v>4599</v>
      </c>
      <c r="G11" s="52">
        <f t="shared" si="0"/>
        <v>0.95884635431748422</v>
      </c>
      <c r="H11" s="61">
        <f t="shared" si="1"/>
        <v>0.57530781259049046</v>
      </c>
      <c r="I11" s="90">
        <f>SUMIF(ESPECIALISTA!$B$8:$B$144,$B11,ESPECIALISTA!$K$8:$K$144)</f>
        <v>3453</v>
      </c>
      <c r="J11" s="88">
        <f>SUMIF(ESPECIALISTA!$B$8:$B$144,$B11,ESPECIALISTA!$L$8:$L$144)</f>
        <v>3231</v>
      </c>
      <c r="K11" s="52">
        <f t="shared" si="2"/>
        <v>0.93570807993049521</v>
      </c>
      <c r="L11" s="54">
        <f t="shared" si="3"/>
        <v>0.37428323197219809</v>
      </c>
      <c r="M11" s="62">
        <f t="shared" si="4"/>
        <v>0.95</v>
      </c>
      <c r="N11" s="135">
        <f t="shared" si="5"/>
        <v>1</v>
      </c>
      <c r="O11" s="136">
        <f t="shared" si="6"/>
        <v>0.95</v>
      </c>
      <c r="P11" s="63">
        <f>VLOOKUP(O11,TABLA!$G$5:$J$16,4,1)</f>
        <v>0.95</v>
      </c>
      <c r="Q11" s="55">
        <f>AVERAGEIF(ESPECIALISTA!$B$8:$B$144,$B11,ESPECIALISTA!$S$8:$S$144)</f>
        <v>0.93791666666666662</v>
      </c>
      <c r="R11" s="56">
        <f>VLOOKUP(Q11,TABLA!$G$20:$J$29,4,1)</f>
        <v>0.95</v>
      </c>
      <c r="S11" s="57">
        <f t="shared" si="7"/>
        <v>0</v>
      </c>
      <c r="T11" s="58">
        <v>0</v>
      </c>
      <c r="U11" s="60">
        <f t="shared" si="8"/>
        <v>0</v>
      </c>
    </row>
    <row r="12" spans="1:24" x14ac:dyDescent="0.2">
      <c r="E12" s="89"/>
      <c r="F12" s="89"/>
      <c r="I12" s="89"/>
      <c r="J12" s="89"/>
    </row>
    <row r="13" spans="1:24" x14ac:dyDescent="0.2">
      <c r="E13" s="89"/>
      <c r="F13" s="89"/>
      <c r="I13" s="89"/>
      <c r="J13" s="89"/>
    </row>
    <row r="14" spans="1:24" ht="15.75" x14ac:dyDescent="0.2">
      <c r="E14" s="219" t="s">
        <v>253</v>
      </c>
      <c r="F14" s="219"/>
      <c r="G14" s="219"/>
      <c r="H14" s="41">
        <v>0.3</v>
      </c>
      <c r="I14" s="222" t="s">
        <v>267</v>
      </c>
      <c r="J14" s="223"/>
      <c r="K14" s="223"/>
      <c r="L14" s="40">
        <v>0.7</v>
      </c>
      <c r="M14" s="228" t="s">
        <v>206</v>
      </c>
      <c r="N14" s="229"/>
      <c r="O14" s="229"/>
      <c r="P14" s="230"/>
      <c r="Q14" s="220" t="s">
        <v>201</v>
      </c>
      <c r="R14" s="221"/>
      <c r="S14" s="30"/>
      <c r="T14" s="97"/>
    </row>
    <row r="15" spans="1:24" ht="25.5" x14ac:dyDescent="0.2">
      <c r="A15" s="37" t="s">
        <v>1</v>
      </c>
      <c r="B15" s="37" t="s">
        <v>2</v>
      </c>
      <c r="C15" s="37" t="s">
        <v>189</v>
      </c>
      <c r="D15" s="37" t="s">
        <v>306</v>
      </c>
      <c r="E15" s="36" t="s">
        <v>115</v>
      </c>
      <c r="F15" s="36" t="s">
        <v>191</v>
      </c>
      <c r="G15" s="36" t="s">
        <v>204</v>
      </c>
      <c r="H15" s="36" t="s">
        <v>207</v>
      </c>
      <c r="I15" s="38" t="s">
        <v>197</v>
      </c>
      <c r="J15" s="39" t="s">
        <v>196</v>
      </c>
      <c r="K15" s="39" t="s">
        <v>204</v>
      </c>
      <c r="L15" s="39" t="s">
        <v>208</v>
      </c>
      <c r="M15" s="46" t="s">
        <v>493</v>
      </c>
      <c r="N15" s="144" t="s">
        <v>492</v>
      </c>
      <c r="O15" s="144" t="s">
        <v>491</v>
      </c>
      <c r="P15" s="47" t="s">
        <v>116</v>
      </c>
      <c r="Q15" s="42" t="s">
        <v>205</v>
      </c>
      <c r="R15" s="42" t="s">
        <v>203</v>
      </c>
      <c r="S15" s="34" t="s">
        <v>186</v>
      </c>
      <c r="T15" s="35"/>
      <c r="U15" s="35" t="s">
        <v>188</v>
      </c>
    </row>
    <row r="16" spans="1:24" x14ac:dyDescent="0.2">
      <c r="A16" s="50">
        <v>7013196</v>
      </c>
      <c r="B16" s="50" t="s">
        <v>219</v>
      </c>
      <c r="C16" s="50" t="s">
        <v>221</v>
      </c>
      <c r="D16" s="50">
        <v>30</v>
      </c>
      <c r="E16" s="88">
        <f>SUM(E8:E11)</f>
        <v>11151.388888888891</v>
      </c>
      <c r="F16" s="88">
        <f>SUM(F8:F11)</f>
        <v>10350</v>
      </c>
      <c r="G16" s="52">
        <f t="shared" ref="G16" si="9">IFERROR((F16/E16),0)</f>
        <v>0.92813550878066997</v>
      </c>
      <c r="H16" s="61">
        <f>+G16*$H$14</f>
        <v>0.27844065263420098</v>
      </c>
      <c r="I16" s="90">
        <f>SUM(I8:I11)</f>
        <v>8270</v>
      </c>
      <c r="J16" s="88">
        <f>SUM(J8:J11)</f>
        <v>7343</v>
      </c>
      <c r="K16" s="52">
        <f>IFERROR((J16/I16),0)</f>
        <v>0.88790810157194677</v>
      </c>
      <c r="L16" s="54">
        <f>+K16*$L$14</f>
        <v>0.62153567110036267</v>
      </c>
      <c r="M16" s="62">
        <f>ROUND(SUM(H16+L16),2)</f>
        <v>0.9</v>
      </c>
      <c r="N16" s="135">
        <f t="shared" ref="N16" si="10">SUMIF(I16,"&lt;&gt;0",$L$6)+SUMIF(E16,"&lt;&gt;0",$H$6)</f>
        <v>1</v>
      </c>
      <c r="O16" s="136">
        <f t="shared" ref="O16" si="11">ROUND(M16/N16,2)</f>
        <v>0.9</v>
      </c>
      <c r="P16" s="63">
        <f>VLOOKUP(O16,TABLA!$G$5:$J$16,4,1)</f>
        <v>0.9</v>
      </c>
      <c r="Q16" s="55">
        <f>AVERAGE(Q8:Q11)</f>
        <v>0.91390340909090917</v>
      </c>
      <c r="R16" s="56">
        <f>VLOOKUP(Q16,TABLA!$G$20:$J$29,4,1)</f>
        <v>0.9</v>
      </c>
      <c r="S16" s="57">
        <f t="shared" ref="S16" si="12">IFERROR(IF(OR(K16&gt;=60%,I16=0),(R16*P16)*VLOOKUP(C16,$Q$2:$S$4,3,0),0),0)/30*D16</f>
        <v>0</v>
      </c>
      <c r="T16" s="58"/>
      <c r="U16" s="60">
        <f t="shared" si="8"/>
        <v>0</v>
      </c>
      <c r="X16" s="191"/>
    </row>
  </sheetData>
  <autoFilter ref="A7:U7"/>
  <mergeCells count="12">
    <mergeCell ref="T3:U3"/>
    <mergeCell ref="Q6:R6"/>
    <mergeCell ref="E6:G6"/>
    <mergeCell ref="I6:K6"/>
    <mergeCell ref="M6:P6"/>
    <mergeCell ref="Q2:R2"/>
    <mergeCell ref="Q3:R3"/>
    <mergeCell ref="Q4:R4"/>
    <mergeCell ref="E14:G14"/>
    <mergeCell ref="I14:K14"/>
    <mergeCell ref="M14:P14"/>
    <mergeCell ref="Q14:R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showGridLines="0" zoomScale="80" zoomScaleNormal="80" workbookViewId="0">
      <selection activeCell="E8" sqref="E8"/>
    </sheetView>
  </sheetViews>
  <sheetFormatPr baseColWidth="10" defaultRowHeight="15" x14ac:dyDescent="0.25"/>
  <cols>
    <col min="1" max="1" width="3.7109375" customWidth="1"/>
    <col min="2" max="2" width="18.42578125" customWidth="1"/>
    <col min="3" max="3" width="21" style="2" customWidth="1"/>
    <col min="4" max="4" width="28.85546875" customWidth="1"/>
    <col min="5" max="5" width="7.7109375" style="10" bestFit="1" customWidth="1"/>
    <col min="6" max="6" width="6.28515625" customWidth="1"/>
  </cols>
  <sheetData>
    <row r="2" spans="2:6" ht="18.75" x14ac:dyDescent="0.3">
      <c r="B2" s="24" t="s">
        <v>182</v>
      </c>
    </row>
    <row r="3" spans="2:6" s="10" customFormat="1" ht="9" customHeight="1" x14ac:dyDescent="0.25">
      <c r="C3" s="2"/>
    </row>
    <row r="4" spans="2:6" x14ac:dyDescent="0.25">
      <c r="C4" s="1" t="s">
        <v>170</v>
      </c>
      <c r="E4" s="29"/>
    </row>
    <row r="5" spans="2:6" ht="30" customHeight="1" x14ac:dyDescent="0.25">
      <c r="B5" s="1" t="s">
        <v>218</v>
      </c>
      <c r="C5" s="10" t="s">
        <v>171</v>
      </c>
      <c r="D5" s="10" t="s">
        <v>193</v>
      </c>
      <c r="E5" s="86" t="s">
        <v>172</v>
      </c>
    </row>
    <row r="6" spans="2:6" x14ac:dyDescent="0.25">
      <c r="B6" s="75" t="s">
        <v>3</v>
      </c>
      <c r="C6" s="170">
        <v>75</v>
      </c>
      <c r="D6" s="170">
        <v>77</v>
      </c>
      <c r="E6" s="199">
        <f>IFERROR((D6/C6),0)</f>
        <v>1.0266666666666666</v>
      </c>
      <c r="F6" s="180"/>
    </row>
    <row r="7" spans="2:6" x14ac:dyDescent="0.25">
      <c r="B7" s="157" t="s">
        <v>6</v>
      </c>
      <c r="C7" s="169">
        <v>2200</v>
      </c>
      <c r="D7" s="169">
        <v>1728</v>
      </c>
      <c r="E7" s="179">
        <f t="shared" ref="E7:E17" si="0">IFERROR((D7/C7),0)</f>
        <v>0.78545454545454541</v>
      </c>
      <c r="F7" s="181"/>
    </row>
    <row r="8" spans="2:6" x14ac:dyDescent="0.25">
      <c r="B8" s="75" t="s">
        <v>23</v>
      </c>
      <c r="C8" s="170">
        <v>1198</v>
      </c>
      <c r="D8" s="170">
        <v>1295</v>
      </c>
      <c r="E8" s="199">
        <f t="shared" si="0"/>
        <v>1.0809682804674456</v>
      </c>
      <c r="F8" s="181"/>
    </row>
    <row r="9" spans="2:6" x14ac:dyDescent="0.25">
      <c r="B9" s="157" t="s">
        <v>25</v>
      </c>
      <c r="C9" s="169">
        <v>1256.8888888888889</v>
      </c>
      <c r="D9" s="169">
        <v>964</v>
      </c>
      <c r="E9" s="179">
        <f t="shared" si="0"/>
        <v>0.766973125884017</v>
      </c>
      <c r="F9" s="181"/>
    </row>
    <row r="10" spans="2:6" x14ac:dyDescent="0.25">
      <c r="B10" s="157" t="s">
        <v>30</v>
      </c>
      <c r="C10" s="169">
        <v>386.22222222222274</v>
      </c>
      <c r="D10" s="169">
        <v>375</v>
      </c>
      <c r="E10" s="179">
        <f t="shared" si="0"/>
        <v>0.97094361334867529</v>
      </c>
      <c r="F10" s="181"/>
    </row>
    <row r="11" spans="2:6" x14ac:dyDescent="0.25">
      <c r="B11" s="75" t="s">
        <v>48</v>
      </c>
      <c r="C11" s="170">
        <v>621.5</v>
      </c>
      <c r="D11" s="170">
        <v>649</v>
      </c>
      <c r="E11" s="199">
        <f t="shared" si="0"/>
        <v>1.0442477876106195</v>
      </c>
      <c r="F11" s="181"/>
    </row>
    <row r="12" spans="2:6" x14ac:dyDescent="0.25">
      <c r="B12" s="75" t="s">
        <v>71</v>
      </c>
      <c r="C12" s="170">
        <v>2027.7777777777785</v>
      </c>
      <c r="D12" s="170">
        <v>2134</v>
      </c>
      <c r="E12" s="199">
        <f t="shared" si="0"/>
        <v>1.0523835616438353</v>
      </c>
      <c r="F12" s="181"/>
    </row>
    <row r="13" spans="2:6" x14ac:dyDescent="0.25">
      <c r="B13" s="157" t="s">
        <v>106</v>
      </c>
      <c r="C13" s="169">
        <v>568</v>
      </c>
      <c r="D13" s="169">
        <v>431</v>
      </c>
      <c r="E13" s="179">
        <f t="shared" si="0"/>
        <v>0.75880281690140849</v>
      </c>
      <c r="F13" s="181"/>
    </row>
    <row r="14" spans="2:6" x14ac:dyDescent="0.25">
      <c r="B14" s="157" t="s">
        <v>216</v>
      </c>
      <c r="C14" s="169">
        <v>880</v>
      </c>
      <c r="D14" s="169">
        <v>807</v>
      </c>
      <c r="E14" s="179">
        <f t="shared" si="0"/>
        <v>0.9170454545454545</v>
      </c>
      <c r="F14" s="181"/>
    </row>
    <row r="15" spans="2:6" x14ac:dyDescent="0.25">
      <c r="B15" s="157" t="s">
        <v>34</v>
      </c>
      <c r="C15" s="169">
        <v>133</v>
      </c>
      <c r="D15" s="169">
        <v>115</v>
      </c>
      <c r="E15" s="179">
        <f t="shared" si="0"/>
        <v>0.86466165413533835</v>
      </c>
      <c r="F15" s="181"/>
    </row>
    <row r="16" spans="2:6" x14ac:dyDescent="0.25">
      <c r="B16" s="157" t="s">
        <v>508</v>
      </c>
      <c r="C16" s="169">
        <v>85</v>
      </c>
      <c r="D16" s="169">
        <v>84</v>
      </c>
      <c r="E16" s="179">
        <f t="shared" si="0"/>
        <v>0.9882352941176471</v>
      </c>
      <c r="F16" s="181"/>
    </row>
    <row r="17" spans="2:6" x14ac:dyDescent="0.25">
      <c r="B17" s="157" t="s">
        <v>514</v>
      </c>
      <c r="C17" s="169">
        <v>1720</v>
      </c>
      <c r="D17" s="169">
        <v>1691</v>
      </c>
      <c r="E17" s="179">
        <f t="shared" si="0"/>
        <v>0.98313953488372097</v>
      </c>
      <c r="F17" s="181"/>
    </row>
    <row r="18" spans="2:6" s="10" customFormat="1" x14ac:dyDescent="0.25">
      <c r="B18" s="16" t="s">
        <v>114</v>
      </c>
      <c r="C18" s="165">
        <v>11151.388888888891</v>
      </c>
      <c r="D18" s="165">
        <v>10350</v>
      </c>
      <c r="E18" s="179"/>
      <c r="F18" s="181"/>
    </row>
    <row r="19" spans="2:6" s="10" customFormat="1" x14ac:dyDescent="0.25">
      <c r="B19"/>
      <c r="C19"/>
      <c r="D19"/>
    </row>
    <row r="20" spans="2:6" s="10" customFormat="1" x14ac:dyDescent="0.25">
      <c r="B20"/>
      <c r="C20"/>
      <c r="D20"/>
    </row>
    <row r="21" spans="2:6" x14ac:dyDescent="0.25">
      <c r="D21" s="165"/>
    </row>
    <row r="22" spans="2:6" x14ac:dyDescent="0.25">
      <c r="C22"/>
      <c r="F22" s="10"/>
    </row>
    <row r="23" spans="2:6" ht="40.5" customHeight="1" x14ac:dyDescent="0.25">
      <c r="F23" s="10"/>
    </row>
    <row r="24" spans="2:6" ht="27" customHeight="1" x14ac:dyDescent="0.25"/>
    <row r="25" spans="2:6" ht="27" customHeight="1" x14ac:dyDescent="0.25"/>
    <row r="26" spans="2:6" ht="27" customHeight="1" x14ac:dyDescent="0.25"/>
    <row r="27" spans="2:6" ht="27" customHeight="1" x14ac:dyDescent="0.25"/>
    <row r="28" spans="2:6" ht="27" customHeight="1" x14ac:dyDescent="0.25"/>
    <row r="29" spans="2:6" x14ac:dyDescent="0.25">
      <c r="C29"/>
    </row>
    <row r="30" spans="2:6" x14ac:dyDescent="0.25">
      <c r="C30"/>
    </row>
    <row r="31" spans="2:6" x14ac:dyDescent="0.25">
      <c r="C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34"/>
  <sheetViews>
    <sheetView showGridLines="0" zoomScale="80" zoomScaleNormal="8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baseColWidth="10" defaultRowHeight="15" x14ac:dyDescent="0.25"/>
  <cols>
    <col min="1" max="1" width="4.42578125" style="10" bestFit="1" customWidth="1"/>
    <col min="2" max="2" width="19.85546875" style="10" bestFit="1" customWidth="1"/>
    <col min="3" max="4" width="36" style="10" bestFit="1" customWidth="1"/>
    <col min="5" max="5" width="15.28515625" style="10" customWidth="1"/>
    <col min="6" max="6" width="56" style="10" customWidth="1"/>
    <col min="7" max="16384" width="11.42578125" style="10"/>
  </cols>
  <sheetData>
    <row r="1" spans="1:7" x14ac:dyDescent="0.25">
      <c r="A1" s="128" t="s">
        <v>129</v>
      </c>
      <c r="B1" s="126" t="s">
        <v>488</v>
      </c>
      <c r="C1" s="124" t="s">
        <v>487</v>
      </c>
      <c r="D1" s="124" t="s">
        <v>130</v>
      </c>
      <c r="E1" s="126" t="s">
        <v>395</v>
      </c>
      <c r="F1" s="126" t="s">
        <v>480</v>
      </c>
      <c r="G1" s="126" t="s">
        <v>189</v>
      </c>
    </row>
    <row r="2" spans="1:7" ht="15" hidden="1" customHeight="1" x14ac:dyDescent="0.25">
      <c r="A2" s="12">
        <v>1</v>
      </c>
      <c r="B2" s="12" t="s">
        <v>132</v>
      </c>
      <c r="C2" s="12" t="s">
        <v>18</v>
      </c>
      <c r="D2" s="12" t="s">
        <v>18</v>
      </c>
      <c r="E2" s="12">
        <v>50054337</v>
      </c>
      <c r="F2" s="12" t="s">
        <v>284</v>
      </c>
      <c r="G2" s="10" t="s">
        <v>251</v>
      </c>
    </row>
    <row r="3" spans="1:7" ht="15" hidden="1" customHeight="1" x14ac:dyDescent="0.25">
      <c r="A3" s="12">
        <v>2</v>
      </c>
      <c r="B3" s="12" t="s">
        <v>327</v>
      </c>
      <c r="C3" s="12" t="s">
        <v>5</v>
      </c>
      <c r="D3" s="12" t="s">
        <v>5</v>
      </c>
      <c r="E3" s="12">
        <v>50008739</v>
      </c>
      <c r="F3" s="12" t="s">
        <v>405</v>
      </c>
      <c r="G3" s="10" t="s">
        <v>250</v>
      </c>
    </row>
    <row r="4" spans="1:7" ht="15" hidden="1" customHeight="1" x14ac:dyDescent="0.25">
      <c r="A4" s="12">
        <v>3</v>
      </c>
      <c r="B4" s="12" t="s">
        <v>328</v>
      </c>
      <c r="C4" s="12" t="s">
        <v>4</v>
      </c>
      <c r="D4" s="12" t="s">
        <v>4</v>
      </c>
      <c r="E4" s="12">
        <v>7019961</v>
      </c>
      <c r="F4" s="12" t="s">
        <v>403</v>
      </c>
      <c r="G4" s="10" t="s">
        <v>250</v>
      </c>
    </row>
    <row r="5" spans="1:7" ht="15" hidden="1" customHeight="1" x14ac:dyDescent="0.25">
      <c r="A5" s="12">
        <v>4</v>
      </c>
      <c r="B5" s="114" t="s">
        <v>242</v>
      </c>
      <c r="C5" s="12" t="s">
        <v>9</v>
      </c>
      <c r="D5" s="12" t="s">
        <v>9</v>
      </c>
      <c r="E5" s="12">
        <v>7021785</v>
      </c>
      <c r="F5" s="12" t="s">
        <v>276</v>
      </c>
      <c r="G5" s="10" t="s">
        <v>251</v>
      </c>
    </row>
    <row r="6" spans="1:7" ht="15" hidden="1" customHeight="1" x14ac:dyDescent="0.25">
      <c r="A6" s="14">
        <v>5</v>
      </c>
      <c r="B6" s="14" t="s">
        <v>133</v>
      </c>
      <c r="C6" s="14" t="s">
        <v>10</v>
      </c>
      <c r="D6" s="14" t="s">
        <v>10</v>
      </c>
      <c r="E6" s="14">
        <v>7032030</v>
      </c>
      <c r="F6" s="14" t="s">
        <v>289</v>
      </c>
      <c r="G6" s="10" t="s">
        <v>251</v>
      </c>
    </row>
    <row r="7" spans="1:7" ht="15" hidden="1" customHeight="1" x14ac:dyDescent="0.25">
      <c r="A7" s="12">
        <v>6</v>
      </c>
      <c r="B7" s="12" t="s">
        <v>134</v>
      </c>
      <c r="C7" s="12" t="s">
        <v>20</v>
      </c>
      <c r="D7" s="12" t="s">
        <v>20</v>
      </c>
      <c r="E7" s="12">
        <v>50071349</v>
      </c>
      <c r="F7" s="12" t="s">
        <v>295</v>
      </c>
      <c r="G7" s="10" t="s">
        <v>251</v>
      </c>
    </row>
    <row r="8" spans="1:7" ht="15" hidden="1" customHeight="1" x14ac:dyDescent="0.25">
      <c r="A8" s="12">
        <v>7</v>
      </c>
      <c r="B8" s="12" t="s">
        <v>329</v>
      </c>
      <c r="C8" s="12" t="s">
        <v>12</v>
      </c>
      <c r="D8" s="12" t="s">
        <v>12</v>
      </c>
      <c r="E8" s="12">
        <v>7051709</v>
      </c>
      <c r="F8" s="12" t="s">
        <v>416</v>
      </c>
      <c r="G8" s="10" t="s">
        <v>250</v>
      </c>
    </row>
    <row r="9" spans="1:7" ht="15" hidden="1" customHeight="1" x14ac:dyDescent="0.25">
      <c r="A9" s="12">
        <v>8</v>
      </c>
      <c r="B9" s="12" t="s">
        <v>14</v>
      </c>
      <c r="C9" s="12" t="s">
        <v>14</v>
      </c>
      <c r="D9" s="12" t="s">
        <v>14</v>
      </c>
      <c r="E9" s="12">
        <v>50004670</v>
      </c>
      <c r="F9" s="12" t="s">
        <v>302</v>
      </c>
      <c r="G9" s="10" t="e">
        <v>#N/A</v>
      </c>
    </row>
    <row r="10" spans="1:7" ht="15" hidden="1" customHeight="1" x14ac:dyDescent="0.25">
      <c r="A10" s="12">
        <v>9</v>
      </c>
      <c r="B10" s="12" t="s">
        <v>131</v>
      </c>
      <c r="C10" s="12" t="s">
        <v>21</v>
      </c>
      <c r="D10" s="12" t="s">
        <v>21</v>
      </c>
      <c r="E10" s="12">
        <v>50075738</v>
      </c>
      <c r="F10" s="12" t="s">
        <v>300</v>
      </c>
      <c r="G10" s="10" t="s">
        <v>251</v>
      </c>
    </row>
    <row r="11" spans="1:7" ht="15" hidden="1" customHeight="1" x14ac:dyDescent="0.25">
      <c r="A11" s="12">
        <v>10</v>
      </c>
      <c r="B11" s="12" t="s">
        <v>330</v>
      </c>
      <c r="C11" s="12" t="s">
        <v>19</v>
      </c>
      <c r="D11" s="12" t="s">
        <v>19</v>
      </c>
      <c r="E11" s="12">
        <v>50062066</v>
      </c>
      <c r="F11" s="12" t="s">
        <v>291</v>
      </c>
      <c r="G11" s="10" t="s">
        <v>251</v>
      </c>
    </row>
    <row r="12" spans="1:7" ht="15" hidden="1" customHeight="1" x14ac:dyDescent="0.25">
      <c r="A12" s="12">
        <v>11</v>
      </c>
      <c r="B12" s="12" t="s">
        <v>331</v>
      </c>
      <c r="C12" s="12" t="s">
        <v>22</v>
      </c>
      <c r="D12" s="12" t="s">
        <v>22</v>
      </c>
      <c r="E12" s="12">
        <v>50094929</v>
      </c>
      <c r="F12" s="12" t="s">
        <v>286</v>
      </c>
      <c r="G12" s="10" t="s">
        <v>251</v>
      </c>
    </row>
    <row r="13" spans="1:7" ht="15" customHeight="1" x14ac:dyDescent="0.25">
      <c r="A13" s="12">
        <v>12</v>
      </c>
      <c r="B13" s="12" t="s">
        <v>332</v>
      </c>
      <c r="C13" s="12" t="s">
        <v>17</v>
      </c>
      <c r="D13" s="12" t="s">
        <v>17</v>
      </c>
      <c r="E13" s="12">
        <v>50050491</v>
      </c>
      <c r="F13" s="12" t="s">
        <v>275</v>
      </c>
      <c r="G13" s="10" t="s">
        <v>251</v>
      </c>
    </row>
    <row r="14" spans="1:7" ht="15" hidden="1" customHeight="1" x14ac:dyDescent="0.25">
      <c r="A14" s="12">
        <v>13</v>
      </c>
      <c r="B14" s="12" t="s">
        <v>135</v>
      </c>
      <c r="C14" s="12" t="s">
        <v>24</v>
      </c>
      <c r="D14" s="12" t="s">
        <v>24</v>
      </c>
      <c r="E14" s="12">
        <v>50097856</v>
      </c>
      <c r="F14" s="12" t="s">
        <v>444</v>
      </c>
      <c r="G14" s="10" t="s">
        <v>251</v>
      </c>
    </row>
    <row r="15" spans="1:7" ht="15" hidden="1" customHeight="1" x14ac:dyDescent="0.25">
      <c r="A15" s="12">
        <v>15</v>
      </c>
      <c r="B15" s="12" t="s">
        <v>333</v>
      </c>
      <c r="C15" s="12" t="s">
        <v>8</v>
      </c>
      <c r="D15" s="12" t="s">
        <v>8</v>
      </c>
      <c r="E15" s="12">
        <v>7010960</v>
      </c>
      <c r="F15" s="12" t="s">
        <v>424</v>
      </c>
      <c r="G15" s="10" t="e">
        <v>#N/A</v>
      </c>
    </row>
    <row r="16" spans="1:7" ht="15" hidden="1" customHeight="1" x14ac:dyDescent="0.25">
      <c r="A16" s="12">
        <v>16</v>
      </c>
      <c r="B16" s="12" t="s">
        <v>159</v>
      </c>
      <c r="C16" s="12" t="s">
        <v>215</v>
      </c>
      <c r="D16" s="12" t="s">
        <v>215</v>
      </c>
      <c r="E16" s="12">
        <v>50097922</v>
      </c>
      <c r="F16" s="12" t="s">
        <v>446</v>
      </c>
      <c r="G16" s="10" t="e">
        <v>#N/A</v>
      </c>
    </row>
    <row r="17" spans="1:7" ht="15" hidden="1" customHeight="1" x14ac:dyDescent="0.25">
      <c r="A17" s="12">
        <v>17</v>
      </c>
      <c r="B17" s="114" t="s">
        <v>136</v>
      </c>
      <c r="C17" s="12" t="s">
        <v>27</v>
      </c>
      <c r="D17" s="12" t="s">
        <v>27</v>
      </c>
      <c r="E17" s="12">
        <v>7007842</v>
      </c>
      <c r="F17" s="12" t="s">
        <v>420</v>
      </c>
      <c r="G17" s="10" t="s">
        <v>250</v>
      </c>
    </row>
    <row r="18" spans="1:7" ht="15" hidden="1" customHeight="1" x14ac:dyDescent="0.25">
      <c r="A18" s="12">
        <v>18</v>
      </c>
      <c r="B18" s="12" t="s">
        <v>334</v>
      </c>
      <c r="C18" s="12" t="s">
        <v>28</v>
      </c>
      <c r="D18" s="12" t="s">
        <v>28</v>
      </c>
      <c r="E18" s="12">
        <v>7052384</v>
      </c>
      <c r="F18" s="12" t="s">
        <v>433</v>
      </c>
      <c r="G18" s="10" t="s">
        <v>250</v>
      </c>
    </row>
    <row r="19" spans="1:7" ht="15" hidden="1" customHeight="1" x14ac:dyDescent="0.25">
      <c r="A19" s="12">
        <v>19</v>
      </c>
      <c r="B19" s="12" t="s">
        <v>245</v>
      </c>
      <c r="C19" s="12" t="s">
        <v>26</v>
      </c>
      <c r="D19" s="12" t="s">
        <v>26</v>
      </c>
      <c r="E19" s="12">
        <v>7003932</v>
      </c>
      <c r="F19" s="12" t="s">
        <v>427</v>
      </c>
      <c r="G19" s="10" t="s">
        <v>250</v>
      </c>
    </row>
    <row r="20" spans="1:7" ht="15" hidden="1" customHeight="1" x14ac:dyDescent="0.25">
      <c r="A20" s="12">
        <v>20</v>
      </c>
      <c r="B20" s="12" t="s">
        <v>335</v>
      </c>
      <c r="C20" s="12" t="s">
        <v>75</v>
      </c>
      <c r="D20" s="12" t="s">
        <v>75</v>
      </c>
      <c r="E20" s="12">
        <v>7017700</v>
      </c>
      <c r="F20" s="12" t="s">
        <v>412</v>
      </c>
      <c r="G20" s="10" t="s">
        <v>250</v>
      </c>
    </row>
    <row r="21" spans="1:7" ht="15" hidden="1" customHeight="1" x14ac:dyDescent="0.25">
      <c r="A21" s="12">
        <v>21</v>
      </c>
      <c r="B21" s="12" t="s">
        <v>336</v>
      </c>
      <c r="C21" s="12" t="s">
        <v>32</v>
      </c>
      <c r="D21" s="12" t="s">
        <v>32</v>
      </c>
      <c r="E21" s="12">
        <v>7017148</v>
      </c>
      <c r="F21" s="12" t="s">
        <v>401</v>
      </c>
      <c r="G21" s="10" t="s">
        <v>250</v>
      </c>
    </row>
    <row r="22" spans="1:7" ht="15" hidden="1" customHeight="1" x14ac:dyDescent="0.25">
      <c r="A22" s="12">
        <v>22</v>
      </c>
      <c r="B22" s="12" t="s">
        <v>137</v>
      </c>
      <c r="C22" s="12" t="s">
        <v>33</v>
      </c>
      <c r="D22" s="12" t="s">
        <v>33</v>
      </c>
      <c r="E22" s="12">
        <v>7041528</v>
      </c>
      <c r="F22" s="12" t="s">
        <v>415</v>
      </c>
      <c r="G22" s="10" t="s">
        <v>250</v>
      </c>
    </row>
    <row r="23" spans="1:7" ht="15" hidden="1" customHeight="1" x14ac:dyDescent="0.25">
      <c r="A23" s="12">
        <v>23</v>
      </c>
      <c r="B23" s="12" t="s">
        <v>150</v>
      </c>
      <c r="C23" s="12" t="s">
        <v>15</v>
      </c>
      <c r="D23" s="12" t="s">
        <v>15</v>
      </c>
      <c r="E23" s="12">
        <v>50023969</v>
      </c>
      <c r="F23" s="12" t="s">
        <v>288</v>
      </c>
      <c r="G23" s="10" t="s">
        <v>251</v>
      </c>
    </row>
    <row r="24" spans="1:7" ht="15" hidden="1" customHeight="1" x14ac:dyDescent="0.25">
      <c r="A24" s="12">
        <v>24</v>
      </c>
      <c r="B24" s="12" t="s">
        <v>138</v>
      </c>
      <c r="C24" s="12" t="s">
        <v>37</v>
      </c>
      <c r="D24" s="12" t="s">
        <v>37</v>
      </c>
      <c r="E24" s="12">
        <v>50046341</v>
      </c>
      <c r="F24" s="12" t="s">
        <v>442</v>
      </c>
      <c r="G24" s="10" t="s">
        <v>250</v>
      </c>
    </row>
    <row r="25" spans="1:7" ht="15" hidden="1" customHeight="1" x14ac:dyDescent="0.25">
      <c r="A25" s="12">
        <v>25</v>
      </c>
      <c r="B25" s="12" t="s">
        <v>337</v>
      </c>
      <c r="C25" s="12" t="s">
        <v>36</v>
      </c>
      <c r="D25" s="12" t="s">
        <v>36</v>
      </c>
      <c r="E25" s="12">
        <v>7051170</v>
      </c>
      <c r="F25" s="12" t="s">
        <v>281</v>
      </c>
      <c r="G25" s="10" t="s">
        <v>251</v>
      </c>
    </row>
    <row r="26" spans="1:7" ht="15" hidden="1" customHeight="1" x14ac:dyDescent="0.25">
      <c r="A26" s="12">
        <v>26</v>
      </c>
      <c r="B26" s="114" t="s">
        <v>139</v>
      </c>
      <c r="C26" s="12" t="s">
        <v>35</v>
      </c>
      <c r="D26" s="12" t="s">
        <v>35</v>
      </c>
      <c r="E26" s="12">
        <v>7001746</v>
      </c>
      <c r="F26" s="12" t="s">
        <v>425</v>
      </c>
      <c r="G26" s="10" t="s">
        <v>250</v>
      </c>
    </row>
    <row r="27" spans="1:7" ht="15" hidden="1" customHeight="1" x14ac:dyDescent="0.25">
      <c r="A27" s="12">
        <v>27</v>
      </c>
      <c r="B27" s="12" t="s">
        <v>16</v>
      </c>
      <c r="C27" s="12" t="s">
        <v>16</v>
      </c>
      <c r="D27" s="12" t="s">
        <v>16</v>
      </c>
      <c r="E27" s="12">
        <v>50036060</v>
      </c>
      <c r="F27" s="12" t="s">
        <v>439</v>
      </c>
      <c r="G27" s="10" t="s">
        <v>250</v>
      </c>
    </row>
    <row r="28" spans="1:7" ht="15" hidden="1" customHeight="1" x14ac:dyDescent="0.25">
      <c r="A28" s="12">
        <v>28</v>
      </c>
      <c r="B28" s="12" t="s">
        <v>338</v>
      </c>
      <c r="C28" s="12" t="s">
        <v>7</v>
      </c>
      <c r="D28" s="12" t="s">
        <v>7</v>
      </c>
      <c r="E28" s="12">
        <v>7010952</v>
      </c>
      <c r="F28" s="12" t="s">
        <v>423</v>
      </c>
      <c r="G28" s="10" t="s">
        <v>250</v>
      </c>
    </row>
    <row r="29" spans="1:7" ht="15" hidden="1" customHeight="1" x14ac:dyDescent="0.25">
      <c r="A29" s="12">
        <v>29</v>
      </c>
      <c r="B29" s="12" t="s">
        <v>339</v>
      </c>
      <c r="C29" s="12" t="s">
        <v>13</v>
      </c>
      <c r="D29" s="12" t="s">
        <v>13</v>
      </c>
      <c r="E29" s="12">
        <v>7051956</v>
      </c>
      <c r="F29" s="12" t="s">
        <v>408</v>
      </c>
      <c r="G29" s="10" t="s">
        <v>250</v>
      </c>
    </row>
    <row r="30" spans="1:7" hidden="1" x14ac:dyDescent="0.25">
      <c r="A30" s="12">
        <v>30</v>
      </c>
      <c r="B30" s="12" t="s">
        <v>243</v>
      </c>
      <c r="C30" s="12" t="s">
        <v>96</v>
      </c>
      <c r="D30" s="12" t="s">
        <v>96</v>
      </c>
      <c r="E30" s="12">
        <v>50022466</v>
      </c>
      <c r="F30" s="12" t="s">
        <v>435</v>
      </c>
      <c r="G30" s="10" t="s">
        <v>250</v>
      </c>
    </row>
    <row r="31" spans="1:7" ht="15" hidden="1" customHeight="1" x14ac:dyDescent="0.25">
      <c r="A31" s="12">
        <v>31</v>
      </c>
      <c r="B31" s="12" t="s">
        <v>340</v>
      </c>
      <c r="C31" s="12" t="s">
        <v>11</v>
      </c>
      <c r="D31" s="12" t="s">
        <v>11</v>
      </c>
      <c r="E31" s="12">
        <v>7048713</v>
      </c>
      <c r="F31" s="12" t="s">
        <v>290</v>
      </c>
      <c r="G31" s="10" t="s">
        <v>251</v>
      </c>
    </row>
    <row r="32" spans="1:7" ht="15" hidden="1" customHeight="1" x14ac:dyDescent="0.25">
      <c r="A32" s="12">
        <v>32</v>
      </c>
      <c r="B32" s="12" t="s">
        <v>154</v>
      </c>
      <c r="C32" s="12" t="s">
        <v>74</v>
      </c>
      <c r="D32" s="12" t="s">
        <v>74</v>
      </c>
      <c r="E32" s="12">
        <v>7015480</v>
      </c>
      <c r="F32" s="12" t="s">
        <v>283</v>
      </c>
      <c r="G32" s="10" t="s">
        <v>251</v>
      </c>
    </row>
    <row r="33" spans="1:7" ht="15" hidden="1" customHeight="1" x14ac:dyDescent="0.25">
      <c r="A33" s="12">
        <v>33</v>
      </c>
      <c r="B33" s="12" t="s">
        <v>341</v>
      </c>
      <c r="C33" s="12" t="s">
        <v>85</v>
      </c>
      <c r="D33" s="12" t="s">
        <v>85</v>
      </c>
      <c r="E33" s="12">
        <v>7046188</v>
      </c>
      <c r="F33" s="12" t="s">
        <v>406</v>
      </c>
      <c r="G33" s="10" t="e">
        <v>#N/A</v>
      </c>
    </row>
    <row r="34" spans="1:7" ht="15" hidden="1" customHeight="1" x14ac:dyDescent="0.25">
      <c r="A34" s="12">
        <v>34</v>
      </c>
      <c r="B34" s="12" t="s">
        <v>238</v>
      </c>
      <c r="C34" s="12" t="s">
        <v>92</v>
      </c>
      <c r="D34" s="12" t="s">
        <v>92</v>
      </c>
      <c r="E34" s="12">
        <v>50015007</v>
      </c>
      <c r="F34" s="12" t="s">
        <v>285</v>
      </c>
      <c r="G34" s="10" t="s">
        <v>251</v>
      </c>
    </row>
    <row r="35" spans="1:7" ht="15" hidden="1" customHeight="1" x14ac:dyDescent="0.25">
      <c r="A35" s="12">
        <v>35</v>
      </c>
      <c r="B35" s="12" t="s">
        <v>83</v>
      </c>
      <c r="C35" s="12" t="s">
        <v>83</v>
      </c>
      <c r="D35" s="12" t="s">
        <v>83</v>
      </c>
      <c r="E35" s="12">
        <v>7040314</v>
      </c>
      <c r="F35" s="12" t="s">
        <v>398</v>
      </c>
      <c r="G35" s="10" t="s">
        <v>250</v>
      </c>
    </row>
    <row r="36" spans="1:7" ht="15" hidden="1" customHeight="1" x14ac:dyDescent="0.25">
      <c r="A36" s="12">
        <v>36</v>
      </c>
      <c r="B36" s="12" t="s">
        <v>342</v>
      </c>
      <c r="C36" s="12" t="s">
        <v>91</v>
      </c>
      <c r="D36" s="12" t="s">
        <v>91</v>
      </c>
      <c r="E36" s="12">
        <v>50008507</v>
      </c>
      <c r="F36" s="12" t="s">
        <v>409</v>
      </c>
      <c r="G36" s="10" t="s">
        <v>250</v>
      </c>
    </row>
    <row r="37" spans="1:7" ht="15" hidden="1" customHeight="1" x14ac:dyDescent="0.25">
      <c r="A37" s="12">
        <v>37</v>
      </c>
      <c r="B37" s="12" t="s">
        <v>151</v>
      </c>
      <c r="C37" s="12" t="s">
        <v>84</v>
      </c>
      <c r="D37" s="12" t="s">
        <v>84</v>
      </c>
      <c r="E37" s="12">
        <v>7040637</v>
      </c>
      <c r="F37" s="12" t="s">
        <v>397</v>
      </c>
      <c r="G37" s="10" t="e">
        <v>#N/A</v>
      </c>
    </row>
    <row r="38" spans="1:7" ht="15" hidden="1" customHeight="1" x14ac:dyDescent="0.25">
      <c r="A38" s="12">
        <v>38</v>
      </c>
      <c r="B38" s="12" t="s">
        <v>343</v>
      </c>
      <c r="C38" s="12" t="s">
        <v>214</v>
      </c>
      <c r="D38" s="12" t="s">
        <v>214</v>
      </c>
      <c r="E38" s="12">
        <v>50044239</v>
      </c>
      <c r="F38" s="12" t="s">
        <v>279</v>
      </c>
      <c r="G38" s="10" t="s">
        <v>251</v>
      </c>
    </row>
    <row r="39" spans="1:7" ht="15" hidden="1" customHeight="1" x14ac:dyDescent="0.25">
      <c r="A39" s="12">
        <v>39</v>
      </c>
      <c r="B39" s="12" t="s">
        <v>148</v>
      </c>
      <c r="C39" s="12" t="s">
        <v>97</v>
      </c>
      <c r="D39" s="12" t="s">
        <v>97</v>
      </c>
      <c r="E39" s="12">
        <v>50028026</v>
      </c>
      <c r="F39" s="12" t="s">
        <v>278</v>
      </c>
      <c r="G39" s="10" t="s">
        <v>251</v>
      </c>
    </row>
    <row r="40" spans="1:7" ht="15" hidden="1" customHeight="1" x14ac:dyDescent="0.25">
      <c r="A40" s="12">
        <v>40</v>
      </c>
      <c r="B40" s="12" t="s">
        <v>344</v>
      </c>
      <c r="C40" s="12" t="s">
        <v>95</v>
      </c>
      <c r="D40" s="12" t="s">
        <v>95</v>
      </c>
      <c r="E40" s="12">
        <v>50021989</v>
      </c>
      <c r="F40" s="12" t="s">
        <v>305</v>
      </c>
      <c r="G40" s="10" t="s">
        <v>251</v>
      </c>
    </row>
    <row r="41" spans="1:7" ht="15" hidden="1" customHeight="1" x14ac:dyDescent="0.25">
      <c r="A41" s="12">
        <v>41</v>
      </c>
      <c r="B41" s="12" t="s">
        <v>149</v>
      </c>
      <c r="C41" s="12" t="s">
        <v>73</v>
      </c>
      <c r="D41" s="12" t="s">
        <v>73</v>
      </c>
      <c r="E41" s="12">
        <v>7010051</v>
      </c>
      <c r="F41" s="12" t="s">
        <v>301</v>
      </c>
      <c r="G41" s="10" t="s">
        <v>251</v>
      </c>
    </row>
    <row r="42" spans="1:7" ht="15" hidden="1" customHeight="1" x14ac:dyDescent="0.25">
      <c r="A42" s="12">
        <v>42</v>
      </c>
      <c r="B42" s="12" t="s">
        <v>345</v>
      </c>
      <c r="C42" s="12" t="s">
        <v>76</v>
      </c>
      <c r="D42" s="12" t="s">
        <v>76</v>
      </c>
      <c r="E42" s="12">
        <v>7019425</v>
      </c>
      <c r="F42" s="12" t="s">
        <v>396</v>
      </c>
      <c r="G42" s="10" t="s">
        <v>250</v>
      </c>
    </row>
    <row r="43" spans="1:7" ht="15" hidden="1" customHeight="1" x14ac:dyDescent="0.25">
      <c r="A43" s="12">
        <v>43</v>
      </c>
      <c r="B43" s="114" t="s">
        <v>153</v>
      </c>
      <c r="C43" s="12" t="s">
        <v>93</v>
      </c>
      <c r="D43" s="12" t="s">
        <v>93</v>
      </c>
      <c r="E43" s="12">
        <v>50016385</v>
      </c>
      <c r="F43" s="12" t="s">
        <v>274</v>
      </c>
      <c r="G43" s="10" t="s">
        <v>251</v>
      </c>
    </row>
    <row r="44" spans="1:7" ht="15" hidden="1" customHeight="1" x14ac:dyDescent="0.25">
      <c r="A44" s="12">
        <v>44</v>
      </c>
      <c r="B44" s="12" t="s">
        <v>239</v>
      </c>
      <c r="C44" s="12" t="s">
        <v>105</v>
      </c>
      <c r="D44" s="12" t="s">
        <v>105</v>
      </c>
      <c r="E44" s="12">
        <v>50097914</v>
      </c>
      <c r="F44" s="12" t="s">
        <v>445</v>
      </c>
      <c r="G44" s="10" t="s">
        <v>251</v>
      </c>
    </row>
    <row r="45" spans="1:7" ht="15" hidden="1" customHeight="1" x14ac:dyDescent="0.25">
      <c r="A45" s="12">
        <v>45</v>
      </c>
      <c r="B45" s="12" t="s">
        <v>142</v>
      </c>
      <c r="C45" s="12" t="s">
        <v>102</v>
      </c>
      <c r="D45" s="12" t="s">
        <v>102</v>
      </c>
      <c r="E45" s="12">
        <v>50050962</v>
      </c>
      <c r="F45" s="12" t="s">
        <v>304</v>
      </c>
      <c r="G45" s="10" t="s">
        <v>251</v>
      </c>
    </row>
    <row r="46" spans="1:7" ht="15" hidden="1" customHeight="1" x14ac:dyDescent="0.25">
      <c r="A46" s="12">
        <v>46</v>
      </c>
      <c r="B46" s="12" t="s">
        <v>144</v>
      </c>
      <c r="C46" s="13" t="s">
        <v>90</v>
      </c>
      <c r="D46" s="13" t="s">
        <v>90</v>
      </c>
      <c r="E46" s="64">
        <v>50006402</v>
      </c>
      <c r="F46" s="64" t="s">
        <v>280</v>
      </c>
      <c r="G46" s="10" t="s">
        <v>251</v>
      </c>
    </row>
    <row r="47" spans="1:7" ht="15" hidden="1" customHeight="1" x14ac:dyDescent="0.25">
      <c r="A47" s="12">
        <v>47</v>
      </c>
      <c r="B47" s="114" t="s">
        <v>146</v>
      </c>
      <c r="C47" s="12" t="s">
        <v>72</v>
      </c>
      <c r="D47" s="12" t="s">
        <v>72</v>
      </c>
      <c r="E47" s="12">
        <v>7002736</v>
      </c>
      <c r="F47" s="12" t="s">
        <v>426</v>
      </c>
      <c r="G47" s="10" t="s">
        <v>250</v>
      </c>
    </row>
    <row r="48" spans="1:7" ht="15" hidden="1" customHeight="1" x14ac:dyDescent="0.25">
      <c r="A48" s="12">
        <v>48</v>
      </c>
      <c r="B48" s="114" t="s">
        <v>246</v>
      </c>
      <c r="C48" s="12" t="s">
        <v>87</v>
      </c>
      <c r="D48" s="12" t="s">
        <v>87</v>
      </c>
      <c r="E48" s="12">
        <v>7052616</v>
      </c>
      <c r="F48" s="12" t="s">
        <v>298</v>
      </c>
      <c r="G48" s="10" t="s">
        <v>251</v>
      </c>
    </row>
    <row r="49" spans="1:7" ht="15" hidden="1" customHeight="1" x14ac:dyDescent="0.25">
      <c r="A49" s="12">
        <v>49</v>
      </c>
      <c r="B49" s="114" t="s">
        <v>244</v>
      </c>
      <c r="C49" s="12" t="s">
        <v>94</v>
      </c>
      <c r="D49" s="12" t="s">
        <v>94</v>
      </c>
      <c r="E49" s="12">
        <v>50019405</v>
      </c>
      <c r="F49" s="12" t="s">
        <v>303</v>
      </c>
      <c r="G49" s="10" t="s">
        <v>251</v>
      </c>
    </row>
    <row r="50" spans="1:7" ht="15" hidden="1" customHeight="1" x14ac:dyDescent="0.25">
      <c r="A50" s="12">
        <v>50</v>
      </c>
      <c r="B50" s="12" t="s">
        <v>346</v>
      </c>
      <c r="C50" s="12" t="s">
        <v>89</v>
      </c>
      <c r="D50" s="12" t="s">
        <v>89</v>
      </c>
      <c r="E50" s="12">
        <v>50003136</v>
      </c>
      <c r="F50" s="12" t="s">
        <v>293</v>
      </c>
      <c r="G50" s="10" t="s">
        <v>251</v>
      </c>
    </row>
    <row r="51" spans="1:7" ht="15" hidden="1" customHeight="1" x14ac:dyDescent="0.25">
      <c r="A51" s="12">
        <v>51</v>
      </c>
      <c r="B51" s="12" t="s">
        <v>347</v>
      </c>
      <c r="C51" s="12" t="s">
        <v>100</v>
      </c>
      <c r="D51" s="12" t="s">
        <v>100</v>
      </c>
      <c r="E51" s="12">
        <v>50034651</v>
      </c>
      <c r="F51" s="12" t="s">
        <v>438</v>
      </c>
      <c r="G51" s="10" t="s">
        <v>250</v>
      </c>
    </row>
    <row r="52" spans="1:7" ht="15" hidden="1" customHeight="1" x14ac:dyDescent="0.25">
      <c r="A52" s="12">
        <v>52</v>
      </c>
      <c r="B52" s="12" t="s">
        <v>348</v>
      </c>
      <c r="C52" s="12" t="s">
        <v>79</v>
      </c>
      <c r="D52" s="12" t="s">
        <v>79</v>
      </c>
      <c r="E52" s="12">
        <v>7028749</v>
      </c>
      <c r="F52" s="12" t="s">
        <v>407</v>
      </c>
      <c r="G52" s="10" t="s">
        <v>250</v>
      </c>
    </row>
    <row r="53" spans="1:7" ht="15" hidden="1" customHeight="1" x14ac:dyDescent="0.25">
      <c r="A53" s="12">
        <v>53</v>
      </c>
      <c r="B53" s="12" t="s">
        <v>349</v>
      </c>
      <c r="C53" s="12" t="s">
        <v>98</v>
      </c>
      <c r="D53" s="12" t="s">
        <v>98</v>
      </c>
      <c r="E53" s="12">
        <v>50030022</v>
      </c>
      <c r="F53" s="12" t="s">
        <v>440</v>
      </c>
      <c r="G53" s="10" t="s">
        <v>250</v>
      </c>
    </row>
    <row r="54" spans="1:7" ht="15" hidden="1" customHeight="1" x14ac:dyDescent="0.25">
      <c r="A54" s="12">
        <v>54</v>
      </c>
      <c r="B54" s="114" t="s">
        <v>147</v>
      </c>
      <c r="C54" s="12" t="s">
        <v>99</v>
      </c>
      <c r="D54" s="12" t="s">
        <v>99</v>
      </c>
      <c r="E54" s="12">
        <v>50033117</v>
      </c>
      <c r="F54" s="12" t="s">
        <v>296</v>
      </c>
      <c r="G54" s="10" t="s">
        <v>251</v>
      </c>
    </row>
    <row r="55" spans="1:7" ht="15" hidden="1" customHeight="1" x14ac:dyDescent="0.25">
      <c r="A55" s="12">
        <v>55</v>
      </c>
      <c r="B55" s="12" t="s">
        <v>155</v>
      </c>
      <c r="C55" s="12" t="s">
        <v>101</v>
      </c>
      <c r="D55" s="12" t="s">
        <v>101</v>
      </c>
      <c r="E55" s="12">
        <v>50046648</v>
      </c>
      <c r="F55" s="12" t="s">
        <v>441</v>
      </c>
      <c r="G55" s="10" t="e">
        <v>#N/A</v>
      </c>
    </row>
    <row r="56" spans="1:7" ht="15" hidden="1" customHeight="1" x14ac:dyDescent="0.25">
      <c r="A56" s="12">
        <v>56</v>
      </c>
      <c r="B56" s="12" t="s">
        <v>350</v>
      </c>
      <c r="C56" s="12" t="s">
        <v>104</v>
      </c>
      <c r="D56" s="12" t="s">
        <v>104</v>
      </c>
      <c r="E56" s="12">
        <v>50083096</v>
      </c>
      <c r="F56" s="12" t="s">
        <v>287</v>
      </c>
      <c r="G56" s="10" t="s">
        <v>251</v>
      </c>
    </row>
    <row r="57" spans="1:7" ht="15" hidden="1" customHeight="1" x14ac:dyDescent="0.25">
      <c r="A57" s="12">
        <v>57</v>
      </c>
      <c r="B57" s="12" t="s">
        <v>351</v>
      </c>
      <c r="C57" s="12" t="s">
        <v>78</v>
      </c>
      <c r="D57" s="12" t="s">
        <v>78</v>
      </c>
      <c r="E57" s="12">
        <v>7027857</v>
      </c>
      <c r="F57" s="12" t="s">
        <v>294</v>
      </c>
      <c r="G57" s="10" t="e">
        <v>#N/A</v>
      </c>
    </row>
    <row r="58" spans="1:7" ht="15" hidden="1" customHeight="1" x14ac:dyDescent="0.25">
      <c r="A58" s="12">
        <v>58</v>
      </c>
      <c r="B58" s="12" t="s">
        <v>352</v>
      </c>
      <c r="C58" s="12" t="s">
        <v>77</v>
      </c>
      <c r="D58" s="12" t="s">
        <v>77</v>
      </c>
      <c r="E58" s="12">
        <v>7024375</v>
      </c>
      <c r="F58" s="12" t="s">
        <v>404</v>
      </c>
      <c r="G58" s="10" t="s">
        <v>251</v>
      </c>
    </row>
    <row r="59" spans="1:7" ht="15" hidden="1" customHeight="1" x14ac:dyDescent="0.25">
      <c r="A59" s="12">
        <v>59</v>
      </c>
      <c r="B59" s="12" t="s">
        <v>353</v>
      </c>
      <c r="C59" s="12" t="s">
        <v>81</v>
      </c>
      <c r="D59" s="12" t="s">
        <v>81</v>
      </c>
      <c r="E59" s="12">
        <v>7030422</v>
      </c>
      <c r="F59" s="12" t="s">
        <v>410</v>
      </c>
      <c r="G59" s="10" t="s">
        <v>250</v>
      </c>
    </row>
    <row r="60" spans="1:7" ht="15" hidden="1" customHeight="1" x14ac:dyDescent="0.25">
      <c r="A60" s="12">
        <v>60</v>
      </c>
      <c r="B60" s="12" t="s">
        <v>354</v>
      </c>
      <c r="C60" s="12" t="s">
        <v>112</v>
      </c>
      <c r="D60" s="12" t="s">
        <v>112</v>
      </c>
      <c r="E60" s="12">
        <v>7021751</v>
      </c>
      <c r="F60" s="12" t="s">
        <v>434</v>
      </c>
      <c r="G60" s="10" t="s">
        <v>251</v>
      </c>
    </row>
    <row r="61" spans="1:7" ht="15" hidden="1" customHeight="1" x14ac:dyDescent="0.25">
      <c r="A61" s="12">
        <v>61</v>
      </c>
      <c r="B61" s="114" t="s">
        <v>141</v>
      </c>
      <c r="C61" s="12" t="s">
        <v>103</v>
      </c>
      <c r="D61" s="12" t="s">
        <v>103</v>
      </c>
      <c r="E61" s="12">
        <v>50067909</v>
      </c>
      <c r="F61" s="12" t="s">
        <v>292</v>
      </c>
      <c r="G61" s="10" t="s">
        <v>251</v>
      </c>
    </row>
    <row r="62" spans="1:7" ht="15" hidden="1" customHeight="1" x14ac:dyDescent="0.25">
      <c r="A62" s="12">
        <v>62</v>
      </c>
      <c r="B62" s="12" t="s">
        <v>355</v>
      </c>
      <c r="C62" s="12" t="s">
        <v>80</v>
      </c>
      <c r="D62" s="12" t="s">
        <v>80</v>
      </c>
      <c r="E62" s="12">
        <v>7029903</v>
      </c>
      <c r="F62" s="12" t="s">
        <v>277</v>
      </c>
      <c r="G62" s="10" t="s">
        <v>251</v>
      </c>
    </row>
    <row r="63" spans="1:7" ht="15" hidden="1" customHeight="1" x14ac:dyDescent="0.25">
      <c r="A63" s="12">
        <v>63</v>
      </c>
      <c r="B63" s="12" t="s">
        <v>157</v>
      </c>
      <c r="C63" s="12" t="s">
        <v>107</v>
      </c>
      <c r="D63" s="12" t="s">
        <v>107</v>
      </c>
      <c r="E63" s="12">
        <v>7014285</v>
      </c>
      <c r="F63" s="12" t="s">
        <v>429</v>
      </c>
      <c r="G63" s="10" t="s">
        <v>250</v>
      </c>
    </row>
    <row r="64" spans="1:7" ht="15" hidden="1" customHeight="1" x14ac:dyDescent="0.25">
      <c r="A64" s="12">
        <v>64</v>
      </c>
      <c r="B64" s="12" t="s">
        <v>108</v>
      </c>
      <c r="C64" s="12" t="s">
        <v>108</v>
      </c>
      <c r="D64" s="12" t="s">
        <v>108</v>
      </c>
      <c r="E64" s="12">
        <v>7014400</v>
      </c>
      <c r="F64" s="12" t="s">
        <v>430</v>
      </c>
      <c r="G64" s="10" t="s">
        <v>250</v>
      </c>
    </row>
    <row r="65" spans="1:7" ht="15" hidden="1" customHeight="1" x14ac:dyDescent="0.25">
      <c r="A65" s="12">
        <v>65</v>
      </c>
      <c r="B65" s="12" t="s">
        <v>156</v>
      </c>
      <c r="C65" s="12" t="s">
        <v>109</v>
      </c>
      <c r="D65" s="12" t="s">
        <v>109</v>
      </c>
      <c r="E65" s="12">
        <v>7047319</v>
      </c>
      <c r="F65" s="12" t="s">
        <v>432</v>
      </c>
      <c r="G65" s="10" t="s">
        <v>250</v>
      </c>
    </row>
    <row r="66" spans="1:7" ht="15" hidden="1" customHeight="1" x14ac:dyDescent="0.25">
      <c r="A66" s="12">
        <v>66</v>
      </c>
      <c r="B66" s="12" t="s">
        <v>356</v>
      </c>
      <c r="C66" s="12" t="s">
        <v>158</v>
      </c>
      <c r="D66" s="12" t="s">
        <v>158</v>
      </c>
      <c r="E66" s="12">
        <v>50016617</v>
      </c>
      <c r="F66" s="12" t="s">
        <v>431</v>
      </c>
      <c r="G66" s="10" t="s">
        <v>250</v>
      </c>
    </row>
    <row r="67" spans="1:7" ht="15" hidden="1" customHeight="1" x14ac:dyDescent="0.25">
      <c r="A67" s="12">
        <v>67</v>
      </c>
      <c r="B67" s="12" t="s">
        <v>357</v>
      </c>
      <c r="C67" s="12" t="s">
        <v>164</v>
      </c>
      <c r="D67" s="12" t="s">
        <v>164</v>
      </c>
      <c r="E67" s="12">
        <v>7006919</v>
      </c>
      <c r="F67" s="12" t="s">
        <v>419</v>
      </c>
      <c r="G67" s="10" t="e">
        <v>#N/A</v>
      </c>
    </row>
    <row r="68" spans="1:7" ht="15" hidden="1" customHeight="1" x14ac:dyDescent="0.25">
      <c r="A68" s="12">
        <v>68</v>
      </c>
      <c r="B68" s="12" t="s">
        <v>358</v>
      </c>
      <c r="C68" s="12" t="s">
        <v>29</v>
      </c>
      <c r="D68" s="12" t="s">
        <v>29</v>
      </c>
      <c r="E68" s="12">
        <v>7058852</v>
      </c>
      <c r="F68" s="12" t="s">
        <v>399</v>
      </c>
      <c r="G68" s="10" t="s">
        <v>250</v>
      </c>
    </row>
    <row r="69" spans="1:7" ht="15" hidden="1" customHeight="1" x14ac:dyDescent="0.25">
      <c r="A69" s="12">
        <v>69</v>
      </c>
      <c r="B69" s="12" t="s">
        <v>359</v>
      </c>
      <c r="C69" s="12" t="s">
        <v>166</v>
      </c>
      <c r="D69" s="12" t="s">
        <v>166</v>
      </c>
      <c r="E69" s="12">
        <v>7054026</v>
      </c>
      <c r="F69" s="12" t="s">
        <v>297</v>
      </c>
      <c r="G69" s="10" t="s">
        <v>251</v>
      </c>
    </row>
    <row r="70" spans="1:7" ht="15" hidden="1" customHeight="1" x14ac:dyDescent="0.25">
      <c r="A70" s="12">
        <v>70</v>
      </c>
      <c r="B70" s="12" t="s">
        <v>360</v>
      </c>
      <c r="C70" s="12" t="s">
        <v>167</v>
      </c>
      <c r="D70" s="12" t="s">
        <v>167</v>
      </c>
      <c r="E70" s="12">
        <v>50094481</v>
      </c>
      <c r="F70" s="12" t="s">
        <v>282</v>
      </c>
      <c r="G70" s="10" t="s">
        <v>251</v>
      </c>
    </row>
    <row r="71" spans="1:7" ht="15" hidden="1" customHeight="1" x14ac:dyDescent="0.25">
      <c r="A71" s="12">
        <v>71</v>
      </c>
      <c r="B71" s="12" t="s">
        <v>152</v>
      </c>
      <c r="C71" s="12" t="s">
        <v>86</v>
      </c>
      <c r="D71" s="12" t="s">
        <v>86</v>
      </c>
      <c r="E71" s="12">
        <v>7051121</v>
      </c>
      <c r="F71" s="12" t="s">
        <v>417</v>
      </c>
      <c r="G71" s="10" t="e">
        <v>#N/A</v>
      </c>
    </row>
    <row r="72" spans="1:7" ht="15" hidden="1" customHeight="1" x14ac:dyDescent="0.25">
      <c r="A72" s="12">
        <v>72</v>
      </c>
      <c r="B72" s="12" t="s">
        <v>145</v>
      </c>
      <c r="C72" s="12" t="s">
        <v>88</v>
      </c>
      <c r="D72" s="12" t="s">
        <v>88</v>
      </c>
      <c r="E72" s="12">
        <v>7061898</v>
      </c>
      <c r="F72" s="12" t="s">
        <v>418</v>
      </c>
      <c r="G72" s="10" t="e">
        <v>#N/A</v>
      </c>
    </row>
    <row r="73" spans="1:7" ht="15" hidden="1" customHeight="1" x14ac:dyDescent="0.25">
      <c r="A73" s="12">
        <v>73</v>
      </c>
      <c r="B73" s="12" t="s">
        <v>168</v>
      </c>
      <c r="C73" s="12" t="s">
        <v>111</v>
      </c>
      <c r="D73" s="12" t="s">
        <v>111</v>
      </c>
      <c r="E73" s="12">
        <v>7010069</v>
      </c>
      <c r="F73" s="12" t="s">
        <v>422</v>
      </c>
      <c r="G73" s="10" t="e">
        <v>#N/A</v>
      </c>
    </row>
    <row r="74" spans="1:7" ht="15" hidden="1" customHeight="1" x14ac:dyDescent="0.25">
      <c r="A74" s="12">
        <v>74</v>
      </c>
      <c r="B74" s="12" t="s">
        <v>361</v>
      </c>
      <c r="C74" s="12" t="s">
        <v>169</v>
      </c>
      <c r="D74" s="12" t="s">
        <v>169</v>
      </c>
      <c r="E74" s="12">
        <v>7009426</v>
      </c>
      <c r="F74" s="12" t="s">
        <v>421</v>
      </c>
      <c r="G74" s="10" t="s">
        <v>250</v>
      </c>
    </row>
    <row r="75" spans="1:7" ht="15" hidden="1" customHeight="1" x14ac:dyDescent="0.25">
      <c r="A75" s="12">
        <v>75</v>
      </c>
      <c r="B75" s="12" t="s">
        <v>82</v>
      </c>
      <c r="C75" s="12" t="s">
        <v>82</v>
      </c>
      <c r="D75" s="12" t="s">
        <v>82</v>
      </c>
      <c r="E75" s="12">
        <v>7032287</v>
      </c>
      <c r="F75" s="12" t="s">
        <v>414</v>
      </c>
      <c r="G75" s="10" t="s">
        <v>250</v>
      </c>
    </row>
    <row r="76" spans="1:7" ht="15" hidden="1" customHeight="1" x14ac:dyDescent="0.25">
      <c r="A76" s="12">
        <v>76</v>
      </c>
      <c r="B76" s="12" t="s">
        <v>31</v>
      </c>
      <c r="C76" s="12" t="s">
        <v>31</v>
      </c>
      <c r="D76" s="12" t="s">
        <v>31</v>
      </c>
      <c r="E76" s="12">
        <v>7016991</v>
      </c>
      <c r="F76" s="12" t="s">
        <v>400</v>
      </c>
      <c r="G76" s="10" t="s">
        <v>250</v>
      </c>
    </row>
    <row r="77" spans="1:7" ht="15" hidden="1" customHeight="1" x14ac:dyDescent="0.25">
      <c r="A77" s="12">
        <v>80</v>
      </c>
      <c r="B77" s="155" t="s">
        <v>143</v>
      </c>
      <c r="C77" s="155" t="s">
        <v>67</v>
      </c>
      <c r="D77" s="155" t="s">
        <v>67</v>
      </c>
      <c r="E77" s="155">
        <v>50101245</v>
      </c>
      <c r="F77" s="155" t="s">
        <v>473</v>
      </c>
      <c r="G77" s="10" t="s">
        <v>252</v>
      </c>
    </row>
    <row r="78" spans="1:7" ht="15" hidden="1" customHeight="1" x14ac:dyDescent="0.25">
      <c r="A78" s="12">
        <v>81</v>
      </c>
      <c r="B78" s="12" t="s">
        <v>362</v>
      </c>
      <c r="C78" s="12" t="s">
        <v>69</v>
      </c>
      <c r="D78" s="12" t="s">
        <v>69</v>
      </c>
      <c r="E78" s="12">
        <v>50101492</v>
      </c>
      <c r="F78" s="12" t="s">
        <v>476</v>
      </c>
      <c r="G78" s="10" t="s">
        <v>252</v>
      </c>
    </row>
    <row r="79" spans="1:7" ht="15" hidden="1" customHeight="1" x14ac:dyDescent="0.25">
      <c r="A79" s="12">
        <v>82</v>
      </c>
      <c r="B79" s="12" t="s">
        <v>363</v>
      </c>
      <c r="C79" s="12" t="s">
        <v>60</v>
      </c>
      <c r="D79" s="12" t="s">
        <v>60</v>
      </c>
      <c r="E79" s="12">
        <v>50100999</v>
      </c>
      <c r="F79" s="12" t="s">
        <v>461</v>
      </c>
      <c r="G79" s="10" t="s">
        <v>252</v>
      </c>
    </row>
    <row r="80" spans="1:7" ht="15" hidden="1" customHeight="1" x14ac:dyDescent="0.25">
      <c r="A80" s="12">
        <v>83</v>
      </c>
      <c r="B80" s="12" t="s">
        <v>364</v>
      </c>
      <c r="C80" s="12" t="s">
        <v>63</v>
      </c>
      <c r="D80" s="12" t="s">
        <v>63</v>
      </c>
      <c r="E80" s="12">
        <v>50101047</v>
      </c>
      <c r="F80" s="12" t="s">
        <v>465</v>
      </c>
      <c r="G80" s="10" t="s">
        <v>252</v>
      </c>
    </row>
    <row r="81" spans="1:7" ht="15" hidden="1" customHeight="1" x14ac:dyDescent="0.25">
      <c r="A81" s="12">
        <v>84</v>
      </c>
      <c r="B81" s="12" t="s">
        <v>365</v>
      </c>
      <c r="C81" s="12" t="s">
        <v>65</v>
      </c>
      <c r="D81" s="12" t="s">
        <v>65</v>
      </c>
      <c r="E81" s="12">
        <v>50101070</v>
      </c>
      <c r="F81" s="12" t="s">
        <v>468</v>
      </c>
      <c r="G81" s="10" t="s">
        <v>252</v>
      </c>
    </row>
    <row r="82" spans="1:7" ht="15" hidden="1" customHeight="1" x14ac:dyDescent="0.25">
      <c r="A82" s="12">
        <v>85</v>
      </c>
      <c r="B82" s="12" t="s">
        <v>366</v>
      </c>
      <c r="C82" s="12" t="s">
        <v>55</v>
      </c>
      <c r="D82" s="12" t="s">
        <v>55</v>
      </c>
      <c r="E82" s="12">
        <v>50100890</v>
      </c>
      <c r="F82" s="12" t="s">
        <v>455</v>
      </c>
      <c r="G82" s="10" t="s">
        <v>252</v>
      </c>
    </row>
    <row r="83" spans="1:7" ht="15" hidden="1" customHeight="1" x14ac:dyDescent="0.25">
      <c r="A83" s="12">
        <v>86</v>
      </c>
      <c r="B83" s="12" t="s">
        <v>367</v>
      </c>
      <c r="C83" s="12" t="s">
        <v>70</v>
      </c>
      <c r="D83" s="12" t="s">
        <v>70</v>
      </c>
      <c r="E83" s="12">
        <v>50101534</v>
      </c>
      <c r="F83" s="12" t="s">
        <v>479</v>
      </c>
      <c r="G83" s="10" t="s">
        <v>252</v>
      </c>
    </row>
    <row r="84" spans="1:7" ht="15" hidden="1" customHeight="1" x14ac:dyDescent="0.25">
      <c r="A84" s="12">
        <v>87</v>
      </c>
      <c r="B84" s="12" t="s">
        <v>368</v>
      </c>
      <c r="C84" s="12" t="s">
        <v>45</v>
      </c>
      <c r="D84" s="12" t="s">
        <v>45</v>
      </c>
      <c r="E84" s="12">
        <v>50101252</v>
      </c>
      <c r="F84" s="12" t="s">
        <v>474</v>
      </c>
      <c r="G84" s="10" t="s">
        <v>252</v>
      </c>
    </row>
    <row r="85" spans="1:7" ht="15" hidden="1" customHeight="1" x14ac:dyDescent="0.25">
      <c r="A85" s="12">
        <v>88</v>
      </c>
      <c r="B85" s="12" t="s">
        <v>237</v>
      </c>
      <c r="C85" s="12" t="s">
        <v>58</v>
      </c>
      <c r="D85" s="12" t="s">
        <v>58</v>
      </c>
      <c r="E85" s="12">
        <v>50100965</v>
      </c>
      <c r="F85" s="12" t="s">
        <v>458</v>
      </c>
      <c r="G85" s="10" t="s">
        <v>252</v>
      </c>
    </row>
    <row r="86" spans="1:7" ht="15" hidden="1" customHeight="1" x14ac:dyDescent="0.25">
      <c r="A86" s="12">
        <v>89</v>
      </c>
      <c r="B86" s="12" t="s">
        <v>369</v>
      </c>
      <c r="C86" s="12" t="s">
        <v>64</v>
      </c>
      <c r="D86" s="12" t="s">
        <v>64</v>
      </c>
      <c r="E86" s="12">
        <v>50101054</v>
      </c>
      <c r="F86" s="12" t="s">
        <v>466</v>
      </c>
      <c r="G86" s="10" t="s">
        <v>252</v>
      </c>
    </row>
    <row r="87" spans="1:7" ht="15" hidden="1" customHeight="1" x14ac:dyDescent="0.25">
      <c r="A87" s="12">
        <v>90</v>
      </c>
      <c r="B87" s="12" t="s">
        <v>370</v>
      </c>
      <c r="C87" s="12" t="s">
        <v>61</v>
      </c>
      <c r="D87" s="12" t="s">
        <v>61</v>
      </c>
      <c r="E87" s="12">
        <v>50101005</v>
      </c>
      <c r="F87" s="12" t="s">
        <v>462</v>
      </c>
      <c r="G87" s="10" t="s">
        <v>252</v>
      </c>
    </row>
    <row r="88" spans="1:7" ht="15" hidden="1" customHeight="1" x14ac:dyDescent="0.25">
      <c r="A88" s="12">
        <v>91</v>
      </c>
      <c r="B88" s="12" t="s">
        <v>240</v>
      </c>
      <c r="C88" s="12" t="s">
        <v>41</v>
      </c>
      <c r="D88" s="12" t="s">
        <v>41</v>
      </c>
      <c r="E88" s="12">
        <v>50100924</v>
      </c>
      <c r="F88" s="12" t="s">
        <v>456</v>
      </c>
      <c r="G88" s="10" t="s">
        <v>252</v>
      </c>
    </row>
    <row r="89" spans="1:7" ht="15" hidden="1" customHeight="1" x14ac:dyDescent="0.25">
      <c r="A89" s="12">
        <v>92</v>
      </c>
      <c r="B89" s="12" t="s">
        <v>371</v>
      </c>
      <c r="C89" s="12" t="s">
        <v>222</v>
      </c>
      <c r="D89" s="12" t="s">
        <v>222</v>
      </c>
      <c r="E89" s="12">
        <v>50100973</v>
      </c>
      <c r="F89" s="12" t="s">
        <v>459</v>
      </c>
      <c r="G89" s="10" t="s">
        <v>252</v>
      </c>
    </row>
    <row r="90" spans="1:7" ht="15" hidden="1" customHeight="1" x14ac:dyDescent="0.25">
      <c r="A90" s="12">
        <v>93</v>
      </c>
      <c r="B90" s="12" t="s">
        <v>372</v>
      </c>
      <c r="C90" s="12" t="s">
        <v>51</v>
      </c>
      <c r="D90" s="12" t="s">
        <v>51</v>
      </c>
      <c r="E90" s="12">
        <v>50100775</v>
      </c>
      <c r="F90" s="12" t="s">
        <v>449</v>
      </c>
      <c r="G90" s="10" t="e">
        <v>#N/A</v>
      </c>
    </row>
    <row r="91" spans="1:7" ht="15" hidden="1" customHeight="1" x14ac:dyDescent="0.25">
      <c r="A91" s="12">
        <v>94</v>
      </c>
      <c r="B91" s="12" t="s">
        <v>373</v>
      </c>
      <c r="C91" s="12" t="s">
        <v>50</v>
      </c>
      <c r="D91" s="12" t="s">
        <v>50</v>
      </c>
      <c r="E91" s="12">
        <v>50100759</v>
      </c>
      <c r="F91" s="12" t="s">
        <v>448</v>
      </c>
      <c r="G91" s="10" t="s">
        <v>252</v>
      </c>
    </row>
    <row r="92" spans="1:7" ht="15" hidden="1" customHeight="1" x14ac:dyDescent="0.25">
      <c r="A92" s="12">
        <v>95</v>
      </c>
      <c r="B92" s="114" t="s">
        <v>236</v>
      </c>
      <c r="C92" s="12" t="s">
        <v>46</v>
      </c>
      <c r="D92" s="12" t="s">
        <v>46</v>
      </c>
      <c r="E92" s="12">
        <v>50101500</v>
      </c>
      <c r="F92" s="12" t="s">
        <v>477</v>
      </c>
      <c r="G92" s="10" t="s">
        <v>252</v>
      </c>
    </row>
    <row r="93" spans="1:7" ht="15" hidden="1" customHeight="1" x14ac:dyDescent="0.25">
      <c r="A93" s="12">
        <v>96</v>
      </c>
      <c r="B93" s="12" t="s">
        <v>374</v>
      </c>
      <c r="C93" s="12" t="s">
        <v>62</v>
      </c>
      <c r="D93" s="12" t="s">
        <v>62</v>
      </c>
      <c r="E93" s="12">
        <v>50101039</v>
      </c>
      <c r="F93" s="12" t="s">
        <v>464</v>
      </c>
      <c r="G93" s="10" t="s">
        <v>252</v>
      </c>
    </row>
    <row r="94" spans="1:7" ht="15" hidden="1" customHeight="1" x14ac:dyDescent="0.25">
      <c r="A94" s="12">
        <v>97</v>
      </c>
      <c r="B94" s="12" t="s">
        <v>375</v>
      </c>
      <c r="C94" s="12" t="s">
        <v>52</v>
      </c>
      <c r="D94" s="12" t="s">
        <v>52</v>
      </c>
      <c r="E94" s="12">
        <v>50100809</v>
      </c>
      <c r="F94" s="12" t="s">
        <v>451</v>
      </c>
      <c r="G94" s="10" t="s">
        <v>252</v>
      </c>
    </row>
    <row r="95" spans="1:7" ht="15" hidden="1" customHeight="1" x14ac:dyDescent="0.25">
      <c r="A95" s="12">
        <v>98</v>
      </c>
      <c r="B95" s="12" t="s">
        <v>376</v>
      </c>
      <c r="C95" s="12" t="s">
        <v>59</v>
      </c>
      <c r="D95" s="12" t="s">
        <v>59</v>
      </c>
      <c r="E95" s="12">
        <v>50100981</v>
      </c>
      <c r="F95" s="12" t="s">
        <v>460</v>
      </c>
      <c r="G95" s="10" t="s">
        <v>252</v>
      </c>
    </row>
    <row r="96" spans="1:7" ht="15" hidden="1" customHeight="1" x14ac:dyDescent="0.25">
      <c r="A96" s="12">
        <v>99</v>
      </c>
      <c r="B96" s="12" t="s">
        <v>377</v>
      </c>
      <c r="C96" s="12" t="s">
        <v>66</v>
      </c>
      <c r="D96" s="12" t="s">
        <v>66</v>
      </c>
      <c r="E96" s="12">
        <v>50101211</v>
      </c>
      <c r="F96" s="12" t="s">
        <v>471</v>
      </c>
      <c r="G96" s="10" t="s">
        <v>252</v>
      </c>
    </row>
    <row r="97" spans="1:7" ht="15" hidden="1" customHeight="1" x14ac:dyDescent="0.25">
      <c r="A97" s="12">
        <v>100</v>
      </c>
      <c r="B97" s="12" t="s">
        <v>378</v>
      </c>
      <c r="C97" s="12" t="s">
        <v>57</v>
      </c>
      <c r="D97" s="12" t="s">
        <v>57</v>
      </c>
      <c r="E97" s="12">
        <v>50100940</v>
      </c>
      <c r="F97" s="12" t="s">
        <v>457</v>
      </c>
      <c r="G97" s="10" t="s">
        <v>252</v>
      </c>
    </row>
    <row r="98" spans="1:7" ht="15" hidden="1" customHeight="1" x14ac:dyDescent="0.25">
      <c r="A98" s="12">
        <v>101</v>
      </c>
      <c r="B98" s="12" t="s">
        <v>241</v>
      </c>
      <c r="C98" s="12" t="s">
        <v>47</v>
      </c>
      <c r="D98" s="12" t="s">
        <v>47</v>
      </c>
      <c r="E98" s="12">
        <v>50101526</v>
      </c>
      <c r="F98" s="12" t="s">
        <v>478</v>
      </c>
      <c r="G98" s="10" t="e">
        <v>#N/A</v>
      </c>
    </row>
    <row r="99" spans="1:7" ht="15" hidden="1" customHeight="1" x14ac:dyDescent="0.25">
      <c r="A99" s="12">
        <v>102</v>
      </c>
      <c r="B99" s="12" t="s">
        <v>379</v>
      </c>
      <c r="C99" s="12" t="s">
        <v>53</v>
      </c>
      <c r="D99" s="12" t="s">
        <v>53</v>
      </c>
      <c r="E99" s="12">
        <v>50100817</v>
      </c>
      <c r="F99" s="12" t="s">
        <v>452</v>
      </c>
      <c r="G99" s="10" t="s">
        <v>252</v>
      </c>
    </row>
    <row r="100" spans="1:7" ht="15" hidden="1" customHeight="1" x14ac:dyDescent="0.25">
      <c r="A100" s="12">
        <v>103</v>
      </c>
      <c r="B100" s="12" t="s">
        <v>380</v>
      </c>
      <c r="C100" s="12" t="s">
        <v>40</v>
      </c>
      <c r="D100" s="12" t="s">
        <v>40</v>
      </c>
      <c r="E100" s="12">
        <v>50100783</v>
      </c>
      <c r="F100" s="12" t="s">
        <v>450</v>
      </c>
      <c r="G100" s="10" t="s">
        <v>252</v>
      </c>
    </row>
    <row r="101" spans="1:7" ht="15" hidden="1" customHeight="1" x14ac:dyDescent="0.25">
      <c r="A101" s="12">
        <v>104</v>
      </c>
      <c r="B101" s="12" t="s">
        <v>381</v>
      </c>
      <c r="C101" s="12" t="s">
        <v>140</v>
      </c>
      <c r="D101" s="12" t="s">
        <v>140</v>
      </c>
      <c r="E101" s="12">
        <v>50100874</v>
      </c>
      <c r="F101" s="12" t="s">
        <v>454</v>
      </c>
      <c r="G101" s="10" t="e">
        <v>#N/A</v>
      </c>
    </row>
    <row r="102" spans="1:7" ht="15" hidden="1" customHeight="1" x14ac:dyDescent="0.25">
      <c r="A102" s="12">
        <v>105</v>
      </c>
      <c r="B102" s="12" t="s">
        <v>382</v>
      </c>
      <c r="C102" s="12" t="s">
        <v>56</v>
      </c>
      <c r="D102" s="12" t="s">
        <v>56</v>
      </c>
      <c r="E102" s="12">
        <v>50100916</v>
      </c>
      <c r="F102" s="12" t="s">
        <v>469</v>
      </c>
      <c r="G102" s="10" t="s">
        <v>252</v>
      </c>
    </row>
    <row r="103" spans="1:7" ht="15" hidden="1" customHeight="1" x14ac:dyDescent="0.25">
      <c r="A103" s="12">
        <v>106</v>
      </c>
      <c r="B103" s="12" t="s">
        <v>383</v>
      </c>
      <c r="C103" s="12" t="s">
        <v>54</v>
      </c>
      <c r="D103" s="12" t="s">
        <v>54</v>
      </c>
      <c r="E103" s="12">
        <v>50100866</v>
      </c>
      <c r="F103" s="12" t="s">
        <v>453</v>
      </c>
      <c r="G103" s="10" t="s">
        <v>252</v>
      </c>
    </row>
    <row r="104" spans="1:7" ht="15" hidden="1" customHeight="1" x14ac:dyDescent="0.25">
      <c r="A104" s="12">
        <v>107</v>
      </c>
      <c r="B104" s="12" t="s">
        <v>384</v>
      </c>
      <c r="C104" s="12" t="s">
        <v>68</v>
      </c>
      <c r="D104" s="12" t="s">
        <v>68</v>
      </c>
      <c r="E104" s="12">
        <v>50101484</v>
      </c>
      <c r="F104" s="12" t="s">
        <v>475</v>
      </c>
      <c r="G104" s="10" t="s">
        <v>252</v>
      </c>
    </row>
    <row r="105" spans="1:7" ht="15" hidden="1" customHeight="1" x14ac:dyDescent="0.25">
      <c r="A105" s="12">
        <v>108</v>
      </c>
      <c r="B105" s="12" t="s">
        <v>385</v>
      </c>
      <c r="C105" s="12" t="s">
        <v>39</v>
      </c>
      <c r="D105" s="12" t="s">
        <v>39</v>
      </c>
      <c r="E105" s="12">
        <v>50100734</v>
      </c>
      <c r="F105" s="12" t="s">
        <v>447</v>
      </c>
      <c r="G105" s="10" t="e">
        <v>#N/A</v>
      </c>
    </row>
    <row r="106" spans="1:7" ht="15" hidden="1" customHeight="1" x14ac:dyDescent="0.25">
      <c r="A106" s="12">
        <v>109</v>
      </c>
      <c r="B106" s="12" t="s">
        <v>386</v>
      </c>
      <c r="C106" s="12" t="s">
        <v>44</v>
      </c>
      <c r="D106" s="12" t="s">
        <v>44</v>
      </c>
      <c r="E106" s="12">
        <v>50101229</v>
      </c>
      <c r="F106" s="12" t="s">
        <v>472</v>
      </c>
      <c r="G106" s="10" t="e">
        <v>#N/A</v>
      </c>
    </row>
    <row r="107" spans="1:7" ht="15" hidden="1" customHeight="1" x14ac:dyDescent="0.25">
      <c r="A107" s="12">
        <v>110</v>
      </c>
      <c r="B107" s="12" t="s">
        <v>387</v>
      </c>
      <c r="C107" s="12" t="s">
        <v>43</v>
      </c>
      <c r="D107" s="12" t="s">
        <v>43</v>
      </c>
      <c r="E107" s="12">
        <v>50101062</v>
      </c>
      <c r="F107" s="12" t="s">
        <v>467</v>
      </c>
      <c r="G107" s="10" t="s">
        <v>252</v>
      </c>
    </row>
    <row r="108" spans="1:7" ht="15" hidden="1" customHeight="1" x14ac:dyDescent="0.25">
      <c r="A108" s="12">
        <v>111</v>
      </c>
      <c r="B108" s="114" t="s">
        <v>394</v>
      </c>
      <c r="C108" s="12" t="s">
        <v>42</v>
      </c>
      <c r="D108" s="12" t="s">
        <v>42</v>
      </c>
      <c r="E108" s="12">
        <v>50101021</v>
      </c>
      <c r="F108" s="12" t="s">
        <v>463</v>
      </c>
      <c r="G108" s="10" t="s">
        <v>252</v>
      </c>
    </row>
    <row r="109" spans="1:7" ht="15" hidden="1" customHeight="1" x14ac:dyDescent="0.25">
      <c r="A109" s="12">
        <v>114</v>
      </c>
      <c r="B109" s="12" t="s">
        <v>195</v>
      </c>
      <c r="C109" s="12" t="s">
        <v>163</v>
      </c>
      <c r="D109" s="12" t="s">
        <v>163</v>
      </c>
      <c r="E109" s="12">
        <v>50098078</v>
      </c>
      <c r="F109" s="12" t="s">
        <v>470</v>
      </c>
      <c r="G109" s="10" t="s">
        <v>220</v>
      </c>
    </row>
    <row r="110" spans="1:7" ht="15" hidden="1" customHeight="1" x14ac:dyDescent="0.25">
      <c r="A110" s="12">
        <v>115</v>
      </c>
      <c r="B110" s="12" t="s">
        <v>388</v>
      </c>
      <c r="C110" s="12" t="s">
        <v>160</v>
      </c>
      <c r="D110" s="12" t="s">
        <v>160</v>
      </c>
      <c r="E110" s="12">
        <v>7013469</v>
      </c>
      <c r="F110" s="12" t="s">
        <v>437</v>
      </c>
      <c r="G110" s="10" t="s">
        <v>220</v>
      </c>
    </row>
    <row r="111" spans="1:7" ht="15" hidden="1" customHeight="1" x14ac:dyDescent="0.25">
      <c r="A111" s="12">
        <v>116</v>
      </c>
      <c r="B111" s="12" t="s">
        <v>113</v>
      </c>
      <c r="C111" s="12" t="s">
        <v>113</v>
      </c>
      <c r="D111" s="12" t="s">
        <v>113</v>
      </c>
      <c r="E111" s="12">
        <v>7034689</v>
      </c>
      <c r="F111" s="12" t="s">
        <v>190</v>
      </c>
      <c r="G111" s="10" t="s">
        <v>220</v>
      </c>
    </row>
    <row r="112" spans="1:7" ht="15" hidden="1" customHeight="1" x14ac:dyDescent="0.25">
      <c r="A112" s="12">
        <v>117</v>
      </c>
      <c r="B112" s="12" t="s">
        <v>389</v>
      </c>
      <c r="C112" s="12" t="s">
        <v>162</v>
      </c>
      <c r="D112" s="12" t="s">
        <v>162</v>
      </c>
      <c r="E112" s="12">
        <v>7028723</v>
      </c>
      <c r="F112" s="12" t="s">
        <v>413</v>
      </c>
      <c r="G112" s="10" t="s">
        <v>220</v>
      </c>
    </row>
    <row r="113" spans="1:7" ht="15" hidden="1" customHeight="1" x14ac:dyDescent="0.25">
      <c r="A113" s="12">
        <v>118</v>
      </c>
      <c r="B113" s="12" t="s">
        <v>390</v>
      </c>
      <c r="C113" s="12" t="s">
        <v>161</v>
      </c>
      <c r="D113" s="12" t="s">
        <v>161</v>
      </c>
      <c r="E113" s="12">
        <v>50040468</v>
      </c>
      <c r="F113" s="12" t="s">
        <v>232</v>
      </c>
      <c r="G113" s="10" t="s">
        <v>220</v>
      </c>
    </row>
    <row r="114" spans="1:7" ht="15" hidden="1" customHeight="1" x14ac:dyDescent="0.25">
      <c r="A114" s="12">
        <v>119</v>
      </c>
      <c r="B114" s="12" t="s">
        <v>391</v>
      </c>
      <c r="C114" s="12" t="s">
        <v>165</v>
      </c>
      <c r="D114" s="12" t="s">
        <v>165</v>
      </c>
      <c r="E114" s="12">
        <v>50095561</v>
      </c>
      <c r="F114" s="12" t="s">
        <v>443</v>
      </c>
      <c r="G114" s="10" t="e">
        <v>#N/A</v>
      </c>
    </row>
    <row r="115" spans="1:7" ht="15" hidden="1" customHeight="1" x14ac:dyDescent="0.25">
      <c r="A115" s="12">
        <v>120</v>
      </c>
      <c r="B115" s="12" t="s">
        <v>392</v>
      </c>
      <c r="C115" s="15" t="s">
        <v>110</v>
      </c>
      <c r="D115" s="15" t="s">
        <v>110</v>
      </c>
      <c r="E115" s="12">
        <v>7018195</v>
      </c>
      <c r="F115" s="12" t="s">
        <v>402</v>
      </c>
      <c r="G115" s="10" t="s">
        <v>250</v>
      </c>
    </row>
    <row r="116" spans="1:7" ht="15" hidden="1" customHeight="1" x14ac:dyDescent="0.25">
      <c r="A116" s="12">
        <v>121</v>
      </c>
      <c r="B116" s="12" t="s">
        <v>393</v>
      </c>
      <c r="C116" s="14" t="s">
        <v>49</v>
      </c>
      <c r="D116" s="14" t="s">
        <v>49</v>
      </c>
      <c r="E116" s="12">
        <v>7014210</v>
      </c>
      <c r="F116" s="12" t="s">
        <v>411</v>
      </c>
      <c r="G116" s="10" t="e">
        <v>#N/A</v>
      </c>
    </row>
    <row r="117" spans="1:7" ht="15" hidden="1" customHeight="1" x14ac:dyDescent="0.25">
      <c r="A117" s="12">
        <v>122</v>
      </c>
      <c r="B117" s="12" t="s">
        <v>481</v>
      </c>
      <c r="C117" s="68" t="s">
        <v>226</v>
      </c>
      <c r="D117" s="12" t="s">
        <v>226</v>
      </c>
      <c r="E117" s="12">
        <v>50018993</v>
      </c>
      <c r="F117" s="12" t="s">
        <v>273</v>
      </c>
      <c r="G117" s="10" t="s">
        <v>251</v>
      </c>
    </row>
    <row r="118" spans="1:7" ht="15" hidden="1" customHeight="1" x14ac:dyDescent="0.25">
      <c r="A118" s="12">
        <v>123</v>
      </c>
      <c r="B118" s="12" t="s">
        <v>482</v>
      </c>
      <c r="C118" s="68" t="s">
        <v>227</v>
      </c>
      <c r="D118" s="12" t="s">
        <v>227</v>
      </c>
      <c r="E118" s="12">
        <v>7055841</v>
      </c>
      <c r="F118" s="12" t="s">
        <v>272</v>
      </c>
      <c r="G118" s="10" t="s">
        <v>251</v>
      </c>
    </row>
    <row r="119" spans="1:7" ht="15" hidden="1" customHeight="1" x14ac:dyDescent="0.25">
      <c r="A119" s="12">
        <v>124</v>
      </c>
      <c r="B119" s="12" t="s">
        <v>483</v>
      </c>
      <c r="C119" s="68" t="s">
        <v>228</v>
      </c>
      <c r="D119" s="12" t="s">
        <v>228</v>
      </c>
      <c r="E119" s="12">
        <v>7017353</v>
      </c>
      <c r="F119" s="12" t="s">
        <v>271</v>
      </c>
      <c r="G119" s="10" t="s">
        <v>251</v>
      </c>
    </row>
    <row r="120" spans="1:7" ht="15" hidden="1" customHeight="1" x14ac:dyDescent="0.25">
      <c r="A120" s="12">
        <v>125</v>
      </c>
      <c r="B120" s="12" t="s">
        <v>484</v>
      </c>
      <c r="C120" s="68" t="s">
        <v>512</v>
      </c>
      <c r="D120" s="12" t="s">
        <v>512</v>
      </c>
      <c r="E120" s="12">
        <v>50032846</v>
      </c>
      <c r="F120" s="12" t="s">
        <v>436</v>
      </c>
      <c r="G120" s="10" t="s">
        <v>251</v>
      </c>
    </row>
    <row r="121" spans="1:7" ht="15" hidden="1" customHeight="1" x14ac:dyDescent="0.25">
      <c r="A121" s="12">
        <v>126</v>
      </c>
      <c r="B121" s="12" t="s">
        <v>485</v>
      </c>
      <c r="C121" s="68" t="s">
        <v>229</v>
      </c>
      <c r="D121" s="12" t="s">
        <v>229</v>
      </c>
      <c r="E121" s="12">
        <v>7046410</v>
      </c>
      <c r="F121" s="12" t="s">
        <v>299</v>
      </c>
      <c r="G121" s="10" t="s">
        <v>251</v>
      </c>
    </row>
    <row r="122" spans="1:7" ht="15" hidden="1" customHeight="1" x14ac:dyDescent="0.25">
      <c r="A122" s="12">
        <v>127</v>
      </c>
      <c r="B122" s="12" t="s">
        <v>486</v>
      </c>
      <c r="C122" s="68" t="s">
        <v>230</v>
      </c>
      <c r="D122" s="12" t="s">
        <v>230</v>
      </c>
      <c r="E122" s="12">
        <v>7031487</v>
      </c>
      <c r="F122" s="12" t="s">
        <v>270</v>
      </c>
      <c r="G122" s="10" t="s">
        <v>251</v>
      </c>
    </row>
    <row r="123" spans="1:7" hidden="1" x14ac:dyDescent="0.25">
      <c r="A123" s="12">
        <v>128</v>
      </c>
      <c r="C123" s="129" t="s">
        <v>490</v>
      </c>
      <c r="E123" s="125">
        <v>7013196</v>
      </c>
      <c r="F123" s="127" t="s">
        <v>428</v>
      </c>
      <c r="G123" s="10" t="s">
        <v>221</v>
      </c>
    </row>
    <row r="124" spans="1:7" hidden="1" x14ac:dyDescent="0.25">
      <c r="A124" s="12">
        <v>129</v>
      </c>
      <c r="B124" s="148" t="s">
        <v>497</v>
      </c>
      <c r="C124" s="12" t="s">
        <v>214</v>
      </c>
      <c r="D124" s="12" t="s">
        <v>214</v>
      </c>
      <c r="E124" s="12">
        <v>50044239</v>
      </c>
      <c r="F124" s="12" t="s">
        <v>279</v>
      </c>
      <c r="G124" s="10" t="s">
        <v>251</v>
      </c>
    </row>
    <row r="125" spans="1:7" hidden="1" x14ac:dyDescent="0.25">
      <c r="A125" s="12">
        <v>130</v>
      </c>
      <c r="B125" s="148" t="s">
        <v>498</v>
      </c>
      <c r="C125" s="12" t="s">
        <v>75</v>
      </c>
      <c r="D125" s="12" t="s">
        <v>75</v>
      </c>
      <c r="E125" s="12">
        <v>7017700</v>
      </c>
      <c r="F125" s="12" t="s">
        <v>412</v>
      </c>
      <c r="G125" s="10" t="s">
        <v>250</v>
      </c>
    </row>
    <row r="126" spans="1:7" hidden="1" x14ac:dyDescent="0.25">
      <c r="A126" s="12">
        <v>131</v>
      </c>
      <c r="B126" s="148" t="s">
        <v>499</v>
      </c>
      <c r="C126" s="12" t="s">
        <v>79</v>
      </c>
      <c r="D126" s="12" t="s">
        <v>79</v>
      </c>
      <c r="E126" s="12">
        <v>7028749</v>
      </c>
      <c r="F126" s="12" t="s">
        <v>407</v>
      </c>
      <c r="G126" s="10" t="s">
        <v>250</v>
      </c>
    </row>
    <row r="127" spans="1:7" x14ac:dyDescent="0.25">
      <c r="A127" s="12">
        <v>132</v>
      </c>
      <c r="B127" s="148" t="s">
        <v>500</v>
      </c>
      <c r="C127" s="12" t="s">
        <v>17</v>
      </c>
      <c r="D127" s="12" t="s">
        <v>17</v>
      </c>
      <c r="E127" s="12">
        <v>50050491</v>
      </c>
      <c r="F127" s="12" t="s">
        <v>275</v>
      </c>
      <c r="G127" s="10" t="s">
        <v>251</v>
      </c>
    </row>
    <row r="128" spans="1:7" hidden="1" x14ac:dyDescent="0.25">
      <c r="A128" s="12">
        <v>133</v>
      </c>
      <c r="B128" s="148" t="s">
        <v>501</v>
      </c>
      <c r="C128" s="12" t="s">
        <v>76</v>
      </c>
      <c r="D128" s="12" t="s">
        <v>76</v>
      </c>
      <c r="E128" s="12">
        <v>7019425</v>
      </c>
      <c r="F128" s="12" t="s">
        <v>396</v>
      </c>
      <c r="G128" s="10" t="s">
        <v>250</v>
      </c>
    </row>
    <row r="129" spans="1:7" hidden="1" x14ac:dyDescent="0.25">
      <c r="A129" s="12">
        <v>134</v>
      </c>
      <c r="B129" s="148" t="s">
        <v>502</v>
      </c>
      <c r="C129" s="12" t="s">
        <v>62</v>
      </c>
      <c r="D129" s="12" t="s">
        <v>62</v>
      </c>
      <c r="E129" s="12">
        <v>50101039</v>
      </c>
      <c r="F129" s="12" t="s">
        <v>464</v>
      </c>
      <c r="G129" s="10" t="s">
        <v>252</v>
      </c>
    </row>
    <row r="130" spans="1:7" hidden="1" x14ac:dyDescent="0.25">
      <c r="A130" s="12">
        <v>135</v>
      </c>
      <c r="B130" s="148" t="s">
        <v>503</v>
      </c>
      <c r="C130" s="12" t="s">
        <v>58</v>
      </c>
      <c r="D130" s="12" t="s">
        <v>58</v>
      </c>
      <c r="E130" s="12">
        <v>50100965</v>
      </c>
      <c r="F130" s="12" t="s">
        <v>458</v>
      </c>
      <c r="G130" s="10" t="s">
        <v>252</v>
      </c>
    </row>
    <row r="131" spans="1:7" hidden="1" x14ac:dyDescent="0.25">
      <c r="A131" s="12">
        <v>136</v>
      </c>
      <c r="B131" s="148" t="s">
        <v>504</v>
      </c>
      <c r="C131" s="12" t="s">
        <v>89</v>
      </c>
      <c r="D131" s="12" t="s">
        <v>89</v>
      </c>
      <c r="E131" s="12">
        <v>50003136</v>
      </c>
      <c r="F131" s="12" t="s">
        <v>293</v>
      </c>
      <c r="G131" s="10" t="s">
        <v>251</v>
      </c>
    </row>
    <row r="132" spans="1:7" hidden="1" x14ac:dyDescent="0.25">
      <c r="A132" s="12">
        <v>137</v>
      </c>
      <c r="B132" s="148" t="s">
        <v>505</v>
      </c>
      <c r="C132" s="12" t="s">
        <v>95</v>
      </c>
      <c r="D132" s="12" t="s">
        <v>95</v>
      </c>
      <c r="E132" s="12">
        <v>50021989</v>
      </c>
      <c r="F132" s="12" t="s">
        <v>305</v>
      </c>
      <c r="G132" s="10" t="s">
        <v>251</v>
      </c>
    </row>
    <row r="133" spans="1:7" hidden="1" x14ac:dyDescent="0.25">
      <c r="A133" s="12">
        <v>138</v>
      </c>
      <c r="B133" s="148" t="s">
        <v>506</v>
      </c>
      <c r="C133" s="12" t="s">
        <v>98</v>
      </c>
      <c r="D133" s="12" t="s">
        <v>98</v>
      </c>
      <c r="E133" s="12">
        <v>50030022</v>
      </c>
      <c r="F133" s="10" t="s">
        <v>440</v>
      </c>
      <c r="G133" s="10" t="s">
        <v>250</v>
      </c>
    </row>
    <row r="134" spans="1:7" hidden="1" x14ac:dyDescent="0.25">
      <c r="A134" s="12">
        <v>139</v>
      </c>
      <c r="B134" s="148" t="s">
        <v>507</v>
      </c>
      <c r="C134" s="12" t="s">
        <v>72</v>
      </c>
      <c r="D134" s="12" t="s">
        <v>72</v>
      </c>
      <c r="E134" s="12">
        <v>7002736</v>
      </c>
      <c r="F134" s="12" t="s">
        <v>426</v>
      </c>
      <c r="G134" s="10" t="s">
        <v>250</v>
      </c>
    </row>
  </sheetData>
  <autoFilter ref="A1:H134">
    <filterColumn colId="5">
      <filters>
        <filter val="SALDAÑA PAREDES JHONATAN JOSUE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showGridLines="0" topLeftCell="A4" zoomScale="75" zoomScaleNormal="75" workbookViewId="0">
      <selection activeCell="D33" sqref="D33:D36"/>
    </sheetView>
  </sheetViews>
  <sheetFormatPr baseColWidth="10" defaultRowHeight="15" x14ac:dyDescent="0.25"/>
  <cols>
    <col min="1" max="1" width="8" bestFit="1" customWidth="1"/>
    <col min="2" max="2" width="8" style="10" bestFit="1" customWidth="1"/>
    <col min="3" max="3" width="18.42578125" bestFit="1" customWidth="1"/>
    <col min="4" max="4" width="8.5703125" bestFit="1" customWidth="1"/>
    <col min="5" max="5" width="13" bestFit="1" customWidth="1"/>
    <col min="6" max="6" width="4.140625" customWidth="1"/>
    <col min="7" max="7" width="8" bestFit="1" customWidth="1"/>
    <col min="8" max="8" width="8" style="10" bestFit="1" customWidth="1"/>
    <col min="9" max="9" width="18.42578125" bestFit="1" customWidth="1"/>
    <col min="10" max="10" width="8.5703125" bestFit="1" customWidth="1"/>
    <col min="11" max="11" width="42.5703125" bestFit="1" customWidth="1"/>
    <col min="12" max="12" width="7" customWidth="1"/>
    <col min="13" max="13" width="8" bestFit="1" customWidth="1"/>
    <col min="14" max="14" width="7.42578125" bestFit="1" customWidth="1"/>
    <col min="15" max="15" width="18.42578125" bestFit="1" customWidth="1"/>
    <col min="16" max="16" width="8.5703125" bestFit="1" customWidth="1"/>
  </cols>
  <sheetData>
    <row r="1" spans="1:18" x14ac:dyDescent="0.25">
      <c r="A1" s="233" t="s">
        <v>260</v>
      </c>
      <c r="B1" s="234"/>
      <c r="C1" s="234"/>
      <c r="D1" s="234"/>
      <c r="E1" s="234"/>
      <c r="F1" s="235"/>
      <c r="G1" s="233" t="s">
        <v>194</v>
      </c>
      <c r="H1" s="234"/>
      <c r="I1" s="234"/>
      <c r="J1" s="234"/>
      <c r="K1" s="234"/>
      <c r="L1" s="235"/>
      <c r="M1" s="233" t="s">
        <v>494</v>
      </c>
      <c r="N1" s="234"/>
      <c r="O1" s="234"/>
      <c r="P1" s="234"/>
      <c r="Q1" s="234"/>
      <c r="R1" s="235"/>
    </row>
    <row r="2" spans="1:18" s="10" customFormat="1" x14ac:dyDescent="0.25">
      <c r="A2" s="93"/>
      <c r="B2" s="93"/>
      <c r="C2" s="93"/>
      <c r="D2" s="93"/>
      <c r="E2" s="93"/>
      <c r="F2" s="92"/>
      <c r="G2" s="13"/>
      <c r="H2" s="13"/>
      <c r="I2" s="13"/>
      <c r="J2" s="13"/>
      <c r="K2" s="13"/>
      <c r="L2" s="91"/>
      <c r="M2" s="13"/>
      <c r="N2" s="13"/>
      <c r="O2" s="13"/>
      <c r="P2" s="13"/>
      <c r="Q2" s="13"/>
      <c r="R2" s="91"/>
    </row>
    <row r="3" spans="1:18" s="10" customFormat="1" x14ac:dyDescent="0.25">
      <c r="C3" s="33" t="s">
        <v>202</v>
      </c>
      <c r="F3" s="91"/>
      <c r="G3" s="13"/>
      <c r="H3" s="13"/>
      <c r="I3" s="94" t="s">
        <v>202</v>
      </c>
      <c r="J3" s="13"/>
      <c r="K3" s="13"/>
      <c r="L3" s="91"/>
      <c r="M3" s="13"/>
      <c r="N3" s="13"/>
      <c r="O3" s="94" t="s">
        <v>202</v>
      </c>
      <c r="P3" s="13"/>
      <c r="Q3" s="13"/>
      <c r="R3" s="91"/>
    </row>
    <row r="4" spans="1:18" s="10" customFormat="1" ht="15.75" thickBot="1" x14ac:dyDescent="0.3">
      <c r="C4" s="33"/>
      <c r="F4" s="91"/>
      <c r="G4" s="13"/>
      <c r="H4" s="13"/>
      <c r="I4" s="13"/>
      <c r="J4" s="13"/>
      <c r="K4" s="13"/>
      <c r="L4" s="91"/>
      <c r="M4" s="13"/>
      <c r="N4" s="13"/>
      <c r="O4" s="13"/>
      <c r="P4" s="13"/>
      <c r="Q4" s="13"/>
      <c r="R4" s="91"/>
    </row>
    <row r="5" spans="1:18" ht="16.5" thickBot="1" x14ac:dyDescent="0.3">
      <c r="A5" s="3" t="s">
        <v>248</v>
      </c>
      <c r="B5" s="3" t="s">
        <v>249</v>
      </c>
      <c r="C5" s="3" t="s">
        <v>117</v>
      </c>
      <c r="D5" s="3" t="s">
        <v>118</v>
      </c>
      <c r="F5" s="91"/>
      <c r="G5" s="3" t="s">
        <v>248</v>
      </c>
      <c r="H5" s="3" t="s">
        <v>249</v>
      </c>
      <c r="I5" s="3" t="s">
        <v>117</v>
      </c>
      <c r="J5" s="3" t="s">
        <v>118</v>
      </c>
      <c r="K5" s="13"/>
      <c r="L5" s="91"/>
      <c r="M5" s="3" t="s">
        <v>248</v>
      </c>
      <c r="N5" s="3" t="s">
        <v>249</v>
      </c>
      <c r="O5" s="3" t="s">
        <v>117</v>
      </c>
      <c r="P5" s="3" t="s">
        <v>118</v>
      </c>
      <c r="Q5" s="13"/>
      <c r="R5" s="91"/>
    </row>
    <row r="6" spans="1:18" ht="16.5" thickBot="1" x14ac:dyDescent="0.3">
      <c r="A6" s="76">
        <f>-9999%</f>
        <v>-99.99</v>
      </c>
      <c r="B6" s="76">
        <v>0.59</v>
      </c>
      <c r="C6" s="4" t="s">
        <v>119</v>
      </c>
      <c r="D6" s="5">
        <v>0</v>
      </c>
      <c r="F6" s="91"/>
      <c r="G6" s="95">
        <f>-9999%</f>
        <v>-99.99</v>
      </c>
      <c r="H6" s="95">
        <v>0.59</v>
      </c>
      <c r="I6" s="4" t="s">
        <v>119</v>
      </c>
      <c r="J6" s="5">
        <v>0</v>
      </c>
      <c r="K6" s="13"/>
      <c r="L6" s="91"/>
      <c r="M6" s="95">
        <f>-9999%</f>
        <v>-99.99</v>
      </c>
      <c r="N6" s="95">
        <v>0.59</v>
      </c>
      <c r="O6" s="4" t="s">
        <v>119</v>
      </c>
      <c r="P6" s="5">
        <v>0</v>
      </c>
      <c r="Q6" s="13"/>
      <c r="R6" s="91"/>
    </row>
    <row r="7" spans="1:18" ht="17.25" thickTop="1" thickBot="1" x14ac:dyDescent="0.3">
      <c r="A7" s="76">
        <v>0.6</v>
      </c>
      <c r="B7" s="76">
        <f>A8-1%</f>
        <v>0.79</v>
      </c>
      <c r="C7" s="6" t="s">
        <v>120</v>
      </c>
      <c r="D7" s="7">
        <v>0.6</v>
      </c>
      <c r="F7" s="91"/>
      <c r="G7" s="95">
        <v>0.6</v>
      </c>
      <c r="H7" s="95">
        <f>G8-1%</f>
        <v>0.79</v>
      </c>
      <c r="I7" s="6" t="s">
        <v>254</v>
      </c>
      <c r="J7" s="7">
        <v>0.6</v>
      </c>
      <c r="K7" s="13"/>
      <c r="L7" s="91"/>
      <c r="M7" s="95">
        <v>0.6</v>
      </c>
      <c r="N7" s="95">
        <f>M8-1%</f>
        <v>0.79</v>
      </c>
      <c r="O7" s="6" t="s">
        <v>254</v>
      </c>
      <c r="P7" s="7">
        <v>0.6</v>
      </c>
      <c r="Q7" s="13"/>
      <c r="R7" s="91"/>
    </row>
    <row r="8" spans="1:18" ht="16.5" thickBot="1" x14ac:dyDescent="0.3">
      <c r="A8" s="76">
        <v>0.8</v>
      </c>
      <c r="B8" s="76">
        <f t="shared" ref="B8:B15" si="0">A9-1%</f>
        <v>0.84</v>
      </c>
      <c r="C8" s="8" t="s">
        <v>121</v>
      </c>
      <c r="D8" s="9">
        <v>0.7</v>
      </c>
      <c r="F8" s="91"/>
      <c r="G8" s="95">
        <v>0.8</v>
      </c>
      <c r="H8" s="95">
        <f t="shared" ref="H8:H15" si="1">G9-1%</f>
        <v>0.84</v>
      </c>
      <c r="I8" s="8" t="s">
        <v>255</v>
      </c>
      <c r="J8" s="9">
        <v>0.7</v>
      </c>
      <c r="K8" s="13"/>
      <c r="L8" s="91"/>
      <c r="M8" s="95">
        <v>0.8</v>
      </c>
      <c r="N8" s="95">
        <f t="shared" ref="N8:N15" si="2">M9-1%</f>
        <v>0.84</v>
      </c>
      <c r="O8" s="8" t="s">
        <v>255</v>
      </c>
      <c r="P8" s="9">
        <v>0.7</v>
      </c>
      <c r="Q8" s="13"/>
      <c r="R8" s="91"/>
    </row>
    <row r="9" spans="1:18" ht="16.5" thickBot="1" x14ac:dyDescent="0.3">
      <c r="A9" s="76">
        <v>0.85</v>
      </c>
      <c r="B9" s="76">
        <f t="shared" si="0"/>
        <v>0.89</v>
      </c>
      <c r="C9" s="8" t="s">
        <v>122</v>
      </c>
      <c r="D9" s="9">
        <v>0.8</v>
      </c>
      <c r="F9" s="91"/>
      <c r="G9" s="95">
        <v>0.85</v>
      </c>
      <c r="H9" s="95">
        <f t="shared" si="1"/>
        <v>0.89</v>
      </c>
      <c r="I9" s="8" t="s">
        <v>256</v>
      </c>
      <c r="J9" s="9">
        <v>0.8</v>
      </c>
      <c r="K9" s="13"/>
      <c r="L9" s="91"/>
      <c r="M9" s="95">
        <v>0.85</v>
      </c>
      <c r="N9" s="95">
        <f t="shared" si="2"/>
        <v>0.89</v>
      </c>
      <c r="O9" s="8" t="s">
        <v>256</v>
      </c>
      <c r="P9" s="9">
        <v>0.8</v>
      </c>
      <c r="Q9" s="13"/>
      <c r="R9" s="91"/>
    </row>
    <row r="10" spans="1:18" ht="16.5" thickBot="1" x14ac:dyDescent="0.3">
      <c r="A10" s="76">
        <v>0.9</v>
      </c>
      <c r="B10" s="76">
        <f t="shared" si="0"/>
        <v>0.92999999999999994</v>
      </c>
      <c r="C10" s="8" t="s">
        <v>123</v>
      </c>
      <c r="D10" s="9">
        <v>0.9</v>
      </c>
      <c r="F10" s="91"/>
      <c r="G10" s="95">
        <v>0.9</v>
      </c>
      <c r="H10" s="95">
        <f t="shared" si="1"/>
        <v>0.92999999999999994</v>
      </c>
      <c r="I10" s="8" t="s">
        <v>257</v>
      </c>
      <c r="J10" s="9">
        <v>0.9</v>
      </c>
      <c r="K10" s="13"/>
      <c r="L10" s="91"/>
      <c r="M10" s="95">
        <v>0.9</v>
      </c>
      <c r="N10" s="95">
        <f t="shared" si="2"/>
        <v>0.92999999999999994</v>
      </c>
      <c r="O10" s="8" t="s">
        <v>257</v>
      </c>
      <c r="P10" s="9">
        <v>0.9</v>
      </c>
      <c r="Q10" s="13"/>
      <c r="R10" s="91"/>
    </row>
    <row r="11" spans="1:18" ht="16.5" thickBot="1" x14ac:dyDescent="0.3">
      <c r="A11" s="76">
        <v>0.94</v>
      </c>
      <c r="B11" s="76">
        <f t="shared" si="0"/>
        <v>0.97</v>
      </c>
      <c r="C11" s="8" t="s">
        <v>124</v>
      </c>
      <c r="D11" s="9">
        <v>0.95</v>
      </c>
      <c r="F11" s="91"/>
      <c r="G11" s="95">
        <v>0.94</v>
      </c>
      <c r="H11" s="95">
        <f t="shared" si="1"/>
        <v>0.97</v>
      </c>
      <c r="I11" s="8" t="s">
        <v>258</v>
      </c>
      <c r="J11" s="9">
        <v>0.95</v>
      </c>
      <c r="K11" s="13"/>
      <c r="L11" s="91"/>
      <c r="M11" s="95">
        <v>0.94</v>
      </c>
      <c r="N11" s="95">
        <f t="shared" si="2"/>
        <v>0.97</v>
      </c>
      <c r="O11" s="8" t="s">
        <v>258</v>
      </c>
      <c r="P11" s="9">
        <v>0.95</v>
      </c>
      <c r="Q11" s="13"/>
      <c r="R11" s="91"/>
    </row>
    <row r="12" spans="1:18" ht="16.5" thickBot="1" x14ac:dyDescent="0.3">
      <c r="A12" s="76">
        <v>0.98</v>
      </c>
      <c r="B12" s="76">
        <f t="shared" si="0"/>
        <v>1</v>
      </c>
      <c r="C12" s="8" t="s">
        <v>210</v>
      </c>
      <c r="D12" s="9">
        <v>1</v>
      </c>
      <c r="F12" s="91"/>
      <c r="G12" s="95">
        <v>0.98</v>
      </c>
      <c r="H12" s="95">
        <f t="shared" si="1"/>
        <v>1</v>
      </c>
      <c r="I12" s="8" t="s">
        <v>259</v>
      </c>
      <c r="J12" s="9">
        <v>1</v>
      </c>
      <c r="K12" s="13"/>
      <c r="L12" s="91"/>
      <c r="M12" s="95">
        <v>0.98</v>
      </c>
      <c r="N12" s="95">
        <f t="shared" si="2"/>
        <v>1</v>
      </c>
      <c r="O12" s="8" t="s">
        <v>259</v>
      </c>
      <c r="P12" s="9">
        <v>1</v>
      </c>
      <c r="Q12" s="13"/>
      <c r="R12" s="91"/>
    </row>
    <row r="13" spans="1:18" ht="16.5" thickBot="1" x14ac:dyDescent="0.3">
      <c r="A13" s="76">
        <v>1.01</v>
      </c>
      <c r="B13" s="76">
        <f t="shared" si="0"/>
        <v>1.05</v>
      </c>
      <c r="C13" s="8" t="s">
        <v>211</v>
      </c>
      <c r="D13" s="9">
        <v>1.05</v>
      </c>
      <c r="F13" s="91"/>
      <c r="G13" s="95">
        <v>1.01</v>
      </c>
      <c r="H13" s="95">
        <f t="shared" si="1"/>
        <v>1.05</v>
      </c>
      <c r="I13" s="8" t="s">
        <v>211</v>
      </c>
      <c r="J13" s="9">
        <v>1.05</v>
      </c>
      <c r="K13" s="13"/>
      <c r="L13" s="91"/>
      <c r="M13" s="95">
        <v>1.01</v>
      </c>
      <c r="N13" s="95">
        <f t="shared" si="2"/>
        <v>1.05</v>
      </c>
      <c r="O13" s="8" t="s">
        <v>211</v>
      </c>
      <c r="P13" s="9">
        <v>1.05</v>
      </c>
      <c r="Q13" s="13"/>
      <c r="R13" s="91"/>
    </row>
    <row r="14" spans="1:18" s="10" customFormat="1" ht="16.5" thickBot="1" x14ac:dyDescent="0.3">
      <c r="A14" s="76">
        <v>1.06</v>
      </c>
      <c r="B14" s="76">
        <f t="shared" si="0"/>
        <v>1.1000000000000001</v>
      </c>
      <c r="C14" s="8" t="s">
        <v>212</v>
      </c>
      <c r="D14" s="9">
        <v>1.1000000000000001</v>
      </c>
      <c r="F14" s="91"/>
      <c r="G14" s="95">
        <v>1.06</v>
      </c>
      <c r="H14" s="95">
        <f t="shared" si="1"/>
        <v>1.1000000000000001</v>
      </c>
      <c r="I14" s="8" t="s">
        <v>212</v>
      </c>
      <c r="J14" s="9">
        <v>1.1000000000000001</v>
      </c>
      <c r="K14" s="13"/>
      <c r="L14" s="91"/>
      <c r="M14" s="95">
        <v>1.06</v>
      </c>
      <c r="N14" s="95">
        <f t="shared" si="2"/>
        <v>1.1000000000000001</v>
      </c>
      <c r="O14" s="8" t="s">
        <v>212</v>
      </c>
      <c r="P14" s="9">
        <v>1.1000000000000001</v>
      </c>
      <c r="Q14" s="13"/>
      <c r="R14" s="91"/>
    </row>
    <row r="15" spans="1:18" s="10" customFormat="1" ht="16.5" thickBot="1" x14ac:dyDescent="0.3">
      <c r="A15" s="76">
        <v>1.1100000000000001</v>
      </c>
      <c r="B15" s="76">
        <f t="shared" si="0"/>
        <v>1.1399999999999999</v>
      </c>
      <c r="C15" s="8" t="s">
        <v>213</v>
      </c>
      <c r="D15" s="9">
        <v>1.1499999999999999</v>
      </c>
      <c r="F15" s="91"/>
      <c r="G15" s="95">
        <v>1.1100000000000001</v>
      </c>
      <c r="H15" s="95">
        <f t="shared" si="1"/>
        <v>1.1399999999999999</v>
      </c>
      <c r="I15" s="8" t="s">
        <v>213</v>
      </c>
      <c r="J15" s="9">
        <v>1.1499999999999999</v>
      </c>
      <c r="K15" s="13"/>
      <c r="L15" s="91"/>
      <c r="M15" s="95">
        <v>1.1100000000000001</v>
      </c>
      <c r="N15" s="95">
        <f t="shared" si="2"/>
        <v>1.1399999999999999</v>
      </c>
      <c r="O15" s="8" t="s">
        <v>213</v>
      </c>
      <c r="P15" s="9">
        <v>1.1499999999999999</v>
      </c>
      <c r="Q15" s="13"/>
      <c r="R15" s="91"/>
    </row>
    <row r="16" spans="1:18" s="10" customFormat="1" ht="16.5" thickBot="1" x14ac:dyDescent="0.3">
      <c r="A16" s="76">
        <v>1.1499999999999999</v>
      </c>
      <c r="B16" s="76">
        <f>9999%</f>
        <v>99.99</v>
      </c>
      <c r="C16" s="8" t="s">
        <v>177</v>
      </c>
      <c r="D16" s="9">
        <v>1.2</v>
      </c>
      <c r="F16" s="91"/>
      <c r="G16" s="95">
        <v>1.1499999999999999</v>
      </c>
      <c r="H16" s="95">
        <f>9999%</f>
        <v>99.99</v>
      </c>
      <c r="I16" s="8" t="s">
        <v>177</v>
      </c>
      <c r="J16" s="9">
        <v>1.2</v>
      </c>
      <c r="K16" s="13"/>
      <c r="L16" s="91"/>
      <c r="M16" s="95">
        <v>1.1499999999999999</v>
      </c>
      <c r="N16" s="95">
        <f>9999%</f>
        <v>99.99</v>
      </c>
      <c r="O16" s="8" t="s">
        <v>177</v>
      </c>
      <c r="P16" s="9">
        <v>1.2</v>
      </c>
      <c r="Q16" s="13"/>
      <c r="R16" s="91"/>
    </row>
    <row r="17" spans="1:18" x14ac:dyDescent="0.25">
      <c r="F17" s="91"/>
      <c r="G17" s="13"/>
      <c r="H17" s="13"/>
      <c r="I17" s="13"/>
      <c r="J17" s="13"/>
      <c r="K17" s="13"/>
      <c r="L17" s="91"/>
      <c r="M17" s="13"/>
      <c r="N17" s="13"/>
      <c r="O17" s="13"/>
      <c r="P17" s="13"/>
      <c r="Q17" s="13"/>
      <c r="R17" s="91"/>
    </row>
    <row r="18" spans="1:18" x14ac:dyDescent="0.25">
      <c r="C18" s="33" t="s">
        <v>201</v>
      </c>
      <c r="D18" s="10"/>
      <c r="F18" s="91"/>
      <c r="G18" s="13"/>
      <c r="H18" s="13"/>
      <c r="I18" s="13"/>
      <c r="J18" s="13"/>
      <c r="K18" s="13"/>
      <c r="L18" s="91"/>
      <c r="M18" s="13"/>
      <c r="N18" s="13"/>
      <c r="O18" s="13"/>
      <c r="P18" s="13"/>
      <c r="Q18" s="13"/>
      <c r="R18" s="91"/>
    </row>
    <row r="19" spans="1:18" ht="15.75" thickBot="1" x14ac:dyDescent="0.3">
      <c r="C19" s="10"/>
      <c r="D19" s="10"/>
      <c r="F19" s="91"/>
      <c r="G19" s="13"/>
      <c r="H19" s="13"/>
      <c r="I19" s="13"/>
      <c r="J19" s="13"/>
      <c r="K19" s="13"/>
      <c r="L19" s="91"/>
      <c r="M19" s="13"/>
      <c r="N19" s="13"/>
      <c r="O19" s="13"/>
      <c r="P19" s="13"/>
      <c r="Q19" s="13"/>
      <c r="R19" s="91"/>
    </row>
    <row r="20" spans="1:18" ht="16.5" thickBot="1" x14ac:dyDescent="0.3">
      <c r="A20" s="3" t="s">
        <v>248</v>
      </c>
      <c r="B20" s="3" t="s">
        <v>249</v>
      </c>
      <c r="C20" s="3" t="s">
        <v>117</v>
      </c>
      <c r="D20" s="3" t="s">
        <v>118</v>
      </c>
      <c r="F20" s="91"/>
      <c r="G20" s="3" t="s">
        <v>248</v>
      </c>
      <c r="H20" s="3" t="s">
        <v>249</v>
      </c>
      <c r="I20" s="3" t="s">
        <v>117</v>
      </c>
      <c r="J20" s="3" t="s">
        <v>118</v>
      </c>
      <c r="K20" s="13"/>
      <c r="L20" s="91"/>
      <c r="M20" s="3" t="s">
        <v>248</v>
      </c>
      <c r="N20" s="3" t="s">
        <v>249</v>
      </c>
      <c r="O20" s="3" t="s">
        <v>117</v>
      </c>
      <c r="P20" s="3" t="s">
        <v>118</v>
      </c>
      <c r="Q20" s="13"/>
      <c r="R20" s="91"/>
    </row>
    <row r="21" spans="1:18" ht="16.5" thickBot="1" x14ac:dyDescent="0.3">
      <c r="A21" s="76">
        <f>-9999%</f>
        <v>-99.99</v>
      </c>
      <c r="B21" s="76">
        <v>0.59</v>
      </c>
      <c r="C21" s="4" t="s">
        <v>119</v>
      </c>
      <c r="D21" s="5">
        <v>0</v>
      </c>
      <c r="F21" s="91"/>
      <c r="G21" s="95">
        <f>-9999%</f>
        <v>-99.99</v>
      </c>
      <c r="H21" s="95">
        <v>0.59</v>
      </c>
      <c r="I21" s="4" t="s">
        <v>119</v>
      </c>
      <c r="J21" s="5">
        <v>0</v>
      </c>
      <c r="K21" s="13"/>
      <c r="L21" s="91"/>
      <c r="M21" s="95">
        <f>-9999%</f>
        <v>-99.99</v>
      </c>
      <c r="N21" s="95">
        <v>0.59</v>
      </c>
      <c r="O21" s="4" t="s">
        <v>119</v>
      </c>
      <c r="P21" s="5">
        <v>0</v>
      </c>
      <c r="Q21" s="13"/>
      <c r="R21" s="91"/>
    </row>
    <row r="22" spans="1:18" ht="17.25" thickTop="1" thickBot="1" x14ac:dyDescent="0.3">
      <c r="A22" s="76">
        <v>0.6</v>
      </c>
      <c r="B22" s="76">
        <v>0.59</v>
      </c>
      <c r="C22" s="6" t="s">
        <v>120</v>
      </c>
      <c r="D22" s="7">
        <v>0.6</v>
      </c>
      <c r="F22" s="91"/>
      <c r="G22" s="95">
        <v>0.6</v>
      </c>
      <c r="H22" s="95">
        <v>0.59</v>
      </c>
      <c r="I22" s="6" t="s">
        <v>254</v>
      </c>
      <c r="J22" s="7">
        <v>0.6</v>
      </c>
      <c r="K22" s="13"/>
      <c r="L22" s="91"/>
      <c r="M22" s="95">
        <v>0.6</v>
      </c>
      <c r="N22" s="95">
        <v>0.59</v>
      </c>
      <c r="O22" s="6" t="s">
        <v>254</v>
      </c>
      <c r="P22" s="7">
        <v>0.6</v>
      </c>
      <c r="Q22" s="13"/>
      <c r="R22" s="91"/>
    </row>
    <row r="23" spans="1:18" ht="16.5" thickBot="1" x14ac:dyDescent="0.3">
      <c r="A23" s="76">
        <v>0.8</v>
      </c>
      <c r="B23" s="76">
        <v>0.59</v>
      </c>
      <c r="C23" s="8" t="s">
        <v>121</v>
      </c>
      <c r="D23" s="9">
        <v>0.7</v>
      </c>
      <c r="F23" s="91"/>
      <c r="G23" s="95">
        <v>0.8</v>
      </c>
      <c r="H23" s="95">
        <v>0.59</v>
      </c>
      <c r="I23" s="8" t="s">
        <v>255</v>
      </c>
      <c r="J23" s="9">
        <v>0.7</v>
      </c>
      <c r="K23" s="13"/>
      <c r="L23" s="91"/>
      <c r="M23" s="95">
        <v>0.8</v>
      </c>
      <c r="N23" s="95">
        <v>0.59</v>
      </c>
      <c r="O23" s="8" t="s">
        <v>255</v>
      </c>
      <c r="P23" s="9">
        <v>0.7</v>
      </c>
      <c r="Q23" s="13"/>
      <c r="R23" s="91"/>
    </row>
    <row r="24" spans="1:18" ht="16.5" thickBot="1" x14ac:dyDescent="0.3">
      <c r="A24" s="76">
        <v>0.85</v>
      </c>
      <c r="B24" s="76">
        <v>0.59</v>
      </c>
      <c r="C24" s="8" t="s">
        <v>122</v>
      </c>
      <c r="D24" s="9">
        <v>0.8</v>
      </c>
      <c r="F24" s="91"/>
      <c r="G24" s="95">
        <v>0.85</v>
      </c>
      <c r="H24" s="95">
        <v>0.59</v>
      </c>
      <c r="I24" s="8" t="s">
        <v>256</v>
      </c>
      <c r="J24" s="9">
        <v>0.8</v>
      </c>
      <c r="K24" s="13"/>
      <c r="L24" s="91"/>
      <c r="M24" s="95">
        <v>0.85</v>
      </c>
      <c r="N24" s="95">
        <v>0.59</v>
      </c>
      <c r="O24" s="8" t="s">
        <v>256</v>
      </c>
      <c r="P24" s="9">
        <v>0.8</v>
      </c>
      <c r="Q24" s="13"/>
      <c r="R24" s="91"/>
    </row>
    <row r="25" spans="1:18" ht="16.5" thickBot="1" x14ac:dyDescent="0.3">
      <c r="A25" s="76">
        <v>0.9</v>
      </c>
      <c r="B25" s="76">
        <v>0.59</v>
      </c>
      <c r="C25" s="8" t="s">
        <v>125</v>
      </c>
      <c r="D25" s="9">
        <v>0.9</v>
      </c>
      <c r="F25" s="91"/>
      <c r="G25" s="95">
        <v>0.9</v>
      </c>
      <c r="H25" s="95">
        <v>0.59</v>
      </c>
      <c r="I25" s="8" t="s">
        <v>261</v>
      </c>
      <c r="J25" s="9">
        <v>0.9</v>
      </c>
      <c r="K25" s="13"/>
      <c r="L25" s="91"/>
      <c r="M25" s="95">
        <v>0.9</v>
      </c>
      <c r="N25" s="95">
        <v>0.59</v>
      </c>
      <c r="O25" s="8" t="s">
        <v>261</v>
      </c>
      <c r="P25" s="9">
        <v>0.9</v>
      </c>
      <c r="Q25" s="13"/>
      <c r="R25" s="91"/>
    </row>
    <row r="26" spans="1:18" ht="16.5" thickBot="1" x14ac:dyDescent="0.3">
      <c r="A26" s="76">
        <v>0.93</v>
      </c>
      <c r="B26" s="76">
        <v>0.59</v>
      </c>
      <c r="C26" s="8" t="s">
        <v>126</v>
      </c>
      <c r="D26" s="9">
        <v>0.95</v>
      </c>
      <c r="F26" s="91"/>
      <c r="G26" s="95">
        <v>0.93</v>
      </c>
      <c r="H26" s="95">
        <v>0.59</v>
      </c>
      <c r="I26" s="8" t="s">
        <v>262</v>
      </c>
      <c r="J26" s="9">
        <v>0.95</v>
      </c>
      <c r="K26" s="13"/>
      <c r="L26" s="91"/>
      <c r="M26" s="95">
        <v>0.93</v>
      </c>
      <c r="N26" s="95">
        <v>0.59</v>
      </c>
      <c r="O26" s="8" t="s">
        <v>262</v>
      </c>
      <c r="P26" s="9">
        <v>0.95</v>
      </c>
      <c r="Q26" s="13"/>
      <c r="R26" s="91"/>
    </row>
    <row r="27" spans="1:18" ht="16.5" thickBot="1" x14ac:dyDescent="0.3">
      <c r="A27" s="76">
        <v>0.95</v>
      </c>
      <c r="B27" s="76">
        <v>0.59</v>
      </c>
      <c r="C27" s="8" t="s">
        <v>127</v>
      </c>
      <c r="D27" s="9">
        <v>1</v>
      </c>
      <c r="F27" s="91"/>
      <c r="G27" s="95">
        <v>0.95</v>
      </c>
      <c r="H27" s="95">
        <v>0.59</v>
      </c>
      <c r="I27" s="8" t="s">
        <v>263</v>
      </c>
      <c r="J27" s="9">
        <v>1</v>
      </c>
      <c r="K27" s="13"/>
      <c r="L27" s="91"/>
      <c r="M27" s="95">
        <v>0.95</v>
      </c>
      <c r="N27" s="95">
        <v>0.59</v>
      </c>
      <c r="O27" s="8" t="s">
        <v>263</v>
      </c>
      <c r="P27" s="9">
        <v>1</v>
      </c>
      <c r="Q27" s="13"/>
      <c r="R27" s="91"/>
    </row>
    <row r="28" spans="1:18" ht="16.5" thickBot="1" x14ac:dyDescent="0.3">
      <c r="A28" s="76">
        <v>0.98</v>
      </c>
      <c r="B28" s="76">
        <v>0.59</v>
      </c>
      <c r="C28" s="8" t="s">
        <v>128</v>
      </c>
      <c r="D28" s="9">
        <v>1.05</v>
      </c>
      <c r="F28" s="91"/>
      <c r="G28" s="95">
        <v>0.98</v>
      </c>
      <c r="H28" s="95">
        <v>0.59</v>
      </c>
      <c r="I28" s="8" t="s">
        <v>264</v>
      </c>
      <c r="J28" s="9">
        <v>1.05</v>
      </c>
      <c r="K28" s="13"/>
      <c r="L28" s="91"/>
      <c r="M28" s="95">
        <v>0.98</v>
      </c>
      <c r="N28" s="95">
        <v>0.59</v>
      </c>
      <c r="O28" s="8" t="s">
        <v>264</v>
      </c>
      <c r="P28" s="9">
        <v>1.05</v>
      </c>
      <c r="Q28" s="13"/>
      <c r="R28" s="91"/>
    </row>
    <row r="29" spans="1:18" ht="16.5" thickBot="1" x14ac:dyDescent="0.3">
      <c r="A29" s="76">
        <v>1</v>
      </c>
      <c r="B29" s="76">
        <f>9999%</f>
        <v>99.99</v>
      </c>
      <c r="C29" s="9">
        <v>1</v>
      </c>
      <c r="D29" s="9">
        <v>1.1000000000000001</v>
      </c>
      <c r="F29" s="91"/>
      <c r="G29" s="95">
        <v>1</v>
      </c>
      <c r="H29" s="95">
        <f>9999%</f>
        <v>99.99</v>
      </c>
      <c r="I29" s="9">
        <v>1</v>
      </c>
      <c r="J29" s="9">
        <v>1.1000000000000001</v>
      </c>
      <c r="K29" s="13"/>
      <c r="L29" s="91"/>
      <c r="M29" s="95">
        <v>1</v>
      </c>
      <c r="N29" s="95">
        <f>9999%</f>
        <v>99.99</v>
      </c>
      <c r="O29" s="9">
        <v>1</v>
      </c>
      <c r="P29" s="9">
        <v>1.1000000000000001</v>
      </c>
      <c r="Q29" s="13"/>
      <c r="R29" s="91"/>
    </row>
    <row r="30" spans="1:18" ht="15.75" thickBot="1" x14ac:dyDescent="0.3">
      <c r="A30" s="76"/>
      <c r="F30" s="91"/>
      <c r="G30" s="13"/>
      <c r="H30" s="13"/>
      <c r="I30" s="13"/>
      <c r="J30" s="13"/>
      <c r="K30" s="13"/>
      <c r="L30" s="91"/>
    </row>
    <row r="31" spans="1:18" ht="16.5" thickBot="1" x14ac:dyDescent="0.3">
      <c r="A31" s="76"/>
      <c r="C31" s="18" t="s">
        <v>175</v>
      </c>
      <c r="D31" s="18" t="s">
        <v>176</v>
      </c>
      <c r="E31" s="18" t="s">
        <v>174</v>
      </c>
      <c r="F31" s="91"/>
      <c r="G31" s="95"/>
      <c r="H31" s="13"/>
      <c r="I31" s="18" t="s">
        <v>175</v>
      </c>
      <c r="J31" s="18" t="s">
        <v>176</v>
      </c>
      <c r="K31" s="17" t="s">
        <v>173</v>
      </c>
      <c r="L31" s="91"/>
    </row>
    <row r="32" spans="1:18" ht="17.25" thickTop="1" thickBot="1" x14ac:dyDescent="0.3">
      <c r="A32" s="76">
        <v>-99.99</v>
      </c>
      <c r="B32" s="77">
        <f>A33-1%</f>
        <v>0.99</v>
      </c>
      <c r="C32" s="8" t="s">
        <v>181</v>
      </c>
      <c r="D32" s="21">
        <v>0</v>
      </c>
      <c r="E32" s="236">
        <v>1</v>
      </c>
      <c r="F32" s="91"/>
      <c r="G32" s="95">
        <v>-99.99</v>
      </c>
      <c r="H32" s="96">
        <f>G33-1%</f>
        <v>0.99</v>
      </c>
      <c r="I32" s="8" t="s">
        <v>181</v>
      </c>
      <c r="J32" s="21">
        <v>0</v>
      </c>
      <c r="K32" s="19" t="s">
        <v>265</v>
      </c>
      <c r="L32" s="91"/>
    </row>
    <row r="33" spans="1:12" ht="16.5" thickBot="1" x14ac:dyDescent="0.3">
      <c r="A33" s="76">
        <v>1</v>
      </c>
      <c r="B33" s="77">
        <f t="shared" ref="B33:B35" si="3">A34-1%</f>
        <v>1.05</v>
      </c>
      <c r="C33" s="8" t="s">
        <v>180</v>
      </c>
      <c r="D33" s="21">
        <v>50</v>
      </c>
      <c r="E33" s="237"/>
      <c r="F33" s="91"/>
      <c r="G33" s="95">
        <v>1</v>
      </c>
      <c r="H33" s="96">
        <f t="shared" ref="H33:H35" si="4">G34-1%</f>
        <v>1.05</v>
      </c>
      <c r="I33" s="8" t="s">
        <v>180</v>
      </c>
      <c r="J33" s="21">
        <v>100</v>
      </c>
      <c r="K33" s="22" t="s">
        <v>183</v>
      </c>
      <c r="L33" s="91"/>
    </row>
    <row r="34" spans="1:12" ht="16.5" thickBot="1" x14ac:dyDescent="0.3">
      <c r="A34" s="76">
        <v>1.06</v>
      </c>
      <c r="B34" s="77">
        <f t="shared" si="3"/>
        <v>1.1000000000000001</v>
      </c>
      <c r="C34" s="8" t="s">
        <v>179</v>
      </c>
      <c r="D34" s="21">
        <v>100</v>
      </c>
      <c r="E34" s="237"/>
      <c r="F34" s="91"/>
      <c r="G34" s="95">
        <v>1.06</v>
      </c>
      <c r="H34" s="96">
        <f t="shared" si="4"/>
        <v>1.1000000000000001</v>
      </c>
      <c r="I34" s="8" t="s">
        <v>179</v>
      </c>
      <c r="J34" s="21">
        <v>200</v>
      </c>
      <c r="K34" s="22" t="s">
        <v>184</v>
      </c>
      <c r="L34" s="91"/>
    </row>
    <row r="35" spans="1:12" ht="16.5" thickBot="1" x14ac:dyDescent="0.3">
      <c r="A35" s="76">
        <v>1.1100000000000001</v>
      </c>
      <c r="B35" s="77">
        <f t="shared" si="3"/>
        <v>1.1499999999999999</v>
      </c>
      <c r="C35" s="8" t="s">
        <v>178</v>
      </c>
      <c r="D35" s="21">
        <v>150</v>
      </c>
      <c r="E35" s="237"/>
      <c r="F35" s="91"/>
      <c r="G35" s="95">
        <v>1.1100000000000001</v>
      </c>
      <c r="H35" s="96">
        <f t="shared" si="4"/>
        <v>1.1499999999999999</v>
      </c>
      <c r="I35" s="8" t="s">
        <v>178</v>
      </c>
      <c r="J35" s="21">
        <v>300</v>
      </c>
      <c r="K35" s="22" t="s">
        <v>185</v>
      </c>
      <c r="L35" s="91"/>
    </row>
    <row r="36" spans="1:12" ht="17.25" thickTop="1" thickBot="1" x14ac:dyDescent="0.3">
      <c r="A36" s="76">
        <v>1.1599999999999999</v>
      </c>
      <c r="B36" s="76">
        <f>9999%</f>
        <v>99.99</v>
      </c>
      <c r="C36" s="6" t="s">
        <v>177</v>
      </c>
      <c r="D36" s="20">
        <v>200</v>
      </c>
      <c r="E36" s="238"/>
      <c r="F36" s="91"/>
      <c r="G36" s="95">
        <v>1.1599999999999999</v>
      </c>
      <c r="H36" s="95">
        <f>9999%</f>
        <v>99.99</v>
      </c>
      <c r="I36" s="6" t="s">
        <v>177</v>
      </c>
      <c r="J36" s="20">
        <v>500</v>
      </c>
      <c r="K36" s="23" t="s">
        <v>266</v>
      </c>
      <c r="L36" s="91"/>
    </row>
    <row r="37" spans="1:12" x14ac:dyDescent="0.25">
      <c r="A37" s="76"/>
      <c r="B37" s="76"/>
    </row>
    <row r="38" spans="1:12" x14ac:dyDescent="0.25">
      <c r="A38" s="76"/>
      <c r="B38" s="76"/>
    </row>
    <row r="39" spans="1:12" x14ac:dyDescent="0.25">
      <c r="H39"/>
    </row>
    <row r="40" spans="1:12" x14ac:dyDescent="0.25">
      <c r="H40"/>
    </row>
    <row r="41" spans="1:12" x14ac:dyDescent="0.25">
      <c r="H41"/>
    </row>
    <row r="42" spans="1:12" x14ac:dyDescent="0.25">
      <c r="H42"/>
    </row>
    <row r="43" spans="1:12" x14ac:dyDescent="0.25">
      <c r="H43"/>
    </row>
    <row r="44" spans="1:12" x14ac:dyDescent="0.25">
      <c r="H44"/>
    </row>
    <row r="45" spans="1:12" x14ac:dyDescent="0.25">
      <c r="H45"/>
    </row>
  </sheetData>
  <mergeCells count="4">
    <mergeCell ref="M1:R1"/>
    <mergeCell ref="E32:E36"/>
    <mergeCell ref="A1:F1"/>
    <mergeCell ref="G1:L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showGridLines="0" topLeftCell="E28" zoomScale="80" zoomScaleNormal="80" zoomScaleSheetLayoutView="75" workbookViewId="0">
      <selection activeCell="O80" sqref="O80"/>
    </sheetView>
  </sheetViews>
  <sheetFormatPr baseColWidth="10" defaultRowHeight="15" x14ac:dyDescent="0.25"/>
  <cols>
    <col min="1" max="1" width="22" style="10" customWidth="1"/>
    <col min="2" max="2" width="37" customWidth="1"/>
    <col min="3" max="3" width="35.7109375" bestFit="1" customWidth="1"/>
    <col min="4" max="6" width="15.85546875" customWidth="1"/>
    <col min="7" max="7" width="15.85546875" style="10" customWidth="1"/>
    <col min="8" max="8" width="19.28515625" style="11" bestFit="1" customWidth="1"/>
    <col min="9" max="9" width="16.28515625" bestFit="1" customWidth="1"/>
    <col min="10" max="10" width="9" style="10" customWidth="1"/>
    <col min="11" max="11" width="18.42578125" customWidth="1"/>
    <col min="12" max="12" width="14.5703125" style="10" bestFit="1" customWidth="1"/>
    <col min="13" max="13" width="9.42578125" bestFit="1" customWidth="1"/>
    <col min="14" max="14" width="19.140625" customWidth="1"/>
    <col min="15" max="15" width="13.85546875" customWidth="1"/>
    <col min="16" max="16" width="13.85546875" bestFit="1" customWidth="1"/>
    <col min="19" max="19" width="16.28515625" bestFit="1" customWidth="1"/>
  </cols>
  <sheetData>
    <row r="1" spans="2:8" s="10" customFormat="1" ht="21" x14ac:dyDescent="0.35">
      <c r="B1" s="74" t="s">
        <v>231</v>
      </c>
      <c r="H1" s="11"/>
    </row>
    <row r="2" spans="2:8" s="10" customFormat="1" x14ac:dyDescent="0.25">
      <c r="H2" s="11"/>
    </row>
    <row r="3" spans="2:8" s="10" customFormat="1" x14ac:dyDescent="0.25">
      <c r="B3" s="72" t="s">
        <v>6</v>
      </c>
      <c r="C3" s="167" t="s">
        <v>232</v>
      </c>
      <c r="H3" s="11"/>
    </row>
    <row r="4" spans="2:8" s="10" customFormat="1" x14ac:dyDescent="0.25">
      <c r="B4" s="72" t="s">
        <v>23</v>
      </c>
      <c r="C4" s="167" t="s">
        <v>413</v>
      </c>
      <c r="H4" s="11"/>
    </row>
    <row r="5" spans="2:8" s="10" customFormat="1" x14ac:dyDescent="0.25">
      <c r="B5" s="72" t="s">
        <v>25</v>
      </c>
      <c r="C5" s="167" t="s">
        <v>413</v>
      </c>
      <c r="H5" s="11"/>
    </row>
    <row r="6" spans="2:8" s="10" customFormat="1" x14ac:dyDescent="0.25">
      <c r="B6" s="72" t="s">
        <v>30</v>
      </c>
      <c r="C6" s="167" t="s">
        <v>437</v>
      </c>
      <c r="H6" s="11"/>
    </row>
    <row r="7" spans="2:8" s="10" customFormat="1" x14ac:dyDescent="0.25">
      <c r="B7" s="72" t="s">
        <v>34</v>
      </c>
      <c r="C7" s="167" t="s">
        <v>437</v>
      </c>
      <c r="H7" s="11"/>
    </row>
    <row r="8" spans="2:8" s="10" customFormat="1" x14ac:dyDescent="0.25">
      <c r="B8" s="72" t="s">
        <v>217</v>
      </c>
      <c r="C8" s="167" t="s">
        <v>190</v>
      </c>
      <c r="H8" s="11"/>
    </row>
    <row r="9" spans="2:8" s="10" customFormat="1" x14ac:dyDescent="0.25">
      <c r="B9" s="72" t="s">
        <v>71</v>
      </c>
      <c r="C9" s="167" t="s">
        <v>190</v>
      </c>
      <c r="H9" s="11"/>
    </row>
    <row r="10" spans="2:8" s="10" customFormat="1" x14ac:dyDescent="0.25">
      <c r="B10" s="72" t="s">
        <v>106</v>
      </c>
      <c r="C10" s="167" t="s">
        <v>437</v>
      </c>
      <c r="H10" s="11"/>
    </row>
    <row r="11" spans="2:8" s="10" customFormat="1" x14ac:dyDescent="0.25">
      <c r="B11" s="72" t="s">
        <v>3</v>
      </c>
      <c r="C11" s="167" t="s">
        <v>437</v>
      </c>
      <c r="H11" s="11"/>
    </row>
    <row r="12" spans="2:8" s="10" customFormat="1" x14ac:dyDescent="0.25">
      <c r="B12" s="72" t="s">
        <v>508</v>
      </c>
      <c r="C12" s="167" t="s">
        <v>437</v>
      </c>
      <c r="H12" s="11"/>
    </row>
    <row r="13" spans="2:8" s="10" customFormat="1" x14ac:dyDescent="0.25">
      <c r="B13" s="72" t="s">
        <v>38</v>
      </c>
      <c r="C13" s="148"/>
      <c r="H13" s="11"/>
    </row>
    <row r="14" spans="2:8" s="10" customFormat="1" x14ac:dyDescent="0.25">
      <c r="B14" s="72" t="s">
        <v>216</v>
      </c>
      <c r="C14" s="167" t="s">
        <v>232</v>
      </c>
      <c r="H14" s="11"/>
    </row>
    <row r="15" spans="2:8" s="10" customFormat="1" x14ac:dyDescent="0.25">
      <c r="B15" s="72" t="s">
        <v>48</v>
      </c>
      <c r="C15" s="167" t="s">
        <v>413</v>
      </c>
      <c r="H15" s="11"/>
    </row>
    <row r="16" spans="2:8" s="10" customFormat="1" x14ac:dyDescent="0.25">
      <c r="B16" s="72" t="s">
        <v>514</v>
      </c>
      <c r="C16" s="167" t="s">
        <v>413</v>
      </c>
      <c r="H16" s="11"/>
    </row>
    <row r="17" spans="1:19" s="10" customFormat="1" ht="17.25" customHeight="1" x14ac:dyDescent="0.25">
      <c r="H17" s="11"/>
    </row>
    <row r="18" spans="1:19" ht="21" x14ac:dyDescent="0.35">
      <c r="B18" s="74" t="s">
        <v>223</v>
      </c>
    </row>
    <row r="19" spans="1:19" ht="15.75" thickBot="1" x14ac:dyDescent="0.3"/>
    <row r="20" spans="1:19" x14ac:dyDescent="0.25">
      <c r="B20" s="66" t="s">
        <v>218</v>
      </c>
      <c r="C20" s="67" t="s">
        <v>516</v>
      </c>
      <c r="D20" s="67" t="s">
        <v>224</v>
      </c>
      <c r="E20" s="67" t="s">
        <v>517</v>
      </c>
      <c r="F20" s="67" t="s">
        <v>515</v>
      </c>
      <c r="G20" s="145" t="s">
        <v>495</v>
      </c>
      <c r="H20" s="131" t="s">
        <v>269</v>
      </c>
      <c r="I20" s="131" t="s">
        <v>0</v>
      </c>
      <c r="K20" s="1" t="s">
        <v>218</v>
      </c>
      <c r="L20" s="10" t="s">
        <v>518</v>
      </c>
      <c r="M20" s="10" t="s">
        <v>519</v>
      </c>
      <c r="N20" s="10" t="s">
        <v>496</v>
      </c>
      <c r="O20" s="10" t="s">
        <v>489</v>
      </c>
      <c r="P20" s="239" t="s">
        <v>520</v>
      </c>
      <c r="Q20" s="239"/>
      <c r="R20" s="239"/>
    </row>
    <row r="21" spans="1:19" x14ac:dyDescent="0.25">
      <c r="A21" s="10" t="s">
        <v>6</v>
      </c>
      <c r="B21" s="181" t="s">
        <v>12</v>
      </c>
      <c r="C21" s="160">
        <v>19</v>
      </c>
      <c r="D21" s="171">
        <v>505</v>
      </c>
      <c r="E21" s="162">
        <v>26.578947368421051</v>
      </c>
      <c r="F21" s="161">
        <v>25</v>
      </c>
      <c r="G21" s="146">
        <f>F21*C21</f>
        <v>475</v>
      </c>
      <c r="H21" s="130">
        <f>VLOOKUP(B21,Homologacion!$C$1:$E$122,3,0)</f>
        <v>7051709</v>
      </c>
      <c r="I21" t="str">
        <f>IFERROR(VLOOKUP(A21,$B$3:$C$16,1,0),I20)</f>
        <v>G1</v>
      </c>
      <c r="J21" s="189">
        <v>1.0631578947368421</v>
      </c>
      <c r="K21" s="16">
        <v>7001746</v>
      </c>
      <c r="L21" s="11">
        <v>14</v>
      </c>
      <c r="M21" s="165">
        <v>7</v>
      </c>
      <c r="N21" s="164">
        <v>98</v>
      </c>
      <c r="O21" s="11">
        <v>121</v>
      </c>
      <c r="P21" s="2">
        <f>+O21/N21</f>
        <v>1.2346938775510203</v>
      </c>
      <c r="Q21" s="2">
        <f>VLOOKUP(K21,$H$21:$J$81,3,0)</f>
        <v>1.2346938775510203</v>
      </c>
      <c r="R21" s="166">
        <f>+P21-Q21</f>
        <v>0</v>
      </c>
      <c r="S21" t="str">
        <f>VLOOKUP(K21,$H$21:$I$82,2,0)</f>
        <v>G3</v>
      </c>
    </row>
    <row r="22" spans="1:19" x14ac:dyDescent="0.25">
      <c r="A22" s="10" t="s">
        <v>6</v>
      </c>
      <c r="B22" s="181" t="s">
        <v>9</v>
      </c>
      <c r="C22" s="160">
        <v>20</v>
      </c>
      <c r="D22" s="160">
        <v>395</v>
      </c>
      <c r="E22" s="162">
        <v>19.75</v>
      </c>
      <c r="F22" s="161">
        <v>25</v>
      </c>
      <c r="G22" s="146">
        <f t="shared" ref="G22:G81" si="0">F22*C22</f>
        <v>500</v>
      </c>
      <c r="H22" s="130">
        <f>VLOOKUP(B22,Homologacion!$C$1:$E$122,3,0)</f>
        <v>7021785</v>
      </c>
      <c r="I22" s="10" t="str">
        <f t="shared" ref="I22:I81" si="1">IFERROR(VLOOKUP(A22,$B$3:$C$16,1,0),I21)</f>
        <v>G1</v>
      </c>
      <c r="J22" s="189">
        <v>0.79</v>
      </c>
      <c r="K22" s="16">
        <v>7002736</v>
      </c>
      <c r="L22" s="11">
        <v>15</v>
      </c>
      <c r="M22" s="165">
        <v>10</v>
      </c>
      <c r="N22" s="164">
        <v>150</v>
      </c>
      <c r="O22" s="11">
        <v>127</v>
      </c>
      <c r="P22" s="2">
        <f t="shared" ref="P22:P75" si="2">+O22/N22</f>
        <v>0.84666666666666668</v>
      </c>
      <c r="Q22" s="2">
        <f t="shared" ref="Q22:Q79" si="3">VLOOKUP(K22,$H$21:$J$81,3,0)</f>
        <v>0.84666666666666668</v>
      </c>
      <c r="R22" s="166">
        <f t="shared" ref="R22:R75" si="4">+P22-Q22</f>
        <v>0</v>
      </c>
      <c r="S22" s="10" t="str">
        <f t="shared" ref="S22:S77" si="5">VLOOKUP(K22,$H$21:$I$82,2,0)</f>
        <v>G9</v>
      </c>
    </row>
    <row r="23" spans="1:19" x14ac:dyDescent="0.25">
      <c r="A23" s="10" t="s">
        <v>6</v>
      </c>
      <c r="B23" s="181" t="s">
        <v>17</v>
      </c>
      <c r="C23" s="160">
        <v>19</v>
      </c>
      <c r="D23" s="160">
        <v>334</v>
      </c>
      <c r="E23" s="162">
        <v>17.578947368421051</v>
      </c>
      <c r="F23" s="161">
        <v>25</v>
      </c>
      <c r="G23" s="146">
        <f t="shared" si="0"/>
        <v>475</v>
      </c>
      <c r="H23" s="130">
        <f>VLOOKUP(B23,Homologacion!$C$1:$E$122,3,0)</f>
        <v>50050491</v>
      </c>
      <c r="I23" s="10" t="str">
        <f t="shared" si="1"/>
        <v>G1</v>
      </c>
      <c r="J23" s="189">
        <v>0.70315789473684209</v>
      </c>
      <c r="K23" s="16">
        <v>7003932</v>
      </c>
      <c r="L23" s="11">
        <v>12</v>
      </c>
      <c r="M23" s="165">
        <v>8</v>
      </c>
      <c r="N23" s="164">
        <v>96</v>
      </c>
      <c r="O23" s="11">
        <v>69</v>
      </c>
      <c r="P23" s="2">
        <f t="shared" si="2"/>
        <v>0.71875</v>
      </c>
      <c r="Q23" s="2">
        <f t="shared" si="3"/>
        <v>0.71875</v>
      </c>
      <c r="R23" s="166">
        <f t="shared" si="4"/>
        <v>0</v>
      </c>
      <c r="S23" s="10" t="str">
        <f t="shared" si="5"/>
        <v>G8</v>
      </c>
    </row>
    <row r="24" spans="1:19" x14ac:dyDescent="0.25">
      <c r="A24" s="10" t="s">
        <v>6</v>
      </c>
      <c r="B24" s="181" t="s">
        <v>20</v>
      </c>
      <c r="C24" s="160">
        <v>14</v>
      </c>
      <c r="D24" s="160">
        <v>248</v>
      </c>
      <c r="E24" s="162">
        <v>17.714285714285715</v>
      </c>
      <c r="F24" s="161">
        <v>25</v>
      </c>
      <c r="G24" s="146">
        <f t="shared" si="0"/>
        <v>350</v>
      </c>
      <c r="H24" s="130">
        <f>VLOOKUP(B24,Homologacion!$C$1:$E$122,3,0)</f>
        <v>50071349</v>
      </c>
      <c r="I24" s="10" t="str">
        <f t="shared" si="1"/>
        <v>G1</v>
      </c>
      <c r="J24" s="189">
        <v>0.70857142857142863</v>
      </c>
      <c r="K24" s="16">
        <v>7007842</v>
      </c>
      <c r="L24" s="11">
        <v>20</v>
      </c>
      <c r="M24" s="165">
        <v>7</v>
      </c>
      <c r="N24" s="164">
        <v>140</v>
      </c>
      <c r="O24" s="11">
        <v>123</v>
      </c>
      <c r="P24" s="2">
        <f t="shared" si="2"/>
        <v>0.87857142857142856</v>
      </c>
      <c r="Q24" s="2">
        <f t="shared" si="3"/>
        <v>0.87857142857142867</v>
      </c>
      <c r="R24" s="166">
        <f t="shared" si="4"/>
        <v>0</v>
      </c>
      <c r="S24" s="10" t="str">
        <f t="shared" si="5"/>
        <v>G3</v>
      </c>
    </row>
    <row r="25" spans="1:19" x14ac:dyDescent="0.25">
      <c r="A25" s="10" t="s">
        <v>6</v>
      </c>
      <c r="B25" s="181" t="s">
        <v>10</v>
      </c>
      <c r="C25" s="160">
        <v>16</v>
      </c>
      <c r="D25" s="160">
        <v>246</v>
      </c>
      <c r="E25" s="162">
        <v>15.375</v>
      </c>
      <c r="F25" s="161">
        <v>25</v>
      </c>
      <c r="G25" s="146">
        <f t="shared" si="0"/>
        <v>400</v>
      </c>
      <c r="H25" s="130">
        <f>VLOOKUP(B25,Homologacion!$C$1:$E$122,3,0)</f>
        <v>7032030</v>
      </c>
      <c r="I25" s="10" t="str">
        <f t="shared" si="1"/>
        <v>G1</v>
      </c>
      <c r="J25" s="189">
        <v>0.61499999999999999</v>
      </c>
      <c r="K25" s="16">
        <v>7010952</v>
      </c>
      <c r="L25" s="11">
        <v>20</v>
      </c>
      <c r="M25" s="165">
        <v>8</v>
      </c>
      <c r="N25" s="164">
        <v>160</v>
      </c>
      <c r="O25" s="11">
        <v>197</v>
      </c>
      <c r="P25" s="2">
        <f t="shared" si="2"/>
        <v>1.23125</v>
      </c>
      <c r="Q25" s="2">
        <f t="shared" si="3"/>
        <v>1.23125</v>
      </c>
      <c r="R25" s="166">
        <f t="shared" si="4"/>
        <v>0</v>
      </c>
      <c r="S25" s="10" t="str">
        <f t="shared" si="5"/>
        <v>G7</v>
      </c>
    </row>
    <row r="26" spans="1:19" x14ac:dyDescent="0.25">
      <c r="A26" s="10" t="s">
        <v>71</v>
      </c>
      <c r="B26" s="181" t="s">
        <v>87</v>
      </c>
      <c r="C26" s="160">
        <v>16</v>
      </c>
      <c r="D26" s="160">
        <v>208</v>
      </c>
      <c r="E26" s="162">
        <v>13</v>
      </c>
      <c r="F26" s="161">
        <v>10</v>
      </c>
      <c r="G26" s="146">
        <f t="shared" si="0"/>
        <v>160</v>
      </c>
      <c r="H26" s="130">
        <f>VLOOKUP(B26,Homologacion!$C$1:$E$122,3,0)</f>
        <v>7052616</v>
      </c>
      <c r="I26" s="10" t="str">
        <f t="shared" si="1"/>
        <v>G9</v>
      </c>
      <c r="J26" s="189">
        <v>1.3</v>
      </c>
      <c r="K26" s="16">
        <v>7014400</v>
      </c>
      <c r="L26" s="11">
        <v>15</v>
      </c>
      <c r="M26" s="165">
        <v>8</v>
      </c>
      <c r="N26" s="164">
        <v>120</v>
      </c>
      <c r="O26" s="11">
        <v>94</v>
      </c>
      <c r="P26" s="2">
        <f t="shared" si="2"/>
        <v>0.78333333333333333</v>
      </c>
      <c r="Q26" s="2">
        <f t="shared" si="3"/>
        <v>0.78333333333333333</v>
      </c>
      <c r="R26" s="166">
        <f t="shared" si="4"/>
        <v>0</v>
      </c>
      <c r="S26" s="10" t="str">
        <f t="shared" si="5"/>
        <v>Impugnaciones</v>
      </c>
    </row>
    <row r="27" spans="1:19" x14ac:dyDescent="0.25">
      <c r="A27" s="10" t="s">
        <v>71</v>
      </c>
      <c r="B27" s="181" t="s">
        <v>102</v>
      </c>
      <c r="C27" s="160">
        <v>16</v>
      </c>
      <c r="D27" s="160">
        <v>192</v>
      </c>
      <c r="E27" s="162">
        <v>12</v>
      </c>
      <c r="F27" s="161">
        <v>10</v>
      </c>
      <c r="G27" s="146">
        <f t="shared" si="0"/>
        <v>160</v>
      </c>
      <c r="H27" s="130">
        <f>VLOOKUP(B27,Homologacion!$C$1:$E$122,3,0)</f>
        <v>50050962</v>
      </c>
      <c r="I27" s="10" t="str">
        <f t="shared" si="1"/>
        <v>G9</v>
      </c>
      <c r="J27" s="189">
        <v>1.2</v>
      </c>
      <c r="K27" s="16">
        <v>7017148</v>
      </c>
      <c r="L27" s="11">
        <v>20</v>
      </c>
      <c r="M27" s="165">
        <v>11</v>
      </c>
      <c r="N27" s="164">
        <v>220</v>
      </c>
      <c r="O27" s="11">
        <v>218</v>
      </c>
      <c r="P27" s="2">
        <f t="shared" si="2"/>
        <v>0.99090909090909096</v>
      </c>
      <c r="Q27" s="2">
        <f t="shared" si="3"/>
        <v>0.99090909090909096</v>
      </c>
      <c r="R27" s="166">
        <f t="shared" si="4"/>
        <v>0</v>
      </c>
      <c r="S27" s="10" t="str">
        <f t="shared" si="5"/>
        <v>G4</v>
      </c>
    </row>
    <row r="28" spans="1:19" x14ac:dyDescent="0.25">
      <c r="A28" s="10" t="s">
        <v>71</v>
      </c>
      <c r="B28" s="181" t="s">
        <v>94</v>
      </c>
      <c r="C28" s="160">
        <v>16</v>
      </c>
      <c r="D28" s="160">
        <v>192</v>
      </c>
      <c r="E28" s="162">
        <v>12</v>
      </c>
      <c r="F28" s="161">
        <v>10</v>
      </c>
      <c r="G28" s="146">
        <f t="shared" si="0"/>
        <v>160</v>
      </c>
      <c r="H28" s="130">
        <f>VLOOKUP(B28,Homologacion!$C$1:$E$122,3,0)</f>
        <v>50019405</v>
      </c>
      <c r="I28" s="10" t="str">
        <f t="shared" si="1"/>
        <v>G9</v>
      </c>
      <c r="J28" s="189">
        <v>1.2</v>
      </c>
      <c r="K28" s="16">
        <v>7017353</v>
      </c>
      <c r="L28" s="11">
        <v>19</v>
      </c>
      <c r="M28" s="165">
        <v>8</v>
      </c>
      <c r="N28" s="164">
        <v>152</v>
      </c>
      <c r="O28" s="11">
        <v>127</v>
      </c>
      <c r="P28" s="2">
        <f t="shared" si="2"/>
        <v>0.83552631578947367</v>
      </c>
      <c r="Q28" s="2">
        <f t="shared" si="3"/>
        <v>0.83552631578947367</v>
      </c>
      <c r="R28" s="166">
        <f t="shared" si="4"/>
        <v>0</v>
      </c>
      <c r="S28" s="10" t="str">
        <f t="shared" si="5"/>
        <v>G8</v>
      </c>
    </row>
    <row r="29" spans="1:19" x14ac:dyDescent="0.25">
      <c r="A29" s="10" t="s">
        <v>71</v>
      </c>
      <c r="B29" s="181" t="s">
        <v>76</v>
      </c>
      <c r="C29" s="160">
        <v>20</v>
      </c>
      <c r="D29" s="160">
        <v>186</v>
      </c>
      <c r="E29" s="162">
        <v>9.3000000000000007</v>
      </c>
      <c r="F29" s="161">
        <v>10</v>
      </c>
      <c r="G29" s="146">
        <f t="shared" si="0"/>
        <v>200</v>
      </c>
      <c r="H29" s="130">
        <f>VLOOKUP(B29,Homologacion!$C$1:$E$122,3,0)</f>
        <v>7019425</v>
      </c>
      <c r="I29" s="10" t="str">
        <f t="shared" si="1"/>
        <v>G9</v>
      </c>
      <c r="J29" s="189">
        <v>0.93</v>
      </c>
      <c r="K29" s="16">
        <v>7019425</v>
      </c>
      <c r="L29" s="11">
        <v>20</v>
      </c>
      <c r="M29" s="165">
        <v>10</v>
      </c>
      <c r="N29" s="164">
        <v>200</v>
      </c>
      <c r="O29" s="11">
        <v>186</v>
      </c>
      <c r="P29" s="2">
        <f t="shared" si="2"/>
        <v>0.93</v>
      </c>
      <c r="Q29" s="2">
        <f t="shared" si="3"/>
        <v>0.93</v>
      </c>
      <c r="R29" s="166">
        <f t="shared" si="4"/>
        <v>0</v>
      </c>
      <c r="S29" s="10" t="str">
        <f t="shared" si="5"/>
        <v>G9</v>
      </c>
    </row>
    <row r="30" spans="1:19" x14ac:dyDescent="0.25">
      <c r="A30" s="10" t="s">
        <v>71</v>
      </c>
      <c r="B30" s="181" t="s">
        <v>99</v>
      </c>
      <c r="C30" s="160">
        <v>16</v>
      </c>
      <c r="D30" s="160">
        <v>175</v>
      </c>
      <c r="E30" s="162">
        <v>10.9375</v>
      </c>
      <c r="F30" s="161">
        <v>10</v>
      </c>
      <c r="G30" s="146">
        <f t="shared" si="0"/>
        <v>160</v>
      </c>
      <c r="H30" s="130">
        <f>VLOOKUP(B30,Homologacion!$C$1:$E$122,3,0)</f>
        <v>50033117</v>
      </c>
      <c r="I30" s="10" t="str">
        <f t="shared" si="1"/>
        <v>G9</v>
      </c>
      <c r="J30" s="189">
        <v>1.09375</v>
      </c>
      <c r="K30" s="16">
        <v>7019961</v>
      </c>
      <c r="L30" s="11">
        <v>15</v>
      </c>
      <c r="M30" s="165">
        <v>5</v>
      </c>
      <c r="N30" s="164">
        <v>75</v>
      </c>
      <c r="O30" s="11">
        <v>77</v>
      </c>
      <c r="P30" s="2">
        <f t="shared" si="2"/>
        <v>1.0266666666666666</v>
      </c>
      <c r="Q30" s="2">
        <f t="shared" si="3"/>
        <v>1.0266666666666668</v>
      </c>
      <c r="R30" s="166">
        <f t="shared" si="4"/>
        <v>0</v>
      </c>
      <c r="S30" s="10" t="str">
        <f t="shared" si="5"/>
        <v>Alo Banco</v>
      </c>
    </row>
    <row r="31" spans="1:19" x14ac:dyDescent="0.25">
      <c r="A31" s="10" t="s">
        <v>71</v>
      </c>
      <c r="B31" s="181" t="s">
        <v>89</v>
      </c>
      <c r="C31" s="160">
        <v>20</v>
      </c>
      <c r="D31" s="160">
        <v>169</v>
      </c>
      <c r="E31" s="162">
        <v>8.4499999999999993</v>
      </c>
      <c r="F31" s="161">
        <v>10</v>
      </c>
      <c r="G31" s="146">
        <f t="shared" si="0"/>
        <v>200</v>
      </c>
      <c r="H31" s="130">
        <f>VLOOKUP(B31,Homologacion!$C$1:$E$122,3,0)</f>
        <v>50003136</v>
      </c>
      <c r="I31" s="10" t="str">
        <f t="shared" si="1"/>
        <v>G9</v>
      </c>
      <c r="J31" s="189">
        <v>0.84499999999999997</v>
      </c>
      <c r="K31" s="16">
        <v>7021785</v>
      </c>
      <c r="L31" s="11">
        <v>20</v>
      </c>
      <c r="M31" s="165">
        <v>25</v>
      </c>
      <c r="N31" s="164">
        <v>500</v>
      </c>
      <c r="O31" s="11">
        <v>395</v>
      </c>
      <c r="P31" s="2">
        <f t="shared" si="2"/>
        <v>0.79</v>
      </c>
      <c r="Q31" s="2">
        <f t="shared" si="3"/>
        <v>0.79</v>
      </c>
      <c r="R31" s="166">
        <f t="shared" si="4"/>
        <v>0</v>
      </c>
      <c r="S31" s="10" t="str">
        <f t="shared" si="5"/>
        <v>G1</v>
      </c>
    </row>
    <row r="32" spans="1:19" x14ac:dyDescent="0.25">
      <c r="A32" s="10" t="s">
        <v>71</v>
      </c>
      <c r="B32" s="181" t="s">
        <v>81</v>
      </c>
      <c r="C32" s="160">
        <v>16</v>
      </c>
      <c r="D32" s="160">
        <v>159</v>
      </c>
      <c r="E32" s="162">
        <v>9.9375</v>
      </c>
      <c r="F32" s="161">
        <v>10</v>
      </c>
      <c r="G32" s="146">
        <f t="shared" si="0"/>
        <v>160</v>
      </c>
      <c r="H32" s="130">
        <f>VLOOKUP(B32,Homologacion!$C$1:$E$122,3,0)</f>
        <v>7030422</v>
      </c>
      <c r="I32" s="10" t="str">
        <f t="shared" si="1"/>
        <v>G9</v>
      </c>
      <c r="J32" s="189">
        <v>0.99375000000000002</v>
      </c>
      <c r="K32" s="16">
        <v>7028749</v>
      </c>
      <c r="L32" s="11">
        <v>7</v>
      </c>
      <c r="M32" s="165">
        <v>7</v>
      </c>
      <c r="N32" s="164">
        <v>49</v>
      </c>
      <c r="O32" s="11">
        <v>30</v>
      </c>
      <c r="P32" s="2">
        <f t="shared" si="2"/>
        <v>0.61224489795918369</v>
      </c>
      <c r="Q32" s="2">
        <f t="shared" si="3"/>
        <v>0.61224489795918369</v>
      </c>
      <c r="R32" s="166">
        <f t="shared" si="4"/>
        <v>0</v>
      </c>
      <c r="S32" s="10" t="str">
        <f t="shared" si="5"/>
        <v>G3</v>
      </c>
    </row>
    <row r="33" spans="1:19" x14ac:dyDescent="0.25">
      <c r="A33" s="10" t="s">
        <v>71</v>
      </c>
      <c r="B33" s="181" t="s">
        <v>98</v>
      </c>
      <c r="C33" s="160">
        <v>16</v>
      </c>
      <c r="D33" s="160">
        <v>157</v>
      </c>
      <c r="E33" s="162">
        <v>9.8125</v>
      </c>
      <c r="F33" s="161">
        <v>8.8888888888889088</v>
      </c>
      <c r="G33" s="146">
        <f t="shared" si="0"/>
        <v>142.22222222222254</v>
      </c>
      <c r="H33" s="130">
        <f>VLOOKUP(B33,Homologacion!$C$1:$E$122,3,0)</f>
        <v>50030022</v>
      </c>
      <c r="I33" s="10" t="str">
        <f t="shared" si="1"/>
        <v>G9</v>
      </c>
      <c r="J33" s="189">
        <v>1.1039062499999974</v>
      </c>
      <c r="K33" s="16">
        <v>7029903</v>
      </c>
      <c r="L33" s="11">
        <v>20</v>
      </c>
      <c r="M33" s="165">
        <v>7</v>
      </c>
      <c r="N33" s="164">
        <v>140</v>
      </c>
      <c r="O33" s="11">
        <v>66</v>
      </c>
      <c r="P33" s="2">
        <f t="shared" si="2"/>
        <v>0.47142857142857142</v>
      </c>
      <c r="Q33" s="2">
        <f t="shared" si="3"/>
        <v>0.47142857142857142</v>
      </c>
      <c r="R33" s="166">
        <f t="shared" si="4"/>
        <v>0</v>
      </c>
      <c r="S33" s="10" t="str">
        <f t="shared" si="5"/>
        <v>G3</v>
      </c>
    </row>
    <row r="34" spans="1:19" x14ac:dyDescent="0.25">
      <c r="A34" s="10" t="s">
        <v>71</v>
      </c>
      <c r="B34" s="181" t="s">
        <v>92</v>
      </c>
      <c r="C34" s="160">
        <v>15</v>
      </c>
      <c r="D34" s="160">
        <v>150</v>
      </c>
      <c r="E34" s="162">
        <v>10</v>
      </c>
      <c r="F34" s="161">
        <v>10</v>
      </c>
      <c r="G34" s="146">
        <f t="shared" si="0"/>
        <v>150</v>
      </c>
      <c r="H34" s="130">
        <f>VLOOKUP(B34,Homologacion!$C$1:$E$122,3,0)</f>
        <v>50015007</v>
      </c>
      <c r="I34" s="10" t="str">
        <f t="shared" si="1"/>
        <v>G9</v>
      </c>
      <c r="J34" s="189">
        <v>1</v>
      </c>
      <c r="K34" s="16">
        <v>7031487</v>
      </c>
      <c r="L34" s="11">
        <v>20</v>
      </c>
      <c r="M34" s="165">
        <v>7</v>
      </c>
      <c r="N34" s="164">
        <v>140</v>
      </c>
      <c r="O34" s="11">
        <v>117</v>
      </c>
      <c r="P34" s="2">
        <f t="shared" si="2"/>
        <v>0.83571428571428574</v>
      </c>
      <c r="Q34" s="2">
        <f t="shared" si="3"/>
        <v>0.83571428571428563</v>
      </c>
      <c r="R34" s="166">
        <f t="shared" si="4"/>
        <v>0</v>
      </c>
      <c r="S34" s="10" t="str">
        <f t="shared" si="5"/>
        <v>G3</v>
      </c>
    </row>
    <row r="35" spans="1:19" x14ac:dyDescent="0.25">
      <c r="A35" s="10" t="s">
        <v>71</v>
      </c>
      <c r="B35" s="181" t="s">
        <v>82</v>
      </c>
      <c r="C35" s="160">
        <v>13</v>
      </c>
      <c r="D35" s="160">
        <v>146</v>
      </c>
      <c r="E35" s="162">
        <v>11.23076923076923</v>
      </c>
      <c r="F35" s="161">
        <v>8.888888888888907</v>
      </c>
      <c r="G35" s="146">
        <f t="shared" si="0"/>
        <v>115.5555555555558</v>
      </c>
      <c r="H35" s="130">
        <f>VLOOKUP(B35,Homologacion!$C$1:$E$122,3,0)</f>
        <v>7032287</v>
      </c>
      <c r="I35" s="10" t="str">
        <f t="shared" si="1"/>
        <v>G9</v>
      </c>
      <c r="J35" s="189">
        <v>1.2634615384615357</v>
      </c>
      <c r="K35" s="16">
        <v>7047319</v>
      </c>
      <c r="L35" s="11">
        <v>18</v>
      </c>
      <c r="M35" s="165">
        <v>8</v>
      </c>
      <c r="N35" s="164">
        <v>144</v>
      </c>
      <c r="O35" s="11">
        <v>102</v>
      </c>
      <c r="P35" s="2">
        <f t="shared" si="2"/>
        <v>0.70833333333333337</v>
      </c>
      <c r="Q35" s="2">
        <f t="shared" si="3"/>
        <v>0.70833333333333337</v>
      </c>
      <c r="R35" s="166">
        <f t="shared" si="4"/>
        <v>0</v>
      </c>
      <c r="S35" s="10" t="str">
        <f t="shared" si="5"/>
        <v>Impugnaciones</v>
      </c>
    </row>
    <row r="36" spans="1:19" x14ac:dyDescent="0.25">
      <c r="A36" s="10" t="s">
        <v>71</v>
      </c>
      <c r="B36" s="181" t="s">
        <v>93</v>
      </c>
      <c r="C36" s="160">
        <v>16</v>
      </c>
      <c r="D36" s="160">
        <v>131</v>
      </c>
      <c r="E36" s="162">
        <v>8.1875</v>
      </c>
      <c r="F36" s="161">
        <v>10</v>
      </c>
      <c r="G36" s="146">
        <f t="shared" si="0"/>
        <v>160</v>
      </c>
      <c r="H36" s="130">
        <f>VLOOKUP(B36,Homologacion!$C$1:$E$122,3,0)</f>
        <v>50016385</v>
      </c>
      <c r="I36" s="10" t="str">
        <f t="shared" si="1"/>
        <v>G9</v>
      </c>
      <c r="J36" s="189">
        <v>0.81874999999999998</v>
      </c>
      <c r="K36" s="16">
        <v>7048713</v>
      </c>
      <c r="L36" s="11">
        <v>16</v>
      </c>
      <c r="M36" s="165">
        <v>7</v>
      </c>
      <c r="N36" s="164">
        <v>112</v>
      </c>
      <c r="O36" s="11">
        <v>82</v>
      </c>
      <c r="P36" s="2">
        <f t="shared" si="2"/>
        <v>0.7321428571428571</v>
      </c>
      <c r="Q36" s="2">
        <f t="shared" si="3"/>
        <v>0.7321428571428571</v>
      </c>
      <c r="R36" s="166">
        <f t="shared" si="4"/>
        <v>0</v>
      </c>
      <c r="S36" s="10" t="str">
        <f t="shared" si="5"/>
        <v>G3</v>
      </c>
    </row>
    <row r="37" spans="1:19" x14ac:dyDescent="0.25">
      <c r="A37" s="10" t="s">
        <v>71</v>
      </c>
      <c r="B37" s="181" t="s">
        <v>72</v>
      </c>
      <c r="C37" s="160">
        <v>15</v>
      </c>
      <c r="D37" s="160">
        <v>127</v>
      </c>
      <c r="E37" s="162">
        <v>8.4666666666666668</v>
      </c>
      <c r="F37" s="161">
        <v>10</v>
      </c>
      <c r="G37" s="146">
        <f t="shared" si="0"/>
        <v>150</v>
      </c>
      <c r="H37" s="130">
        <f>VLOOKUP(B37,Homologacion!$C$1:$E$122,3,0)</f>
        <v>7002736</v>
      </c>
      <c r="I37" s="10" t="str">
        <f t="shared" si="1"/>
        <v>G9</v>
      </c>
      <c r="J37" s="189">
        <v>0.84666666666666668</v>
      </c>
      <c r="K37" s="16">
        <v>7051170</v>
      </c>
      <c r="L37" s="11">
        <v>7</v>
      </c>
      <c r="M37" s="165">
        <v>7</v>
      </c>
      <c r="N37" s="164">
        <v>49</v>
      </c>
      <c r="O37" s="11">
        <v>44</v>
      </c>
      <c r="P37" s="2">
        <f t="shared" si="2"/>
        <v>0.89795918367346939</v>
      </c>
      <c r="Q37" s="2">
        <f t="shared" si="3"/>
        <v>0.89795918367346939</v>
      </c>
      <c r="R37" s="166">
        <f t="shared" si="4"/>
        <v>0</v>
      </c>
      <c r="S37" s="10" t="str">
        <f t="shared" si="5"/>
        <v>G3</v>
      </c>
    </row>
    <row r="38" spans="1:19" x14ac:dyDescent="0.25">
      <c r="A38" s="10" t="s">
        <v>71</v>
      </c>
      <c r="B38" s="181" t="s">
        <v>97</v>
      </c>
      <c r="C38" s="160">
        <v>4</v>
      </c>
      <c r="D38" s="160">
        <v>71</v>
      </c>
      <c r="E38" s="162">
        <v>17.75</v>
      </c>
      <c r="F38" s="161">
        <v>10</v>
      </c>
      <c r="G38" s="146">
        <f t="shared" si="0"/>
        <v>40</v>
      </c>
      <c r="H38" s="130">
        <f>VLOOKUP(B38,Homologacion!$C$1:$E$122,3,0)</f>
        <v>50028026</v>
      </c>
      <c r="I38" s="10" t="str">
        <f t="shared" si="1"/>
        <v>G9</v>
      </c>
      <c r="J38" s="189">
        <v>1.7749999999999999</v>
      </c>
      <c r="K38" s="16">
        <v>7051709</v>
      </c>
      <c r="L38" s="11">
        <v>19</v>
      </c>
      <c r="M38" s="165">
        <v>25</v>
      </c>
      <c r="N38" s="164">
        <v>475</v>
      </c>
      <c r="O38" s="11">
        <v>505</v>
      </c>
      <c r="P38" s="2">
        <f t="shared" si="2"/>
        <v>1.0631578947368421</v>
      </c>
      <c r="Q38" s="2">
        <f t="shared" si="3"/>
        <v>1.0631578947368421</v>
      </c>
      <c r="R38" s="166">
        <f t="shared" si="4"/>
        <v>0</v>
      </c>
      <c r="S38" s="10" t="str">
        <f t="shared" si="5"/>
        <v>G1</v>
      </c>
    </row>
    <row r="39" spans="1:19" x14ac:dyDescent="0.25">
      <c r="A39" s="10" t="s">
        <v>71</v>
      </c>
      <c r="B39" s="181" t="s">
        <v>104</v>
      </c>
      <c r="C39" s="160">
        <v>7</v>
      </c>
      <c r="D39" s="160">
        <v>64</v>
      </c>
      <c r="E39" s="162">
        <v>9.1428571428571423</v>
      </c>
      <c r="F39" s="161">
        <v>10</v>
      </c>
      <c r="G39" s="146">
        <f t="shared" si="0"/>
        <v>70</v>
      </c>
      <c r="H39" s="130">
        <f>VLOOKUP(B39,Homologacion!$C$1:$E$122,3,0)</f>
        <v>50083096</v>
      </c>
      <c r="I39" s="10" t="str">
        <f t="shared" si="1"/>
        <v>G9</v>
      </c>
      <c r="J39" s="189">
        <v>0.91428571428571426</v>
      </c>
      <c r="K39" s="16">
        <v>7051956</v>
      </c>
      <c r="L39" s="11">
        <v>8</v>
      </c>
      <c r="M39" s="165">
        <v>7</v>
      </c>
      <c r="N39" s="164">
        <v>56</v>
      </c>
      <c r="O39" s="11">
        <v>35</v>
      </c>
      <c r="P39" s="2">
        <f t="shared" si="2"/>
        <v>0.625</v>
      </c>
      <c r="Q39" s="2">
        <f t="shared" si="3"/>
        <v>0.625</v>
      </c>
      <c r="R39" s="166">
        <f t="shared" si="4"/>
        <v>0</v>
      </c>
      <c r="S39" s="10" t="str">
        <f t="shared" si="5"/>
        <v>G7</v>
      </c>
    </row>
    <row r="40" spans="1:19" x14ac:dyDescent="0.25">
      <c r="A40" s="10" t="s">
        <v>71</v>
      </c>
      <c r="B40" s="181" t="s">
        <v>90</v>
      </c>
      <c r="C40" s="171">
        <v>0</v>
      </c>
      <c r="D40" s="171">
        <v>7</v>
      </c>
      <c r="E40" s="203">
        <v>0</v>
      </c>
      <c r="F40" s="204">
        <v>10</v>
      </c>
      <c r="G40" s="205">
        <f t="shared" si="0"/>
        <v>0</v>
      </c>
      <c r="H40" s="130">
        <f>VLOOKUP(B40,Homologacion!$C$1:$E$122,3,0)</f>
        <v>50006402</v>
      </c>
      <c r="I40" s="10" t="str">
        <f t="shared" si="1"/>
        <v>G9</v>
      </c>
      <c r="J40" s="189">
        <v>0</v>
      </c>
      <c r="K40" s="16">
        <v>7052384</v>
      </c>
      <c r="L40" s="11">
        <v>20</v>
      </c>
      <c r="M40" s="165">
        <v>7</v>
      </c>
      <c r="N40" s="164">
        <v>140</v>
      </c>
      <c r="O40" s="11">
        <v>113</v>
      </c>
      <c r="P40" s="2">
        <f t="shared" si="2"/>
        <v>0.80714285714285716</v>
      </c>
      <c r="Q40" s="2">
        <f t="shared" si="3"/>
        <v>0.80714285714285716</v>
      </c>
      <c r="R40" s="166">
        <f t="shared" si="4"/>
        <v>0</v>
      </c>
      <c r="S40" s="10" t="str">
        <f t="shared" si="5"/>
        <v>G3</v>
      </c>
    </row>
    <row r="41" spans="1:19" x14ac:dyDescent="0.25">
      <c r="A41" s="10" t="s">
        <v>23</v>
      </c>
      <c r="B41" s="181" t="s">
        <v>24</v>
      </c>
      <c r="C41" s="160">
        <v>20</v>
      </c>
      <c r="D41" s="160">
        <v>670</v>
      </c>
      <c r="E41" s="162">
        <v>33.5</v>
      </c>
      <c r="F41" s="161">
        <v>30</v>
      </c>
      <c r="G41" s="146">
        <f t="shared" si="0"/>
        <v>600</v>
      </c>
      <c r="H41" s="130">
        <f>VLOOKUP(B41,Homologacion!$C$1:$E$122,3,0)</f>
        <v>50097856</v>
      </c>
      <c r="I41" s="10" t="str">
        <f t="shared" si="1"/>
        <v>G2</v>
      </c>
      <c r="J41" s="189">
        <v>1.1166666666666667</v>
      </c>
      <c r="K41" s="16">
        <v>7052616</v>
      </c>
      <c r="L41" s="11">
        <v>16</v>
      </c>
      <c r="M41" s="165">
        <v>10</v>
      </c>
      <c r="N41" s="164">
        <v>160</v>
      </c>
      <c r="O41" s="11">
        <v>208</v>
      </c>
      <c r="P41" s="2">
        <f t="shared" si="2"/>
        <v>1.3</v>
      </c>
      <c r="Q41" s="2">
        <f t="shared" si="3"/>
        <v>1.3</v>
      </c>
      <c r="R41" s="166">
        <f t="shared" si="4"/>
        <v>0</v>
      </c>
      <c r="S41" s="10" t="str">
        <f t="shared" si="5"/>
        <v>G9</v>
      </c>
    </row>
    <row r="42" spans="1:19" x14ac:dyDescent="0.25">
      <c r="A42" s="10" t="s">
        <v>23</v>
      </c>
      <c r="B42" s="181" t="s">
        <v>19</v>
      </c>
      <c r="C42" s="160">
        <v>9</v>
      </c>
      <c r="D42" s="160">
        <v>286</v>
      </c>
      <c r="E42" s="162">
        <v>31.777777777777779</v>
      </c>
      <c r="F42" s="161">
        <v>30</v>
      </c>
      <c r="G42" s="146">
        <f t="shared" si="0"/>
        <v>270</v>
      </c>
      <c r="H42" s="130">
        <f>VLOOKUP(B42,Homologacion!$C$1:$E$122,3,0)</f>
        <v>50062066</v>
      </c>
      <c r="I42" s="10" t="str">
        <f t="shared" si="1"/>
        <v>G2</v>
      </c>
      <c r="J42" s="189">
        <v>1.0180754917597021</v>
      </c>
      <c r="K42" s="16">
        <v>50003136</v>
      </c>
      <c r="L42" s="11">
        <v>20</v>
      </c>
      <c r="M42" s="165">
        <v>10</v>
      </c>
      <c r="N42" s="164">
        <v>200</v>
      </c>
      <c r="O42" s="11">
        <v>169</v>
      </c>
      <c r="P42" s="2">
        <f t="shared" si="2"/>
        <v>0.84499999999999997</v>
      </c>
      <c r="Q42" s="2">
        <f t="shared" si="3"/>
        <v>0.84499999999999997</v>
      </c>
      <c r="R42" s="166">
        <f t="shared" si="4"/>
        <v>0</v>
      </c>
      <c r="S42" s="10" t="str">
        <f t="shared" si="5"/>
        <v>G9</v>
      </c>
    </row>
    <row r="43" spans="1:19" x14ac:dyDescent="0.25">
      <c r="A43" s="10" t="s">
        <v>23</v>
      </c>
      <c r="B43" s="181" t="s">
        <v>21</v>
      </c>
      <c r="C43" s="160">
        <v>8</v>
      </c>
      <c r="D43" s="160">
        <v>263</v>
      </c>
      <c r="E43" s="162">
        <v>32.875</v>
      </c>
      <c r="F43" s="161">
        <v>30</v>
      </c>
      <c r="G43" s="146">
        <f t="shared" si="0"/>
        <v>240</v>
      </c>
      <c r="H43" s="130">
        <f>VLOOKUP(B43,Homologacion!$C$1:$E$122,3,0)</f>
        <v>50075738</v>
      </c>
      <c r="I43" s="10" t="str">
        <f t="shared" si="1"/>
        <v>G2</v>
      </c>
      <c r="J43" s="189">
        <v>1.0958333333333334</v>
      </c>
      <c r="K43" s="16">
        <v>50006402</v>
      </c>
      <c r="L43" s="11">
        <v>0</v>
      </c>
      <c r="M43" s="165">
        <v>10</v>
      </c>
      <c r="N43" s="164">
        <v>0</v>
      </c>
      <c r="O43" s="11">
        <v>7</v>
      </c>
      <c r="P43" s="2">
        <v>0</v>
      </c>
      <c r="Q43" s="2">
        <f t="shared" si="3"/>
        <v>0</v>
      </c>
      <c r="R43" s="166">
        <f t="shared" si="4"/>
        <v>0</v>
      </c>
      <c r="S43" s="10" t="str">
        <f t="shared" si="5"/>
        <v>G9</v>
      </c>
    </row>
    <row r="44" spans="1:19" x14ac:dyDescent="0.25">
      <c r="A44" s="10" t="s">
        <v>48</v>
      </c>
      <c r="B44" s="181" t="s">
        <v>7</v>
      </c>
      <c r="C44" s="160">
        <v>20</v>
      </c>
      <c r="D44" s="160">
        <v>197</v>
      </c>
      <c r="E44" s="162">
        <v>9.85</v>
      </c>
      <c r="F44" s="161">
        <v>8</v>
      </c>
      <c r="G44" s="146">
        <f t="shared" si="0"/>
        <v>160</v>
      </c>
      <c r="H44" s="130">
        <f>VLOOKUP(B44,Homologacion!$C$1:$E$122,3,0)</f>
        <v>7010952</v>
      </c>
      <c r="I44" s="10" t="str">
        <f t="shared" si="1"/>
        <v>G7</v>
      </c>
      <c r="J44" s="189">
        <v>1.23125</v>
      </c>
      <c r="K44" s="157">
        <v>50008507</v>
      </c>
      <c r="L44" s="201">
        <v>16</v>
      </c>
      <c r="M44" s="169">
        <v>7.09375</v>
      </c>
      <c r="N44" s="202">
        <v>113.5</v>
      </c>
      <c r="O44" s="201">
        <v>129</v>
      </c>
      <c r="P44" s="215">
        <f t="shared" si="2"/>
        <v>1.1365638766519823</v>
      </c>
      <c r="Q44" s="2">
        <f t="shared" si="3"/>
        <v>1.1365638766519823</v>
      </c>
      <c r="R44" s="166">
        <f t="shared" si="4"/>
        <v>0</v>
      </c>
      <c r="S44" s="10" t="str">
        <f t="shared" si="5"/>
        <v>G7</v>
      </c>
    </row>
    <row r="45" spans="1:19" x14ac:dyDescent="0.25">
      <c r="A45" s="10" t="s">
        <v>48</v>
      </c>
      <c r="B45" s="181" t="s">
        <v>15</v>
      </c>
      <c r="C45" s="160">
        <v>19</v>
      </c>
      <c r="D45" s="160">
        <v>172</v>
      </c>
      <c r="E45" s="162">
        <v>9.0526315789473681</v>
      </c>
      <c r="F45" s="161">
        <v>8</v>
      </c>
      <c r="G45" s="146">
        <f t="shared" si="0"/>
        <v>152</v>
      </c>
      <c r="H45" s="130">
        <f>VLOOKUP(B45,Homologacion!$C$1:$E$122,3,0)</f>
        <v>50023969</v>
      </c>
      <c r="I45" s="10" t="str">
        <f t="shared" si="1"/>
        <v>G7</v>
      </c>
      <c r="J45" s="189">
        <v>1.131578947368421</v>
      </c>
      <c r="K45" s="16">
        <v>50015007</v>
      </c>
      <c r="L45" s="11">
        <v>15</v>
      </c>
      <c r="M45" s="165">
        <v>10</v>
      </c>
      <c r="N45" s="164">
        <v>150</v>
      </c>
      <c r="O45" s="11">
        <v>150</v>
      </c>
      <c r="P45" s="2">
        <f t="shared" si="2"/>
        <v>1</v>
      </c>
      <c r="Q45" s="2">
        <f t="shared" si="3"/>
        <v>1</v>
      </c>
      <c r="R45" s="166">
        <f t="shared" si="4"/>
        <v>0</v>
      </c>
      <c r="S45" s="10" t="str">
        <f t="shared" si="5"/>
        <v>G9</v>
      </c>
    </row>
    <row r="46" spans="1:19" x14ac:dyDescent="0.25">
      <c r="A46" s="10" t="s">
        <v>48</v>
      </c>
      <c r="B46" s="148" t="s">
        <v>91</v>
      </c>
      <c r="C46" s="160">
        <v>16</v>
      </c>
      <c r="D46" s="216">
        <v>129</v>
      </c>
      <c r="E46" s="162">
        <f>8.0625</f>
        <v>8.0625</v>
      </c>
      <c r="F46" s="161">
        <v>7.09375</v>
      </c>
      <c r="G46" s="146">
        <f t="shared" si="0"/>
        <v>113.5</v>
      </c>
      <c r="H46" s="130">
        <f>VLOOKUP(B46,Homologacion!$C$1:$E$122,3,0)</f>
        <v>50008507</v>
      </c>
      <c r="I46" s="10" t="str">
        <f t="shared" si="1"/>
        <v>G7</v>
      </c>
      <c r="J46" s="189">
        <v>1.1365638766519823</v>
      </c>
      <c r="K46" s="16">
        <v>50016385</v>
      </c>
      <c r="L46" s="11">
        <v>16</v>
      </c>
      <c r="M46" s="165">
        <v>10</v>
      </c>
      <c r="N46" s="164">
        <v>160</v>
      </c>
      <c r="O46" s="11">
        <v>131</v>
      </c>
      <c r="P46" s="2">
        <f t="shared" si="2"/>
        <v>0.81874999999999998</v>
      </c>
      <c r="Q46" s="2">
        <f t="shared" si="3"/>
        <v>0.81874999999999998</v>
      </c>
      <c r="R46" s="166">
        <f t="shared" si="4"/>
        <v>0</v>
      </c>
      <c r="S46" s="10" t="str">
        <f t="shared" si="5"/>
        <v>G9</v>
      </c>
    </row>
    <row r="47" spans="1:19" x14ac:dyDescent="0.25">
      <c r="A47" s="10" t="s">
        <v>48</v>
      </c>
      <c r="B47" s="181" t="s">
        <v>16</v>
      </c>
      <c r="C47" s="160">
        <v>20</v>
      </c>
      <c r="D47" s="160">
        <v>116</v>
      </c>
      <c r="E47" s="162">
        <v>5.8</v>
      </c>
      <c r="F47" s="161">
        <v>7</v>
      </c>
      <c r="G47" s="146">
        <f t="shared" si="0"/>
        <v>140</v>
      </c>
      <c r="H47" s="130">
        <f>VLOOKUP(B47,Homologacion!$C$1:$E$122,3,0)</f>
        <v>50036060</v>
      </c>
      <c r="I47" s="10" t="str">
        <f t="shared" si="1"/>
        <v>G7</v>
      </c>
      <c r="J47" s="189">
        <v>0.82857142857142851</v>
      </c>
      <c r="K47" s="16">
        <v>50018993</v>
      </c>
      <c r="L47" s="11">
        <v>20</v>
      </c>
      <c r="M47" s="165">
        <v>8</v>
      </c>
      <c r="N47" s="164">
        <v>160</v>
      </c>
      <c r="O47" s="11">
        <v>162</v>
      </c>
      <c r="P47" s="2">
        <f t="shared" si="2"/>
        <v>1.0125</v>
      </c>
      <c r="Q47" s="2">
        <f t="shared" si="3"/>
        <v>1.0125</v>
      </c>
      <c r="R47" s="166">
        <f t="shared" si="4"/>
        <v>0</v>
      </c>
      <c r="S47" s="10" t="str">
        <f t="shared" si="5"/>
        <v>G8</v>
      </c>
    </row>
    <row r="48" spans="1:19" x14ac:dyDescent="0.25">
      <c r="A48" s="10" t="s">
        <v>48</v>
      </c>
      <c r="B48" s="181" t="s">
        <v>13</v>
      </c>
      <c r="C48" s="160">
        <v>8</v>
      </c>
      <c r="D48" s="160">
        <v>35</v>
      </c>
      <c r="E48" s="162">
        <v>4.375</v>
      </c>
      <c r="F48" s="161">
        <v>7</v>
      </c>
      <c r="G48" s="146">
        <f t="shared" si="0"/>
        <v>56</v>
      </c>
      <c r="H48" s="130">
        <f>VLOOKUP(B48,Homologacion!$C$1:$E$122,3,0)</f>
        <v>7051956</v>
      </c>
      <c r="I48" s="10" t="str">
        <f t="shared" si="1"/>
        <v>G7</v>
      </c>
      <c r="J48" s="189">
        <v>0.625</v>
      </c>
      <c r="K48" s="16">
        <v>50019405</v>
      </c>
      <c r="L48" s="11">
        <v>16</v>
      </c>
      <c r="M48" s="165">
        <v>10</v>
      </c>
      <c r="N48" s="164">
        <v>160</v>
      </c>
      <c r="O48" s="11">
        <v>192</v>
      </c>
      <c r="P48" s="2">
        <f t="shared" si="2"/>
        <v>1.2</v>
      </c>
      <c r="Q48" s="2">
        <f t="shared" si="3"/>
        <v>1.2</v>
      </c>
      <c r="R48" s="166">
        <f t="shared" si="4"/>
        <v>0</v>
      </c>
      <c r="S48" s="10" t="str">
        <f t="shared" si="5"/>
        <v>G9</v>
      </c>
    </row>
    <row r="49" spans="1:19" x14ac:dyDescent="0.25">
      <c r="A49" s="10" t="s">
        <v>106</v>
      </c>
      <c r="B49" s="181" t="s">
        <v>100</v>
      </c>
      <c r="C49" s="160">
        <v>20</v>
      </c>
      <c r="D49" s="160">
        <v>118</v>
      </c>
      <c r="E49" s="162">
        <v>5.9</v>
      </c>
      <c r="F49" s="161">
        <v>8</v>
      </c>
      <c r="G49" s="146">
        <f t="shared" si="0"/>
        <v>160</v>
      </c>
      <c r="H49" s="130">
        <f>VLOOKUP(B49,Homologacion!$C$1:$E$122,3,0)</f>
        <v>50034651</v>
      </c>
      <c r="I49" s="10" t="str">
        <f t="shared" si="1"/>
        <v>Impugnaciones</v>
      </c>
      <c r="J49" s="189">
        <v>0.73750000000000004</v>
      </c>
      <c r="K49" s="16">
        <v>50022466</v>
      </c>
      <c r="L49" s="11">
        <v>19</v>
      </c>
      <c r="M49" s="165">
        <v>8</v>
      </c>
      <c r="N49" s="164">
        <v>152</v>
      </c>
      <c r="O49" s="11">
        <v>130</v>
      </c>
      <c r="P49" s="2">
        <f t="shared" si="2"/>
        <v>0.85526315789473684</v>
      </c>
      <c r="Q49" s="2">
        <f t="shared" si="3"/>
        <v>0.85526315789473684</v>
      </c>
      <c r="R49" s="166">
        <f t="shared" si="4"/>
        <v>0</v>
      </c>
      <c r="S49" s="10" t="str">
        <f t="shared" si="5"/>
        <v>G8</v>
      </c>
    </row>
    <row r="50" spans="1:19" x14ac:dyDescent="0.25">
      <c r="A50" s="10" t="s">
        <v>106</v>
      </c>
      <c r="B50" s="181" t="s">
        <v>103</v>
      </c>
      <c r="C50" s="160">
        <v>18</v>
      </c>
      <c r="D50" s="160">
        <v>117</v>
      </c>
      <c r="E50" s="162">
        <v>6.5</v>
      </c>
      <c r="F50" s="161">
        <v>8</v>
      </c>
      <c r="G50" s="146">
        <f t="shared" si="0"/>
        <v>144</v>
      </c>
      <c r="H50" s="130">
        <f>VLOOKUP(B50,Homologacion!$C$1:$E$122,3,0)</f>
        <v>50067909</v>
      </c>
      <c r="I50" s="10" t="str">
        <f t="shared" si="1"/>
        <v>Impugnaciones</v>
      </c>
      <c r="J50" s="189">
        <v>0.8125</v>
      </c>
      <c r="K50" s="16">
        <v>50023969</v>
      </c>
      <c r="L50" s="11">
        <v>19</v>
      </c>
      <c r="M50" s="165">
        <v>8</v>
      </c>
      <c r="N50" s="164">
        <v>152</v>
      </c>
      <c r="O50" s="11">
        <v>172</v>
      </c>
      <c r="P50" s="2">
        <f t="shared" si="2"/>
        <v>1.131578947368421</v>
      </c>
      <c r="Q50" s="2">
        <f t="shared" si="3"/>
        <v>1.131578947368421</v>
      </c>
      <c r="R50" s="166">
        <f t="shared" si="4"/>
        <v>0</v>
      </c>
      <c r="S50" s="10" t="str">
        <f t="shared" si="5"/>
        <v>G7</v>
      </c>
    </row>
    <row r="51" spans="1:19" x14ac:dyDescent="0.25">
      <c r="A51" s="10" t="s">
        <v>106</v>
      </c>
      <c r="B51" s="181" t="s">
        <v>109</v>
      </c>
      <c r="C51" s="160">
        <v>18</v>
      </c>
      <c r="D51" s="160">
        <v>102</v>
      </c>
      <c r="E51" s="162">
        <v>5.666666666666667</v>
      </c>
      <c r="F51" s="161">
        <v>8</v>
      </c>
      <c r="G51" s="146">
        <f t="shared" si="0"/>
        <v>144</v>
      </c>
      <c r="H51" s="130">
        <f>VLOOKUP(B51,Homologacion!$C$1:$E$122,3,0)</f>
        <v>7047319</v>
      </c>
      <c r="I51" s="10" t="str">
        <f t="shared" si="1"/>
        <v>Impugnaciones</v>
      </c>
      <c r="J51" s="189">
        <v>0.70833333333333337</v>
      </c>
      <c r="K51" s="16">
        <v>50028026</v>
      </c>
      <c r="L51" s="11">
        <v>4</v>
      </c>
      <c r="M51" s="165">
        <v>10</v>
      </c>
      <c r="N51" s="164">
        <v>40</v>
      </c>
      <c r="O51" s="11">
        <v>71</v>
      </c>
      <c r="P51" s="2">
        <f t="shared" si="2"/>
        <v>1.7749999999999999</v>
      </c>
      <c r="Q51" s="2">
        <f t="shared" si="3"/>
        <v>1.7749999999999999</v>
      </c>
      <c r="R51" s="166">
        <f t="shared" si="4"/>
        <v>0</v>
      </c>
      <c r="S51" s="10" t="str">
        <f t="shared" si="5"/>
        <v>G9</v>
      </c>
    </row>
    <row r="52" spans="1:19" x14ac:dyDescent="0.25">
      <c r="A52" s="10" t="s">
        <v>106</v>
      </c>
      <c r="B52" s="181" t="s">
        <v>108</v>
      </c>
      <c r="C52" s="160">
        <v>15</v>
      </c>
      <c r="D52" s="160">
        <v>94</v>
      </c>
      <c r="E52" s="162">
        <v>6.2666666666666666</v>
      </c>
      <c r="F52" s="161">
        <v>8</v>
      </c>
      <c r="G52" s="146">
        <f t="shared" si="0"/>
        <v>120</v>
      </c>
      <c r="H52" s="130">
        <f>VLOOKUP(B52,Homologacion!$C$1:$E$122,3,0)</f>
        <v>7014400</v>
      </c>
      <c r="I52" s="10" t="str">
        <f t="shared" si="1"/>
        <v>Impugnaciones</v>
      </c>
      <c r="J52" s="189">
        <v>0.78333333333333333</v>
      </c>
      <c r="K52" s="16">
        <v>50030022</v>
      </c>
      <c r="L52" s="11">
        <v>16</v>
      </c>
      <c r="M52" s="165">
        <v>8.8888888888889088</v>
      </c>
      <c r="N52" s="164">
        <v>142.22222222222254</v>
      </c>
      <c r="O52" s="11">
        <v>157</v>
      </c>
      <c r="P52" s="2">
        <f t="shared" si="2"/>
        <v>1.1039062499999974</v>
      </c>
      <c r="Q52" s="2">
        <f t="shared" si="3"/>
        <v>1.1039062499999974</v>
      </c>
      <c r="R52" s="166">
        <f t="shared" si="4"/>
        <v>0</v>
      </c>
      <c r="S52" s="10" t="str">
        <f t="shared" si="5"/>
        <v>G9</v>
      </c>
    </row>
    <row r="53" spans="1:19" x14ac:dyDescent="0.25">
      <c r="A53" s="10" t="s">
        <v>25</v>
      </c>
      <c r="B53" s="181" t="s">
        <v>27</v>
      </c>
      <c r="C53" s="160">
        <v>20</v>
      </c>
      <c r="D53" s="160">
        <v>123</v>
      </c>
      <c r="E53" s="162">
        <v>6.15</v>
      </c>
      <c r="F53" s="161">
        <v>7</v>
      </c>
      <c r="G53" s="146">
        <f t="shared" si="0"/>
        <v>140</v>
      </c>
      <c r="H53" s="130">
        <f>VLOOKUP(B53,Homologacion!$C$1:$E$122,3,0)</f>
        <v>7007842</v>
      </c>
      <c r="I53" s="10" t="str">
        <f t="shared" si="1"/>
        <v>G3</v>
      </c>
      <c r="J53" s="189">
        <v>0.87857142857142867</v>
      </c>
      <c r="K53" s="16">
        <v>50033117</v>
      </c>
      <c r="L53" s="11">
        <v>16</v>
      </c>
      <c r="M53" s="165">
        <v>10</v>
      </c>
      <c r="N53" s="164">
        <v>160</v>
      </c>
      <c r="O53" s="11">
        <v>175</v>
      </c>
      <c r="P53" s="2">
        <f t="shared" si="2"/>
        <v>1.09375</v>
      </c>
      <c r="Q53" s="2">
        <f t="shared" si="3"/>
        <v>1.09375</v>
      </c>
      <c r="R53" s="166">
        <f t="shared" si="4"/>
        <v>0</v>
      </c>
      <c r="S53" s="10" t="str">
        <f t="shared" si="5"/>
        <v>G9</v>
      </c>
    </row>
    <row r="54" spans="1:19" x14ac:dyDescent="0.25">
      <c r="A54" s="10" t="s">
        <v>25</v>
      </c>
      <c r="B54" s="181" t="s">
        <v>35</v>
      </c>
      <c r="C54" s="160">
        <v>14</v>
      </c>
      <c r="D54" s="160">
        <v>121</v>
      </c>
      <c r="E54" s="162">
        <v>8.6428571428571423</v>
      </c>
      <c r="F54" s="161">
        <v>7</v>
      </c>
      <c r="G54" s="146">
        <f t="shared" si="0"/>
        <v>98</v>
      </c>
      <c r="H54" s="130">
        <f>VLOOKUP(B54,Homologacion!$C$1:$E$122,3,0)</f>
        <v>7001746</v>
      </c>
      <c r="I54" s="10" t="str">
        <f t="shared" si="1"/>
        <v>G3</v>
      </c>
      <c r="J54" s="189">
        <v>1.2346938775510203</v>
      </c>
      <c r="K54" s="16">
        <v>50034651</v>
      </c>
      <c r="L54" s="11">
        <v>20</v>
      </c>
      <c r="M54" s="165">
        <v>8</v>
      </c>
      <c r="N54" s="164">
        <v>160</v>
      </c>
      <c r="O54" s="11">
        <v>118</v>
      </c>
      <c r="P54" s="2">
        <f t="shared" si="2"/>
        <v>0.73750000000000004</v>
      </c>
      <c r="Q54" s="2">
        <f t="shared" si="3"/>
        <v>0.73750000000000004</v>
      </c>
      <c r="R54" s="166">
        <f t="shared" si="4"/>
        <v>0</v>
      </c>
      <c r="S54" s="10" t="str">
        <f t="shared" si="5"/>
        <v>Impugnaciones</v>
      </c>
    </row>
    <row r="55" spans="1:19" x14ac:dyDescent="0.25">
      <c r="A55" s="10" t="s">
        <v>25</v>
      </c>
      <c r="B55" s="181" t="s">
        <v>230</v>
      </c>
      <c r="C55" s="160">
        <v>20</v>
      </c>
      <c r="D55" s="160">
        <v>117</v>
      </c>
      <c r="E55" s="162">
        <v>5.85</v>
      </c>
      <c r="F55" s="161">
        <v>7</v>
      </c>
      <c r="G55" s="146">
        <f t="shared" si="0"/>
        <v>140</v>
      </c>
      <c r="H55" s="130">
        <f>VLOOKUP(B55,Homologacion!$C$1:$E$122,3,0)</f>
        <v>7031487</v>
      </c>
      <c r="I55" s="10" t="str">
        <f t="shared" si="1"/>
        <v>G3</v>
      </c>
      <c r="J55" s="189">
        <v>0.83571428571428563</v>
      </c>
      <c r="K55" s="157">
        <v>50036060</v>
      </c>
      <c r="L55" s="201">
        <v>20</v>
      </c>
      <c r="M55" s="169">
        <v>7</v>
      </c>
      <c r="N55" s="202">
        <v>140</v>
      </c>
      <c r="O55" s="201">
        <v>116</v>
      </c>
      <c r="P55" s="2">
        <f t="shared" si="2"/>
        <v>0.82857142857142863</v>
      </c>
      <c r="Q55" s="2">
        <f t="shared" si="3"/>
        <v>0.82857142857142851</v>
      </c>
      <c r="R55" s="166">
        <f t="shared" si="4"/>
        <v>0</v>
      </c>
      <c r="S55" s="10" t="str">
        <f t="shared" si="5"/>
        <v>G7</v>
      </c>
    </row>
    <row r="56" spans="1:19" x14ac:dyDescent="0.25">
      <c r="A56" s="10" t="s">
        <v>25</v>
      </c>
      <c r="B56" s="181" t="s">
        <v>28</v>
      </c>
      <c r="C56" s="160">
        <v>20</v>
      </c>
      <c r="D56" s="160">
        <v>113</v>
      </c>
      <c r="E56" s="162">
        <v>5.65</v>
      </c>
      <c r="F56" s="161">
        <v>7</v>
      </c>
      <c r="G56" s="146">
        <f t="shared" si="0"/>
        <v>140</v>
      </c>
      <c r="H56" s="130">
        <f>VLOOKUP(B56,Homologacion!$C$1:$E$122,3,0)</f>
        <v>7052384</v>
      </c>
      <c r="I56" s="10" t="str">
        <f t="shared" si="1"/>
        <v>G3</v>
      </c>
      <c r="J56" s="189">
        <v>0.80714285714285716</v>
      </c>
      <c r="K56" s="157">
        <v>50044239</v>
      </c>
      <c r="L56" s="201">
        <v>20</v>
      </c>
      <c r="M56" s="169">
        <v>8</v>
      </c>
      <c r="N56" s="202">
        <v>160</v>
      </c>
      <c r="O56" s="201">
        <v>179</v>
      </c>
      <c r="P56" s="2">
        <f t="shared" si="2"/>
        <v>1.1187499999999999</v>
      </c>
      <c r="Q56" s="2">
        <f t="shared" si="3"/>
        <v>1.1187499999999999</v>
      </c>
      <c r="R56" s="166">
        <f t="shared" si="4"/>
        <v>0</v>
      </c>
      <c r="S56" s="10" t="str">
        <f t="shared" si="5"/>
        <v>G8</v>
      </c>
    </row>
    <row r="57" spans="1:19" x14ac:dyDescent="0.25">
      <c r="A57" s="10" t="s">
        <v>25</v>
      </c>
      <c r="B57" s="181" t="s">
        <v>5</v>
      </c>
      <c r="C57" s="160">
        <v>15</v>
      </c>
      <c r="D57" s="160">
        <v>98</v>
      </c>
      <c r="E57" s="162">
        <v>6.5333333333333332</v>
      </c>
      <c r="F57" s="161">
        <v>7</v>
      </c>
      <c r="G57" s="146">
        <f t="shared" si="0"/>
        <v>105</v>
      </c>
      <c r="H57" s="130">
        <f>VLOOKUP(B57,Homologacion!$C$1:$E$122,3,0)</f>
        <v>50008739</v>
      </c>
      <c r="I57" s="10" t="str">
        <f t="shared" si="1"/>
        <v>G3</v>
      </c>
      <c r="J57" s="189">
        <v>0.93333333333333335</v>
      </c>
      <c r="K57" s="16">
        <v>50046341</v>
      </c>
      <c r="L57" s="11">
        <v>19</v>
      </c>
      <c r="M57" s="165">
        <v>7</v>
      </c>
      <c r="N57" s="164">
        <v>133</v>
      </c>
      <c r="O57" s="11">
        <v>115</v>
      </c>
      <c r="P57" s="2">
        <f t="shared" si="2"/>
        <v>0.86466165413533835</v>
      </c>
      <c r="Q57" s="2">
        <f t="shared" si="3"/>
        <v>0.86466165413533835</v>
      </c>
      <c r="R57" s="166">
        <f t="shared" si="4"/>
        <v>0</v>
      </c>
      <c r="S57" s="10" t="str">
        <f t="shared" si="5"/>
        <v>G5</v>
      </c>
    </row>
    <row r="58" spans="1:19" x14ac:dyDescent="0.25">
      <c r="A58" s="10" t="s">
        <v>25</v>
      </c>
      <c r="B58" s="181" t="s">
        <v>77</v>
      </c>
      <c r="C58" s="160">
        <v>20</v>
      </c>
      <c r="D58" s="160">
        <v>96</v>
      </c>
      <c r="E58" s="162">
        <v>4.8</v>
      </c>
      <c r="F58" s="161">
        <v>7</v>
      </c>
      <c r="G58" s="146">
        <f t="shared" si="0"/>
        <v>140</v>
      </c>
      <c r="H58" s="130">
        <f>VLOOKUP(B58,Homologacion!$C$1:$E$122,3,0)</f>
        <v>7024375</v>
      </c>
      <c r="I58" s="10" t="str">
        <f t="shared" si="1"/>
        <v>G3</v>
      </c>
      <c r="J58" s="189">
        <v>0.68571428571428572</v>
      </c>
      <c r="K58" s="16">
        <v>50050491</v>
      </c>
      <c r="L58" s="11">
        <v>19</v>
      </c>
      <c r="M58" s="165">
        <v>25</v>
      </c>
      <c r="N58" s="164">
        <v>475</v>
      </c>
      <c r="O58" s="11">
        <v>334</v>
      </c>
      <c r="P58" s="2">
        <f t="shared" si="2"/>
        <v>0.70315789473684209</v>
      </c>
      <c r="Q58" s="2">
        <f t="shared" si="3"/>
        <v>0.70315789473684209</v>
      </c>
      <c r="R58" s="166">
        <f t="shared" si="4"/>
        <v>0</v>
      </c>
      <c r="S58" s="10" t="str">
        <f t="shared" si="5"/>
        <v>G1</v>
      </c>
    </row>
    <row r="59" spans="1:19" x14ac:dyDescent="0.25">
      <c r="A59" s="10" t="s">
        <v>25</v>
      </c>
      <c r="B59" s="181" t="s">
        <v>11</v>
      </c>
      <c r="C59" s="160">
        <v>16</v>
      </c>
      <c r="D59" s="160">
        <v>82</v>
      </c>
      <c r="E59" s="162">
        <v>5.125</v>
      </c>
      <c r="F59" s="161">
        <v>7</v>
      </c>
      <c r="G59" s="146">
        <f t="shared" si="0"/>
        <v>112</v>
      </c>
      <c r="H59" s="130">
        <f>VLOOKUP(B59,Homologacion!$C$1:$E$122,3,0)</f>
        <v>7048713</v>
      </c>
      <c r="I59" s="10" t="str">
        <f t="shared" si="1"/>
        <v>G3</v>
      </c>
      <c r="J59" s="189">
        <v>0.7321428571428571</v>
      </c>
      <c r="K59" s="16">
        <v>50050962</v>
      </c>
      <c r="L59" s="11">
        <v>16</v>
      </c>
      <c r="M59" s="165">
        <v>10</v>
      </c>
      <c r="N59" s="164">
        <v>160</v>
      </c>
      <c r="O59" s="11">
        <v>192</v>
      </c>
      <c r="P59" s="2">
        <f t="shared" si="2"/>
        <v>1.2</v>
      </c>
      <c r="Q59" s="2">
        <f t="shared" si="3"/>
        <v>1.2</v>
      </c>
      <c r="R59" s="166">
        <f t="shared" si="4"/>
        <v>0</v>
      </c>
      <c r="S59" s="10" t="str">
        <f t="shared" si="5"/>
        <v>G9</v>
      </c>
    </row>
    <row r="60" spans="1:19" x14ac:dyDescent="0.25">
      <c r="A60" s="10" t="s">
        <v>25</v>
      </c>
      <c r="B60" s="181" t="s">
        <v>80</v>
      </c>
      <c r="C60" s="160">
        <v>20</v>
      </c>
      <c r="D60" s="160">
        <v>66</v>
      </c>
      <c r="E60" s="162">
        <v>3.3</v>
      </c>
      <c r="F60" s="161">
        <v>7</v>
      </c>
      <c r="G60" s="146">
        <f t="shared" si="0"/>
        <v>140</v>
      </c>
      <c r="H60" s="130">
        <f>VLOOKUP(B60,Homologacion!$C$1:$E$122,3,0)</f>
        <v>7029903</v>
      </c>
      <c r="I60" s="10" t="str">
        <f t="shared" si="1"/>
        <v>G3</v>
      </c>
      <c r="J60" s="189">
        <v>0.47142857142857142</v>
      </c>
      <c r="K60" s="16">
        <v>50071349</v>
      </c>
      <c r="L60" s="11">
        <v>14</v>
      </c>
      <c r="M60" s="165">
        <v>25</v>
      </c>
      <c r="N60" s="164">
        <v>350</v>
      </c>
      <c r="O60" s="11">
        <v>248</v>
      </c>
      <c r="P60" s="2">
        <f t="shared" si="2"/>
        <v>0.70857142857142852</v>
      </c>
      <c r="Q60" s="2">
        <f t="shared" si="3"/>
        <v>0.70857142857142863</v>
      </c>
      <c r="R60" s="166">
        <f t="shared" si="4"/>
        <v>0</v>
      </c>
      <c r="S60" s="10" t="str">
        <f t="shared" si="5"/>
        <v>G1</v>
      </c>
    </row>
    <row r="61" spans="1:19" x14ac:dyDescent="0.25">
      <c r="A61" s="10" t="s">
        <v>25</v>
      </c>
      <c r="B61" s="181" t="s">
        <v>75</v>
      </c>
      <c r="C61" s="160">
        <v>13</v>
      </c>
      <c r="D61" s="160">
        <v>52</v>
      </c>
      <c r="E61" s="162">
        <v>4</v>
      </c>
      <c r="F61" s="161">
        <v>6.2222222222222268</v>
      </c>
      <c r="G61" s="146">
        <f t="shared" si="0"/>
        <v>80.888888888888943</v>
      </c>
      <c r="H61" s="130">
        <f>VLOOKUP(B61,Homologacion!$C$1:$E$122,3,0)</f>
        <v>7017700</v>
      </c>
      <c r="I61" s="10" t="str">
        <f t="shared" si="1"/>
        <v>G3</v>
      </c>
      <c r="J61" s="189">
        <v>0.64285714285714235</v>
      </c>
      <c r="K61" s="16">
        <v>50075738</v>
      </c>
      <c r="L61" s="11">
        <v>8</v>
      </c>
      <c r="M61" s="165">
        <v>30</v>
      </c>
      <c r="N61" s="164">
        <v>240</v>
      </c>
      <c r="O61" s="11">
        <v>263</v>
      </c>
      <c r="P61" s="2">
        <f t="shared" si="2"/>
        <v>1.0958333333333334</v>
      </c>
      <c r="Q61" s="2">
        <f t="shared" si="3"/>
        <v>1.0958333333333334</v>
      </c>
      <c r="R61" s="166">
        <f t="shared" si="4"/>
        <v>0</v>
      </c>
      <c r="S61" s="10" t="str">
        <f t="shared" si="5"/>
        <v>G2</v>
      </c>
    </row>
    <row r="62" spans="1:19" x14ac:dyDescent="0.25">
      <c r="A62" s="10" t="s">
        <v>25</v>
      </c>
      <c r="B62" s="181" t="s">
        <v>36</v>
      </c>
      <c r="C62" s="160">
        <v>7</v>
      </c>
      <c r="D62" s="160">
        <v>44</v>
      </c>
      <c r="E62" s="162">
        <v>6.2857142857142856</v>
      </c>
      <c r="F62" s="161">
        <v>7</v>
      </c>
      <c r="G62" s="146">
        <f t="shared" si="0"/>
        <v>49</v>
      </c>
      <c r="H62" s="130">
        <f>VLOOKUP(B62,Homologacion!$C$1:$E$122,3,0)</f>
        <v>7051170</v>
      </c>
      <c r="I62" s="10" t="str">
        <f t="shared" si="1"/>
        <v>G3</v>
      </c>
      <c r="J62" s="189">
        <v>0.89795918367346939</v>
      </c>
      <c r="K62" s="16">
        <v>50083096</v>
      </c>
      <c r="L62" s="11">
        <v>7</v>
      </c>
      <c r="M62" s="165">
        <v>10</v>
      </c>
      <c r="N62" s="164">
        <v>70</v>
      </c>
      <c r="O62" s="11">
        <v>64</v>
      </c>
      <c r="P62" s="2">
        <f t="shared" si="2"/>
        <v>0.91428571428571426</v>
      </c>
      <c r="Q62" s="2">
        <f t="shared" si="3"/>
        <v>0.91428571428571426</v>
      </c>
      <c r="R62" s="166">
        <f t="shared" si="4"/>
        <v>0</v>
      </c>
      <c r="S62" s="10" t="str">
        <f t="shared" si="5"/>
        <v>G9</v>
      </c>
    </row>
    <row r="63" spans="1:19" x14ac:dyDescent="0.25">
      <c r="A63" s="10" t="s">
        <v>25</v>
      </c>
      <c r="B63" s="181" t="s">
        <v>79</v>
      </c>
      <c r="C63" s="160">
        <v>7</v>
      </c>
      <c r="D63" s="160">
        <v>30</v>
      </c>
      <c r="E63" s="162">
        <v>4.2857142857142856</v>
      </c>
      <c r="F63" s="161">
        <v>7</v>
      </c>
      <c r="G63" s="146">
        <f t="shared" si="0"/>
        <v>49</v>
      </c>
      <c r="H63" s="130">
        <f>VLOOKUP(B63,Homologacion!$C$1:$E$122,3,0)</f>
        <v>7028749</v>
      </c>
      <c r="I63" s="10" t="str">
        <f t="shared" si="1"/>
        <v>G3</v>
      </c>
      <c r="J63" s="189">
        <v>0.61224489795918369</v>
      </c>
      <c r="K63" s="16">
        <v>50097856</v>
      </c>
      <c r="L63" s="11">
        <v>20</v>
      </c>
      <c r="M63" s="165">
        <v>30</v>
      </c>
      <c r="N63" s="164">
        <v>600</v>
      </c>
      <c r="O63" s="11">
        <v>670</v>
      </c>
      <c r="P63" s="2">
        <f t="shared" si="2"/>
        <v>1.1166666666666667</v>
      </c>
      <c r="Q63" s="2">
        <f t="shared" si="3"/>
        <v>1.1166666666666667</v>
      </c>
      <c r="R63" s="166">
        <f t="shared" si="4"/>
        <v>0</v>
      </c>
      <c r="S63" s="10" t="str">
        <f t="shared" si="5"/>
        <v>G2</v>
      </c>
    </row>
    <row r="64" spans="1:19" x14ac:dyDescent="0.25">
      <c r="A64" s="10" t="s">
        <v>25</v>
      </c>
      <c r="B64" s="181" t="s">
        <v>74</v>
      </c>
      <c r="C64" s="160">
        <v>9</v>
      </c>
      <c r="D64" s="160">
        <v>22</v>
      </c>
      <c r="E64" s="162">
        <v>2.4444444444444446</v>
      </c>
      <c r="F64" s="161">
        <v>7</v>
      </c>
      <c r="G64" s="146">
        <f t="shared" si="0"/>
        <v>63</v>
      </c>
      <c r="H64" s="130">
        <f>VLOOKUP(B64,Homologacion!$C$1:$E$122,3,0)</f>
        <v>7015480</v>
      </c>
      <c r="I64" s="10" t="str">
        <f t="shared" si="1"/>
        <v>G3</v>
      </c>
      <c r="J64" s="189">
        <v>0.34920634920634924</v>
      </c>
      <c r="K64" s="16">
        <v>50016617</v>
      </c>
      <c r="L64" s="11">
        <v>17</v>
      </c>
      <c r="M64" s="165">
        <v>5</v>
      </c>
      <c r="N64" s="164">
        <v>85</v>
      </c>
      <c r="O64" s="11">
        <v>84</v>
      </c>
      <c r="P64" s="2">
        <f t="shared" si="2"/>
        <v>0.9882352941176471</v>
      </c>
      <c r="Q64" s="2">
        <f t="shared" si="3"/>
        <v>0.9882352941176471</v>
      </c>
      <c r="R64" s="166">
        <f t="shared" si="4"/>
        <v>0</v>
      </c>
      <c r="S64" s="10" t="str">
        <f t="shared" si="5"/>
        <v>Masivos</v>
      </c>
    </row>
    <row r="65" spans="1:19" x14ac:dyDescent="0.25">
      <c r="A65" s="10" t="s">
        <v>216</v>
      </c>
      <c r="B65" s="181" t="s">
        <v>214</v>
      </c>
      <c r="C65" s="160">
        <v>20</v>
      </c>
      <c r="D65" s="160">
        <v>179</v>
      </c>
      <c r="E65" s="162">
        <v>8.9499999999999993</v>
      </c>
      <c r="F65" s="161">
        <v>8</v>
      </c>
      <c r="G65" s="146">
        <f t="shared" si="0"/>
        <v>160</v>
      </c>
      <c r="H65" s="130">
        <f>VLOOKUP(B65,Homologacion!$C$1:$E$122,3,0)</f>
        <v>50044239</v>
      </c>
      <c r="I65" s="10" t="str">
        <f t="shared" si="1"/>
        <v>G8</v>
      </c>
      <c r="J65" s="189">
        <v>1.1187499999999999</v>
      </c>
      <c r="K65" s="16">
        <v>7024375</v>
      </c>
      <c r="L65" s="11">
        <v>20</v>
      </c>
      <c r="M65" s="165">
        <v>7</v>
      </c>
      <c r="N65" s="164">
        <v>140</v>
      </c>
      <c r="O65" s="11">
        <v>96</v>
      </c>
      <c r="P65" s="2">
        <f t="shared" si="2"/>
        <v>0.68571428571428572</v>
      </c>
      <c r="Q65" s="2">
        <f t="shared" si="3"/>
        <v>0.68571428571428572</v>
      </c>
      <c r="R65" s="166">
        <f t="shared" si="4"/>
        <v>0</v>
      </c>
      <c r="S65" s="10" t="str">
        <f t="shared" si="5"/>
        <v>G3</v>
      </c>
    </row>
    <row r="66" spans="1:19" x14ac:dyDescent="0.25">
      <c r="A66" s="10" t="s">
        <v>216</v>
      </c>
      <c r="B66" s="181" t="s">
        <v>226</v>
      </c>
      <c r="C66" s="160">
        <v>20</v>
      </c>
      <c r="D66" s="160">
        <v>162</v>
      </c>
      <c r="E66" s="162">
        <v>8.1</v>
      </c>
      <c r="F66" s="161">
        <v>8</v>
      </c>
      <c r="G66" s="146">
        <f t="shared" si="0"/>
        <v>160</v>
      </c>
      <c r="H66" s="130">
        <f>VLOOKUP(B66,Homologacion!$C$1:$E$122,3,0)</f>
        <v>50018993</v>
      </c>
      <c r="I66" s="10" t="str">
        <f t="shared" si="1"/>
        <v>G8</v>
      </c>
      <c r="J66" s="189">
        <v>1.0125</v>
      </c>
      <c r="K66" s="16">
        <v>7032287</v>
      </c>
      <c r="L66" s="11">
        <v>13</v>
      </c>
      <c r="M66" s="165">
        <v>8.888888888888907</v>
      </c>
      <c r="N66" s="164">
        <v>115.5555555555558</v>
      </c>
      <c r="O66" s="11">
        <v>146</v>
      </c>
      <c r="P66" s="2">
        <f t="shared" si="2"/>
        <v>1.2634615384615357</v>
      </c>
      <c r="Q66" s="2">
        <f t="shared" si="3"/>
        <v>1.2634615384615357</v>
      </c>
      <c r="R66" s="166">
        <f t="shared" si="4"/>
        <v>0</v>
      </c>
      <c r="S66" s="10" t="str">
        <f t="shared" si="5"/>
        <v>G9</v>
      </c>
    </row>
    <row r="67" spans="1:19" x14ac:dyDescent="0.25">
      <c r="A67" s="10" t="s">
        <v>216</v>
      </c>
      <c r="B67" s="181" t="s">
        <v>166</v>
      </c>
      <c r="C67" s="160">
        <v>20</v>
      </c>
      <c r="D67" s="160">
        <v>140</v>
      </c>
      <c r="E67" s="162">
        <v>7</v>
      </c>
      <c r="F67" s="161">
        <v>8</v>
      </c>
      <c r="G67" s="146">
        <f t="shared" si="0"/>
        <v>160</v>
      </c>
      <c r="H67" s="130">
        <f>VLOOKUP(B67,Homologacion!$C$1:$E$122,3,0)</f>
        <v>7054026</v>
      </c>
      <c r="I67" s="10" t="str">
        <f t="shared" si="1"/>
        <v>G8</v>
      </c>
      <c r="J67" s="189">
        <v>0.875</v>
      </c>
      <c r="K67" s="16">
        <v>7030422</v>
      </c>
      <c r="L67" s="11">
        <v>16</v>
      </c>
      <c r="M67" s="165">
        <v>10</v>
      </c>
      <c r="N67" s="164">
        <v>160</v>
      </c>
      <c r="O67" s="11">
        <v>159</v>
      </c>
      <c r="P67" s="2">
        <f t="shared" si="2"/>
        <v>0.99375000000000002</v>
      </c>
      <c r="Q67" s="2">
        <f t="shared" si="3"/>
        <v>0.99375000000000002</v>
      </c>
      <c r="R67" s="166">
        <f t="shared" si="4"/>
        <v>0</v>
      </c>
      <c r="S67" s="10" t="str">
        <f t="shared" si="5"/>
        <v>G9</v>
      </c>
    </row>
    <row r="68" spans="1:19" x14ac:dyDescent="0.25">
      <c r="A68" s="10" t="s">
        <v>216</v>
      </c>
      <c r="B68" s="181" t="s">
        <v>96</v>
      </c>
      <c r="C68" s="160">
        <v>19</v>
      </c>
      <c r="D68" s="160">
        <v>130</v>
      </c>
      <c r="E68" s="162">
        <v>6.8421052631578947</v>
      </c>
      <c r="F68" s="161">
        <v>8</v>
      </c>
      <c r="G68" s="146">
        <f t="shared" si="0"/>
        <v>152</v>
      </c>
      <c r="H68" s="130">
        <f>VLOOKUP(B68,Homologacion!$C$1:$E$122,3,0)</f>
        <v>50022466</v>
      </c>
      <c r="I68" s="10" t="str">
        <f t="shared" si="1"/>
        <v>G8</v>
      </c>
      <c r="J68" s="189">
        <v>0.85526315789473684</v>
      </c>
      <c r="K68" s="16">
        <v>7016991</v>
      </c>
      <c r="L68" s="11">
        <v>17</v>
      </c>
      <c r="M68" s="165">
        <v>9.7777777777778088</v>
      </c>
      <c r="N68" s="164">
        <v>166.22222222222274</v>
      </c>
      <c r="O68" s="11">
        <v>157</v>
      </c>
      <c r="P68" s="2">
        <f t="shared" si="2"/>
        <v>0.94451871657753717</v>
      </c>
      <c r="Q68" s="2">
        <f t="shared" si="3"/>
        <v>0.94451871657753705</v>
      </c>
      <c r="R68" s="166">
        <f t="shared" si="4"/>
        <v>0</v>
      </c>
      <c r="S68" s="10" t="str">
        <f t="shared" si="5"/>
        <v>G4</v>
      </c>
    </row>
    <row r="69" spans="1:19" x14ac:dyDescent="0.25">
      <c r="A69" s="10" t="s">
        <v>216</v>
      </c>
      <c r="B69" s="181" t="s">
        <v>228</v>
      </c>
      <c r="C69" s="160">
        <v>19</v>
      </c>
      <c r="D69" s="160">
        <v>127</v>
      </c>
      <c r="E69" s="162">
        <v>6.6842105263157894</v>
      </c>
      <c r="F69" s="161">
        <v>8</v>
      </c>
      <c r="G69" s="146">
        <f t="shared" si="0"/>
        <v>152</v>
      </c>
      <c r="H69" s="130">
        <f>VLOOKUP(B69,Homologacion!$C$1:$E$122,3,0)</f>
        <v>7017353</v>
      </c>
      <c r="I69" s="10" t="str">
        <f t="shared" si="1"/>
        <v>G8</v>
      </c>
      <c r="J69" s="189">
        <v>0.83552631578947367</v>
      </c>
      <c r="K69" s="16">
        <v>7054026</v>
      </c>
      <c r="L69" s="11">
        <v>20</v>
      </c>
      <c r="M69" s="165">
        <v>8</v>
      </c>
      <c r="N69" s="164">
        <v>160</v>
      </c>
      <c r="O69" s="11">
        <v>140</v>
      </c>
      <c r="P69" s="2">
        <f t="shared" si="2"/>
        <v>0.875</v>
      </c>
      <c r="Q69" s="2">
        <f t="shared" si="3"/>
        <v>0.875</v>
      </c>
      <c r="R69" s="166">
        <f t="shared" si="4"/>
        <v>0</v>
      </c>
      <c r="S69" s="10" t="str">
        <f t="shared" si="5"/>
        <v>G8</v>
      </c>
    </row>
    <row r="70" spans="1:19" x14ac:dyDescent="0.25">
      <c r="A70" s="10" t="s">
        <v>216</v>
      </c>
      <c r="B70" s="181" t="s">
        <v>19</v>
      </c>
      <c r="C70" s="160">
        <v>11</v>
      </c>
      <c r="D70" s="160">
        <v>76</v>
      </c>
      <c r="E70" s="162">
        <v>6.9090909090909092</v>
      </c>
      <c r="F70" s="161">
        <v>8</v>
      </c>
      <c r="G70" s="146">
        <f t="shared" si="0"/>
        <v>88</v>
      </c>
      <c r="H70" s="130">
        <f>VLOOKUP(B70,Homologacion!$C$1:$E$122,3,0)</f>
        <v>50062066</v>
      </c>
      <c r="I70" s="10" t="str">
        <f t="shared" si="1"/>
        <v>G8</v>
      </c>
      <c r="J70" s="189">
        <v>1.0180754917597021</v>
      </c>
      <c r="K70" s="16">
        <v>50008739</v>
      </c>
      <c r="L70" s="11">
        <v>15</v>
      </c>
      <c r="M70" s="165">
        <v>7</v>
      </c>
      <c r="N70" s="164">
        <v>105</v>
      </c>
      <c r="O70" s="11">
        <v>98</v>
      </c>
      <c r="P70" s="2">
        <f t="shared" si="2"/>
        <v>0.93333333333333335</v>
      </c>
      <c r="Q70" s="2">
        <f t="shared" si="3"/>
        <v>0.93333333333333335</v>
      </c>
      <c r="R70" s="166">
        <f t="shared" si="4"/>
        <v>0</v>
      </c>
      <c r="S70" s="10" t="str">
        <f t="shared" si="5"/>
        <v>G3</v>
      </c>
    </row>
    <row r="71" spans="1:19" x14ac:dyDescent="0.25">
      <c r="A71" s="10" t="s">
        <v>216</v>
      </c>
      <c r="B71" s="181" t="s">
        <v>26</v>
      </c>
      <c r="C71" s="160">
        <v>12</v>
      </c>
      <c r="D71" s="160">
        <v>69</v>
      </c>
      <c r="E71" s="162">
        <v>5.75</v>
      </c>
      <c r="F71" s="161">
        <v>8</v>
      </c>
      <c r="G71" s="146">
        <f t="shared" si="0"/>
        <v>96</v>
      </c>
      <c r="H71" s="130">
        <f>VLOOKUP(B71,Homologacion!$C$1:$E$122,3,0)</f>
        <v>7003932</v>
      </c>
      <c r="I71" s="10" t="str">
        <f t="shared" si="1"/>
        <v>G8</v>
      </c>
      <c r="J71" s="189">
        <v>0.71875</v>
      </c>
      <c r="K71" s="16">
        <v>50062066</v>
      </c>
      <c r="L71" s="11">
        <v>20</v>
      </c>
      <c r="M71" s="165">
        <v>38</v>
      </c>
      <c r="N71" s="164">
        <v>358</v>
      </c>
      <c r="O71" s="11">
        <v>362</v>
      </c>
      <c r="P71" s="2">
        <f t="shared" si="2"/>
        <v>1.011173184357542</v>
      </c>
      <c r="Q71" s="2">
        <f t="shared" si="3"/>
        <v>1.0180754917597021</v>
      </c>
      <c r="R71" s="166">
        <f t="shared" si="4"/>
        <v>-6.9023074021601349E-3</v>
      </c>
      <c r="S71" s="10" t="str">
        <f t="shared" si="5"/>
        <v>G2</v>
      </c>
    </row>
    <row r="72" spans="1:19" x14ac:dyDescent="0.25">
      <c r="A72" s="10" t="s">
        <v>3</v>
      </c>
      <c r="B72" s="181" t="s">
        <v>4</v>
      </c>
      <c r="C72" s="160">
        <v>15</v>
      </c>
      <c r="D72" s="160">
        <v>77</v>
      </c>
      <c r="E72" s="162">
        <v>5.1333333333333337</v>
      </c>
      <c r="F72" s="161">
        <v>5</v>
      </c>
      <c r="G72" s="146">
        <f t="shared" si="0"/>
        <v>75</v>
      </c>
      <c r="H72" s="130">
        <f>VLOOKUP(B72,Homologacion!$C$1:$E$122,3,0)</f>
        <v>7019961</v>
      </c>
      <c r="I72" s="10" t="str">
        <f t="shared" si="1"/>
        <v>Alo Banco</v>
      </c>
      <c r="J72" s="189">
        <v>1.0266666666666668</v>
      </c>
      <c r="K72" s="16">
        <v>7017700</v>
      </c>
      <c r="L72" s="11">
        <v>13</v>
      </c>
      <c r="M72" s="165">
        <v>6.2222222222222268</v>
      </c>
      <c r="N72" s="164">
        <v>80.888888888888943</v>
      </c>
      <c r="O72" s="11">
        <v>52</v>
      </c>
      <c r="P72" s="2">
        <f t="shared" si="2"/>
        <v>0.64285714285714246</v>
      </c>
      <c r="Q72" s="2">
        <f t="shared" si="3"/>
        <v>0.64285714285714235</v>
      </c>
      <c r="R72" s="166">
        <f t="shared" si="4"/>
        <v>0</v>
      </c>
      <c r="S72" s="10" t="str">
        <f t="shared" si="5"/>
        <v>G3</v>
      </c>
    </row>
    <row r="73" spans="1:19" x14ac:dyDescent="0.25">
      <c r="A73" s="10" t="s">
        <v>30</v>
      </c>
      <c r="B73" s="181" t="s">
        <v>32</v>
      </c>
      <c r="C73" s="160">
        <v>20</v>
      </c>
      <c r="D73" s="160">
        <v>218</v>
      </c>
      <c r="E73" s="162">
        <v>10.9</v>
      </c>
      <c r="F73" s="161">
        <v>11</v>
      </c>
      <c r="G73" s="146">
        <f t="shared" si="0"/>
        <v>220</v>
      </c>
      <c r="H73" s="130">
        <f>VLOOKUP(B73,Homologacion!$C$1:$E$122,3,0)</f>
        <v>7017148</v>
      </c>
      <c r="I73" s="10" t="str">
        <f t="shared" si="1"/>
        <v>G4</v>
      </c>
      <c r="J73" s="189">
        <v>0.99090909090909096</v>
      </c>
      <c r="K73" s="16">
        <v>50054337</v>
      </c>
      <c r="L73" s="11">
        <v>23</v>
      </c>
      <c r="M73" s="165">
        <v>20</v>
      </c>
      <c r="N73" s="164">
        <v>460</v>
      </c>
      <c r="O73" s="11">
        <v>440</v>
      </c>
      <c r="P73" s="2">
        <f t="shared" si="2"/>
        <v>0.95652173913043481</v>
      </c>
      <c r="Q73" s="2">
        <f t="shared" si="3"/>
        <v>0.95652173913043481</v>
      </c>
      <c r="R73" s="166">
        <f t="shared" si="4"/>
        <v>0</v>
      </c>
      <c r="S73" s="10" t="str">
        <f t="shared" si="5"/>
        <v>Contáctenos</v>
      </c>
    </row>
    <row r="74" spans="1:19" ht="15" customHeight="1" x14ac:dyDescent="0.25">
      <c r="A74" s="10" t="s">
        <v>30</v>
      </c>
      <c r="B74" t="s">
        <v>31</v>
      </c>
      <c r="C74" s="160">
        <v>17</v>
      </c>
      <c r="D74" s="160">
        <v>157</v>
      </c>
      <c r="E74" s="162">
        <v>9.235294117647058</v>
      </c>
      <c r="F74" s="161">
        <v>9.7777777777778088</v>
      </c>
      <c r="G74" s="146">
        <f t="shared" si="0"/>
        <v>166.22222222222274</v>
      </c>
      <c r="H74" s="130">
        <f>VLOOKUP(B74,Homologacion!$C$1:$E$122,3,0)</f>
        <v>7016991</v>
      </c>
      <c r="I74" s="10" t="str">
        <f t="shared" si="1"/>
        <v>G4</v>
      </c>
      <c r="J74" s="189">
        <v>0.94451871657753705</v>
      </c>
      <c r="K74" s="16">
        <v>50094481</v>
      </c>
      <c r="L74" s="11">
        <v>22</v>
      </c>
      <c r="M74" s="165">
        <v>20</v>
      </c>
      <c r="N74" s="164">
        <v>440</v>
      </c>
      <c r="O74" s="11">
        <v>482</v>
      </c>
      <c r="P74" s="2">
        <f t="shared" si="2"/>
        <v>1.0954545454545455</v>
      </c>
      <c r="Q74" s="2">
        <f t="shared" si="3"/>
        <v>1.0954545454545455</v>
      </c>
      <c r="R74" s="166">
        <f t="shared" si="4"/>
        <v>0</v>
      </c>
      <c r="S74" s="10" t="str">
        <f t="shared" si="5"/>
        <v>Contáctenos</v>
      </c>
    </row>
    <row r="75" spans="1:19" x14ac:dyDescent="0.25">
      <c r="A75" s="10" t="s">
        <v>34</v>
      </c>
      <c r="B75" t="s">
        <v>37</v>
      </c>
      <c r="C75" s="160">
        <v>19</v>
      </c>
      <c r="D75" s="160">
        <v>115</v>
      </c>
      <c r="E75" s="162">
        <v>6.0526315789473681</v>
      </c>
      <c r="F75" s="161">
        <v>7</v>
      </c>
      <c r="G75" s="146">
        <f t="shared" si="0"/>
        <v>133</v>
      </c>
      <c r="H75" s="130">
        <f>VLOOKUP(B75,Homologacion!$C$1:$E$122,3,0)</f>
        <v>50046341</v>
      </c>
      <c r="I75" s="10" t="str">
        <f t="shared" si="1"/>
        <v>G5</v>
      </c>
      <c r="J75" s="189">
        <v>0.86466165413533835</v>
      </c>
      <c r="K75" s="16">
        <v>7009426</v>
      </c>
      <c r="L75" s="11">
        <v>20</v>
      </c>
      <c r="M75" s="165">
        <v>20</v>
      </c>
      <c r="N75" s="164">
        <v>400</v>
      </c>
      <c r="O75" s="11">
        <v>340</v>
      </c>
      <c r="P75" s="2">
        <f t="shared" si="2"/>
        <v>0.85</v>
      </c>
      <c r="Q75" s="2">
        <f t="shared" si="3"/>
        <v>0.85</v>
      </c>
      <c r="R75" s="166">
        <f t="shared" si="4"/>
        <v>0</v>
      </c>
      <c r="S75" s="10" t="str">
        <f t="shared" si="5"/>
        <v>Contáctenos</v>
      </c>
    </row>
    <row r="76" spans="1:19" x14ac:dyDescent="0.25">
      <c r="A76" s="10" t="s">
        <v>508</v>
      </c>
      <c r="B76" t="s">
        <v>158</v>
      </c>
      <c r="C76" s="160">
        <v>17</v>
      </c>
      <c r="D76" s="160">
        <v>84</v>
      </c>
      <c r="E76" s="162">
        <v>4.9411764705882355</v>
      </c>
      <c r="F76" s="161">
        <v>5</v>
      </c>
      <c r="G76" s="146">
        <f t="shared" si="0"/>
        <v>85</v>
      </c>
      <c r="H76" s="130">
        <f>VLOOKUP(B76,Homologacion!$C$1:$E$122,3,0)</f>
        <v>50016617</v>
      </c>
      <c r="I76" s="10" t="str">
        <f t="shared" si="1"/>
        <v>Masivos</v>
      </c>
      <c r="J76" s="189">
        <v>0.9882352941176471</v>
      </c>
      <c r="K76" s="16">
        <v>7058852</v>
      </c>
      <c r="L76" s="11">
        <v>21</v>
      </c>
      <c r="M76" s="165">
        <v>20</v>
      </c>
      <c r="N76" s="164">
        <v>420</v>
      </c>
      <c r="O76" s="11">
        <v>429</v>
      </c>
      <c r="P76" s="2">
        <f t="shared" ref="P76:P77" si="6">+O76/N76</f>
        <v>1.0214285714285714</v>
      </c>
      <c r="Q76" s="2">
        <f t="shared" si="3"/>
        <v>1.0214285714285714</v>
      </c>
      <c r="R76" s="166">
        <f t="shared" ref="R76:R77" si="7">+P76-Q76</f>
        <v>0</v>
      </c>
      <c r="S76" s="10" t="str">
        <f t="shared" si="5"/>
        <v>Contáctenos</v>
      </c>
    </row>
    <row r="77" spans="1:19" ht="15.75" thickBot="1" x14ac:dyDescent="0.3">
      <c r="B77" s="69" t="s">
        <v>114</v>
      </c>
      <c r="C77" s="156">
        <f>SUM(C21:C76)</f>
        <v>875</v>
      </c>
      <c r="D77" s="156">
        <f>SUM(D21:D76)</f>
        <v>8659</v>
      </c>
      <c r="E77" s="156">
        <f>IFERROR(D77/C77,0)</f>
        <v>9.8960000000000008</v>
      </c>
      <c r="F77" s="156">
        <f>SUM(F21:F76)</f>
        <v>608.87152777777783</v>
      </c>
      <c r="G77" s="156">
        <f>SUM(G21:G76)</f>
        <v>9431.3888888888905</v>
      </c>
      <c r="H77" s="130"/>
      <c r="I77" s="10"/>
      <c r="J77" s="189">
        <v>1.0027777777777778</v>
      </c>
      <c r="K77" s="16">
        <v>7032030</v>
      </c>
      <c r="L77" s="11">
        <v>16</v>
      </c>
      <c r="M77" s="165">
        <v>25</v>
      </c>
      <c r="N77" s="164">
        <v>400</v>
      </c>
      <c r="O77" s="11">
        <v>246</v>
      </c>
      <c r="P77" s="2">
        <f t="shared" si="6"/>
        <v>0.61499999999999999</v>
      </c>
      <c r="Q77" s="2">
        <f t="shared" si="3"/>
        <v>0.61499999999999999</v>
      </c>
      <c r="R77" s="166">
        <f t="shared" si="7"/>
        <v>0</v>
      </c>
      <c r="S77" s="10" t="str">
        <f t="shared" si="5"/>
        <v>G1</v>
      </c>
    </row>
    <row r="78" spans="1:19" x14ac:dyDescent="0.25">
      <c r="A78" s="10" t="s">
        <v>514</v>
      </c>
      <c r="B78" t="s">
        <v>18</v>
      </c>
      <c r="C78" s="158">
        <v>23</v>
      </c>
      <c r="D78" s="158">
        <v>440</v>
      </c>
      <c r="E78" s="162"/>
      <c r="F78" s="175">
        <v>20</v>
      </c>
      <c r="G78" s="146">
        <f t="shared" si="0"/>
        <v>460</v>
      </c>
      <c r="H78" s="130">
        <f>VLOOKUP(B78,Homologacion!$C$1:$E$122,3,0)</f>
        <v>50054337</v>
      </c>
      <c r="I78" s="10" t="str">
        <f t="shared" si="1"/>
        <v>Contáctenos</v>
      </c>
      <c r="J78" s="189">
        <v>0.95652173913043481</v>
      </c>
      <c r="K78" s="16">
        <v>50067909</v>
      </c>
      <c r="L78" s="11">
        <v>18</v>
      </c>
      <c r="M78" s="165">
        <v>8</v>
      </c>
      <c r="N78" s="164">
        <v>144</v>
      </c>
      <c r="O78" s="11">
        <v>117</v>
      </c>
      <c r="P78" s="2">
        <f t="shared" ref="P78" si="8">+O78/N78</f>
        <v>0.8125</v>
      </c>
      <c r="Q78" s="2">
        <f t="shared" si="3"/>
        <v>0.8125</v>
      </c>
      <c r="R78" s="166">
        <f t="shared" ref="R78" si="9">+P78-Q78</f>
        <v>0</v>
      </c>
      <c r="S78" s="10" t="str">
        <f t="shared" ref="S78" si="10">VLOOKUP(K78,$H$21:$I$82,2,0)</f>
        <v>Impugnaciones</v>
      </c>
    </row>
    <row r="79" spans="1:19" x14ac:dyDescent="0.25">
      <c r="A79" s="10" t="s">
        <v>514</v>
      </c>
      <c r="B79" t="s">
        <v>167</v>
      </c>
      <c r="C79" s="158">
        <v>22</v>
      </c>
      <c r="D79" s="158">
        <v>482</v>
      </c>
      <c r="E79" s="162"/>
      <c r="F79" s="175">
        <v>20</v>
      </c>
      <c r="G79" s="146">
        <f t="shared" si="0"/>
        <v>440</v>
      </c>
      <c r="H79" s="130">
        <f>VLOOKUP(B79,Homologacion!$C$1:$E$122,3,0)</f>
        <v>50094481</v>
      </c>
      <c r="I79" s="10" t="str">
        <f t="shared" si="1"/>
        <v>Contáctenos</v>
      </c>
      <c r="J79" s="189">
        <v>1.0954545454545455</v>
      </c>
      <c r="K79" s="16">
        <v>7015480</v>
      </c>
      <c r="L79" s="11">
        <v>9</v>
      </c>
      <c r="M79" s="165">
        <v>7</v>
      </c>
      <c r="N79" s="164">
        <v>63</v>
      </c>
      <c r="O79" s="11">
        <v>22</v>
      </c>
      <c r="P79" s="2">
        <f t="shared" ref="P79" si="11">+O79/N79</f>
        <v>0.34920634920634919</v>
      </c>
      <c r="Q79" s="2">
        <f t="shared" si="3"/>
        <v>0.34920634920634924</v>
      </c>
      <c r="R79" s="166">
        <f t="shared" ref="R79" si="12">+P79-Q79</f>
        <v>0</v>
      </c>
      <c r="S79" s="10" t="str">
        <f t="shared" ref="S79" si="13">VLOOKUP(K79,$H$21:$I$82,2,0)</f>
        <v>G3</v>
      </c>
    </row>
    <row r="80" spans="1:19" x14ac:dyDescent="0.25">
      <c r="A80" s="10" t="s">
        <v>514</v>
      </c>
      <c r="B80" t="s">
        <v>169</v>
      </c>
      <c r="C80" s="158">
        <v>20</v>
      </c>
      <c r="D80" s="158">
        <v>340</v>
      </c>
      <c r="E80" s="162"/>
      <c r="F80" s="175">
        <v>20</v>
      </c>
      <c r="G80" s="146">
        <f t="shared" si="0"/>
        <v>400</v>
      </c>
      <c r="H80" s="130">
        <f>VLOOKUP(B80,Homologacion!$C$1:$E$122,3,0)</f>
        <v>7009426</v>
      </c>
      <c r="I80" s="10" t="str">
        <f t="shared" si="1"/>
        <v>Contáctenos</v>
      </c>
      <c r="J80" s="163">
        <v>0.85</v>
      </c>
      <c r="K80" s="16" t="s">
        <v>114</v>
      </c>
      <c r="L80" s="165">
        <v>961</v>
      </c>
      <c r="M80" s="165">
        <v>688.87152777777783</v>
      </c>
      <c r="N80" s="165">
        <v>11151.388888888889</v>
      </c>
      <c r="O80" s="165">
        <v>10350</v>
      </c>
    </row>
    <row r="81" spans="1:15" x14ac:dyDescent="0.25">
      <c r="A81" s="10" t="s">
        <v>514</v>
      </c>
      <c r="B81" t="s">
        <v>29</v>
      </c>
      <c r="C81" s="160">
        <v>21</v>
      </c>
      <c r="D81" s="160">
        <v>429</v>
      </c>
      <c r="E81" s="162"/>
      <c r="F81" s="175">
        <v>20</v>
      </c>
      <c r="G81" s="146">
        <f t="shared" si="0"/>
        <v>420</v>
      </c>
      <c r="H81" s="130">
        <f>VLOOKUP(B81,Homologacion!$C$1:$E$122,3,0)</f>
        <v>7058852</v>
      </c>
      <c r="I81" s="10" t="str">
        <f t="shared" si="1"/>
        <v>Contáctenos</v>
      </c>
      <c r="J81" s="163">
        <v>1.0214285714285714</v>
      </c>
      <c r="L81"/>
    </row>
    <row r="82" spans="1:15" s="10" customFormat="1" ht="15.75" thickBot="1" x14ac:dyDescent="0.3">
      <c r="B82" s="181"/>
      <c r="C82" s="156">
        <f>SUM(C78:C81)</f>
        <v>86</v>
      </c>
      <c r="D82" s="156">
        <f t="shared" ref="D82:G82" si="14">SUM(D78:D81)</f>
        <v>1691</v>
      </c>
      <c r="E82" s="156">
        <f t="shared" si="14"/>
        <v>0</v>
      </c>
      <c r="F82" s="156">
        <f t="shared" si="14"/>
        <v>80</v>
      </c>
      <c r="G82" s="156">
        <f t="shared" si="14"/>
        <v>1720</v>
      </c>
      <c r="H82" s="11"/>
    </row>
    <row r="83" spans="1:15" s="10" customFormat="1" x14ac:dyDescent="0.25">
      <c r="B83"/>
      <c r="C83"/>
      <c r="D83"/>
      <c r="E83"/>
      <c r="F83"/>
      <c r="H83" s="11"/>
    </row>
    <row r="84" spans="1:15" x14ac:dyDescent="0.25">
      <c r="C84" s="160">
        <f>+C82+C77</f>
        <v>961</v>
      </c>
      <c r="D84" s="160">
        <f>+D82+D77</f>
        <v>10350</v>
      </c>
      <c r="E84" s="160"/>
      <c r="F84" s="160">
        <f>+F82+F77</f>
        <v>688.87152777777783</v>
      </c>
      <c r="G84" s="160">
        <f>+G82+G77</f>
        <v>11151.388888888891</v>
      </c>
      <c r="L84"/>
    </row>
    <row r="85" spans="1:15" x14ac:dyDescent="0.25">
      <c r="C85" s="10"/>
      <c r="D85" s="10"/>
      <c r="E85" s="10"/>
      <c r="F85" s="10"/>
      <c r="L85"/>
    </row>
    <row r="86" spans="1:15" ht="15.75" thickBot="1" x14ac:dyDescent="0.3">
      <c r="B86" s="10" t="s">
        <v>521</v>
      </c>
      <c r="C86" s="10"/>
      <c r="D86" s="10"/>
      <c r="E86" s="10"/>
      <c r="F86" s="10"/>
      <c r="L86"/>
    </row>
    <row r="87" spans="1:15" x14ac:dyDescent="0.25">
      <c r="B87" s="149" t="s">
        <v>509</v>
      </c>
      <c r="C87" s="150"/>
      <c r="I87" s="10"/>
      <c r="L87"/>
    </row>
    <row r="88" spans="1:15" x14ac:dyDescent="0.25">
      <c r="B88" s="151" t="s">
        <v>164</v>
      </c>
      <c r="C88" s="152" t="s">
        <v>524</v>
      </c>
      <c r="D88" s="76"/>
      <c r="E88" s="10"/>
      <c r="L88"/>
    </row>
    <row r="89" spans="1:15" x14ac:dyDescent="0.25">
      <c r="B89" s="151" t="s">
        <v>110</v>
      </c>
      <c r="C89" s="152" t="s">
        <v>525</v>
      </c>
      <c r="D89" t="s">
        <v>513</v>
      </c>
      <c r="E89" s="10"/>
      <c r="L89"/>
    </row>
    <row r="90" spans="1:15" x14ac:dyDescent="0.25">
      <c r="B90" s="151" t="s">
        <v>105</v>
      </c>
      <c r="C90" s="152" t="s">
        <v>527</v>
      </c>
      <c r="D90" s="181"/>
      <c r="E90" s="10"/>
      <c r="F90" s="10"/>
      <c r="L90"/>
    </row>
    <row r="91" spans="1:15" x14ac:dyDescent="0.25">
      <c r="B91" s="151" t="s">
        <v>98</v>
      </c>
      <c r="C91" s="195" t="s">
        <v>527</v>
      </c>
      <c r="L91"/>
    </row>
    <row r="92" spans="1:15" ht="15.75" thickBot="1" x14ac:dyDescent="0.3">
      <c r="B92" s="153" t="s">
        <v>83</v>
      </c>
      <c r="C92" s="196" t="s">
        <v>524</v>
      </c>
      <c r="D92" s="181" t="s">
        <v>513</v>
      </c>
      <c r="L92"/>
    </row>
    <row r="93" spans="1:15" x14ac:dyDescent="0.25">
      <c r="K93" s="10"/>
      <c r="M93" s="70"/>
      <c r="N93" s="10"/>
      <c r="O93" s="10"/>
    </row>
    <row r="94" spans="1:15" x14ac:dyDescent="0.25">
      <c r="K94" s="10"/>
      <c r="M94" s="70"/>
      <c r="N94" s="10"/>
      <c r="O94" s="10"/>
    </row>
    <row r="95" spans="1:15" x14ac:dyDescent="0.25">
      <c r="K95" s="10"/>
      <c r="M95" s="70"/>
      <c r="N95" s="10"/>
      <c r="O95" s="10"/>
    </row>
    <row r="96" spans="1:15" x14ac:dyDescent="0.25">
      <c r="K96" s="10"/>
      <c r="M96" s="70"/>
      <c r="N96" s="10"/>
      <c r="O96" s="10"/>
    </row>
    <row r="97" spans="2:15" x14ac:dyDescent="0.25">
      <c r="K97" s="10"/>
      <c r="M97" s="70"/>
      <c r="N97" s="10"/>
      <c r="O97" s="10"/>
    </row>
    <row r="98" spans="2:15" x14ac:dyDescent="0.25">
      <c r="K98" s="10"/>
      <c r="M98" s="70"/>
      <c r="N98" s="10"/>
      <c r="O98" s="10"/>
    </row>
    <row r="99" spans="2:15" x14ac:dyDescent="0.25">
      <c r="K99" s="10"/>
      <c r="M99" s="70"/>
      <c r="N99" s="10"/>
      <c r="O99" s="10"/>
    </row>
    <row r="100" spans="2:15" x14ac:dyDescent="0.25">
      <c r="K100" s="10"/>
      <c r="M100" s="70"/>
      <c r="N100" s="10"/>
      <c r="O100" s="10"/>
    </row>
    <row r="105" spans="2:15" s="10" customFormat="1" x14ac:dyDescent="0.25">
      <c r="B105"/>
      <c r="C105"/>
      <c r="D105"/>
      <c r="E105"/>
      <c r="F105"/>
      <c r="H105" s="11"/>
      <c r="I105"/>
    </row>
    <row r="109" spans="2:15" s="10" customFormat="1" x14ac:dyDescent="0.25">
      <c r="B109"/>
      <c r="C109"/>
      <c r="D109"/>
      <c r="E109"/>
      <c r="F109"/>
      <c r="H109" s="11"/>
      <c r="I109"/>
    </row>
    <row r="110" spans="2:15" s="10" customFormat="1" x14ac:dyDescent="0.25">
      <c r="B110"/>
      <c r="C110"/>
      <c r="D110"/>
      <c r="E110"/>
      <c r="F110"/>
      <c r="H110" s="11"/>
      <c r="I110"/>
    </row>
    <row r="118" spans="2:9" s="10" customFormat="1" x14ac:dyDescent="0.25">
      <c r="B118"/>
      <c r="C118"/>
      <c r="D118"/>
      <c r="E118"/>
      <c r="F118"/>
      <c r="H118" s="11"/>
      <c r="I118"/>
    </row>
    <row r="122" spans="2:9" s="10" customFormat="1" x14ac:dyDescent="0.25">
      <c r="B122"/>
      <c r="C122"/>
      <c r="D122"/>
      <c r="E122"/>
      <c r="F122"/>
      <c r="H122" s="11"/>
      <c r="I122"/>
    </row>
  </sheetData>
  <autoFilter ref="A20:I82"/>
  <mergeCells count="1">
    <mergeCell ref="P20:R20"/>
  </mergeCells>
  <conditionalFormatting sqref="B77">
    <cfRule type="duplicateValues" dxfId="9" priority="36"/>
  </conditionalFormatting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showGridLines="0" zoomScale="80" zoomScaleNormal="80" workbookViewId="0">
      <pane ySplit="3" topLeftCell="A28" activePane="bottomLeft" state="frozen"/>
      <selection pane="bottomLeft" activeCell="G35" sqref="G35"/>
    </sheetView>
  </sheetViews>
  <sheetFormatPr baseColWidth="10" defaultRowHeight="15" x14ac:dyDescent="0.25"/>
  <cols>
    <col min="1" max="1" width="36.7109375" customWidth="1"/>
    <col min="2" max="2" width="17.42578125" customWidth="1"/>
    <col min="3" max="3" width="14.140625" bestFit="1" customWidth="1"/>
    <col min="4" max="4" width="12.85546875" bestFit="1" customWidth="1"/>
    <col min="6" max="6" width="13.140625" style="158" customWidth="1"/>
    <col min="7" max="7" width="18.42578125" customWidth="1"/>
    <col min="8" max="8" width="23.7109375" customWidth="1"/>
    <col min="9" max="9" width="21.28515625" bestFit="1" customWidth="1"/>
  </cols>
  <sheetData>
    <row r="1" spans="1:9" ht="21" x14ac:dyDescent="0.35">
      <c r="A1" s="74" t="s">
        <v>233</v>
      </c>
    </row>
    <row r="3" spans="1:9" x14ac:dyDescent="0.25">
      <c r="A3" s="73" t="s">
        <v>218</v>
      </c>
      <c r="B3" s="71" t="s">
        <v>200</v>
      </c>
      <c r="C3" s="71" t="s">
        <v>199</v>
      </c>
      <c r="D3" s="71" t="s">
        <v>114</v>
      </c>
      <c r="E3" s="131" t="s">
        <v>269</v>
      </c>
      <c r="G3" s="1" t="s">
        <v>218</v>
      </c>
      <c r="H3" s="10" t="s">
        <v>234</v>
      </c>
      <c r="I3" s="10" t="s">
        <v>235</v>
      </c>
    </row>
    <row r="4" spans="1:9" x14ac:dyDescent="0.25">
      <c r="A4" s="129" t="s">
        <v>17</v>
      </c>
      <c r="B4" s="193">
        <v>213</v>
      </c>
      <c r="C4" s="193">
        <v>114</v>
      </c>
      <c r="D4" s="193">
        <v>327</v>
      </c>
      <c r="E4" s="194">
        <f>VLOOKUP(A4,Homologacion!$C$1:$E$122,3,0)</f>
        <v>50050491</v>
      </c>
      <c r="F4" s="192">
        <v>0.65137614678899081</v>
      </c>
      <c r="G4" s="16">
        <v>7001746</v>
      </c>
      <c r="H4" s="11"/>
      <c r="I4" s="11"/>
    </row>
    <row r="5" spans="1:9" x14ac:dyDescent="0.25">
      <c r="A5" s="129" t="s">
        <v>9</v>
      </c>
      <c r="B5" s="193">
        <v>347</v>
      </c>
      <c r="C5" s="193">
        <v>41</v>
      </c>
      <c r="D5" s="193">
        <v>388</v>
      </c>
      <c r="E5" s="194">
        <f>VLOOKUP(A5,Homologacion!$C$1:$E$122,3,0)</f>
        <v>7021785</v>
      </c>
      <c r="F5" s="192">
        <v>0.89432989690721654</v>
      </c>
      <c r="G5" s="16">
        <v>7002736</v>
      </c>
      <c r="H5" s="11">
        <v>101</v>
      </c>
      <c r="I5" s="11">
        <v>111</v>
      </c>
    </row>
    <row r="6" spans="1:9" x14ac:dyDescent="0.25">
      <c r="A6" s="129" t="s">
        <v>12</v>
      </c>
      <c r="B6" s="193">
        <v>420</v>
      </c>
      <c r="C6" s="193">
        <v>68</v>
      </c>
      <c r="D6" s="193">
        <v>488</v>
      </c>
      <c r="E6" s="194">
        <f>VLOOKUP(A6,Homologacion!$C$1:$E$122,3,0)</f>
        <v>7051709</v>
      </c>
      <c r="F6" s="192">
        <v>0.86065573770491799</v>
      </c>
      <c r="G6" s="16">
        <v>7003932</v>
      </c>
      <c r="H6" s="11"/>
      <c r="I6" s="11"/>
    </row>
    <row r="7" spans="1:9" x14ac:dyDescent="0.25">
      <c r="A7" s="129" t="s">
        <v>20</v>
      </c>
      <c r="B7" s="193">
        <v>228</v>
      </c>
      <c r="C7" s="193">
        <v>18</v>
      </c>
      <c r="D7" s="193">
        <v>246</v>
      </c>
      <c r="E7" s="194">
        <f>VLOOKUP(A7,Homologacion!$C$1:$E$122,3,0)</f>
        <v>50071349</v>
      </c>
      <c r="F7" s="192">
        <v>0.92682926829268297</v>
      </c>
      <c r="G7" s="16">
        <v>7007842</v>
      </c>
      <c r="H7" s="11">
        <v>79</v>
      </c>
      <c r="I7" s="11">
        <v>121</v>
      </c>
    </row>
    <row r="8" spans="1:9" x14ac:dyDescent="0.25">
      <c r="A8" s="129" t="s">
        <v>10</v>
      </c>
      <c r="B8" s="193">
        <v>211</v>
      </c>
      <c r="C8" s="193">
        <v>33</v>
      </c>
      <c r="D8" s="193">
        <v>244</v>
      </c>
      <c r="E8" s="194">
        <f>VLOOKUP(A8,Homologacion!$C$1:$E$122,3,0)</f>
        <v>7032030</v>
      </c>
      <c r="F8" s="192">
        <v>0.86475409836065575</v>
      </c>
      <c r="G8" s="16">
        <v>7010952</v>
      </c>
      <c r="H8" s="11"/>
      <c r="I8" s="11"/>
    </row>
    <row r="9" spans="1:9" x14ac:dyDescent="0.25">
      <c r="A9" s="129" t="s">
        <v>94</v>
      </c>
      <c r="B9" s="193">
        <v>81</v>
      </c>
      <c r="C9" s="193">
        <v>10</v>
      </c>
      <c r="D9" s="193">
        <v>91</v>
      </c>
      <c r="E9" s="194">
        <f>VLOOKUP(A9,Homologacion!$C$1:$E$122,3,0)</f>
        <v>50019405</v>
      </c>
      <c r="F9" s="192">
        <v>0.89010989010989006</v>
      </c>
      <c r="G9" s="16">
        <v>7014400</v>
      </c>
      <c r="H9" s="11">
        <v>89</v>
      </c>
      <c r="I9" s="11">
        <v>90</v>
      </c>
    </row>
    <row r="10" spans="1:9" x14ac:dyDescent="0.25">
      <c r="A10" s="129" t="s">
        <v>102</v>
      </c>
      <c r="B10" s="193">
        <v>135</v>
      </c>
      <c r="C10" s="193">
        <v>13</v>
      </c>
      <c r="D10" s="193">
        <v>148</v>
      </c>
      <c r="E10" s="194">
        <f>VLOOKUP(A10,Homologacion!$C$1:$E$122,3,0)</f>
        <v>50050962</v>
      </c>
      <c r="F10" s="192">
        <v>0.91216216216216217</v>
      </c>
      <c r="G10" s="16">
        <v>7017148</v>
      </c>
      <c r="H10" s="11">
        <v>196</v>
      </c>
      <c r="I10" s="11">
        <v>209</v>
      </c>
    </row>
    <row r="11" spans="1:9" x14ac:dyDescent="0.25">
      <c r="A11" s="129" t="s">
        <v>87</v>
      </c>
      <c r="B11" s="193">
        <v>110</v>
      </c>
      <c r="C11" s="193">
        <v>28</v>
      </c>
      <c r="D11" s="193">
        <v>138</v>
      </c>
      <c r="E11" s="194">
        <f>VLOOKUP(A11,Homologacion!$C$1:$E$122,3,0)</f>
        <v>7052616</v>
      </c>
      <c r="F11" s="192">
        <v>0.79710144927536231</v>
      </c>
      <c r="G11" s="16">
        <v>7019425</v>
      </c>
      <c r="H11" s="11">
        <v>148</v>
      </c>
      <c r="I11" s="11">
        <v>166</v>
      </c>
    </row>
    <row r="12" spans="1:9" x14ac:dyDescent="0.25">
      <c r="A12" s="217" t="s">
        <v>81</v>
      </c>
      <c r="B12" s="193"/>
      <c r="C12" s="193"/>
      <c r="D12" s="193"/>
      <c r="E12" s="194">
        <f>VLOOKUP(A12,Homologacion!$C$1:$E$122,3,0)</f>
        <v>7030422</v>
      </c>
      <c r="F12" s="192">
        <v>0.38461538461538464</v>
      </c>
      <c r="G12" s="16">
        <v>7019961</v>
      </c>
      <c r="H12" s="11">
        <v>51</v>
      </c>
      <c r="I12" s="11">
        <v>70</v>
      </c>
    </row>
    <row r="13" spans="1:9" x14ac:dyDescent="0.25">
      <c r="A13" s="129" t="s">
        <v>99</v>
      </c>
      <c r="B13" s="193">
        <v>112</v>
      </c>
      <c r="C13" s="193">
        <v>24</v>
      </c>
      <c r="D13" s="193">
        <v>136</v>
      </c>
      <c r="E13" s="194">
        <f>VLOOKUP(A13,Homologacion!$C$1:$E$122,3,0)</f>
        <v>50033117</v>
      </c>
      <c r="F13" s="192">
        <v>0.82352941176470584</v>
      </c>
      <c r="G13" s="16">
        <v>7021785</v>
      </c>
      <c r="H13" s="11">
        <v>347</v>
      </c>
      <c r="I13" s="11">
        <v>388</v>
      </c>
    </row>
    <row r="14" spans="1:9" x14ac:dyDescent="0.25">
      <c r="A14" s="129" t="s">
        <v>93</v>
      </c>
      <c r="B14" s="193">
        <v>109</v>
      </c>
      <c r="C14" s="193">
        <v>13</v>
      </c>
      <c r="D14" s="193">
        <v>122</v>
      </c>
      <c r="E14" s="194">
        <f>VLOOKUP(A14,Homologacion!$C$1:$E$122,3,0)</f>
        <v>50016385</v>
      </c>
      <c r="F14" s="192">
        <v>0.89344262295081966</v>
      </c>
      <c r="G14" s="16">
        <v>7028749</v>
      </c>
      <c r="H14" s="11">
        <v>27</v>
      </c>
      <c r="I14" s="11">
        <v>28</v>
      </c>
    </row>
    <row r="15" spans="1:9" x14ac:dyDescent="0.25">
      <c r="A15" s="129" t="s">
        <v>97</v>
      </c>
      <c r="B15" s="193">
        <v>30</v>
      </c>
      <c r="C15" s="193">
        <v>1</v>
      </c>
      <c r="D15" s="193">
        <v>31</v>
      </c>
      <c r="E15" s="194">
        <f>VLOOKUP(A15,Homologacion!$C$1:$E$122,3,0)</f>
        <v>50028026</v>
      </c>
      <c r="F15" s="192">
        <v>0.967741935483871</v>
      </c>
      <c r="G15" s="16">
        <v>7029903</v>
      </c>
      <c r="H15" s="11">
        <v>9</v>
      </c>
      <c r="I15" s="11">
        <v>44</v>
      </c>
    </row>
    <row r="16" spans="1:9" x14ac:dyDescent="0.25">
      <c r="A16" s="129" t="s">
        <v>76</v>
      </c>
      <c r="B16" s="193">
        <v>148</v>
      </c>
      <c r="C16" s="193">
        <v>18</v>
      </c>
      <c r="D16" s="193">
        <v>166</v>
      </c>
      <c r="E16" s="194">
        <f>VLOOKUP(A16,Homologacion!$C$1:$E$122,3,0)</f>
        <v>7019425</v>
      </c>
      <c r="F16" s="192">
        <v>0.89156626506024095</v>
      </c>
      <c r="G16" s="16">
        <v>7030422</v>
      </c>
      <c r="H16" s="11"/>
      <c r="I16" s="11"/>
    </row>
    <row r="17" spans="1:9" x14ac:dyDescent="0.25">
      <c r="A17" s="129" t="s">
        <v>82</v>
      </c>
      <c r="B17" s="193">
        <v>57</v>
      </c>
      <c r="C17" s="193">
        <v>8</v>
      </c>
      <c r="D17" s="193">
        <v>65</v>
      </c>
      <c r="E17" s="194">
        <f>VLOOKUP(A17,Homologacion!$C$1:$E$122,3,0)</f>
        <v>7032287</v>
      </c>
      <c r="F17" s="192">
        <v>0.87692307692307692</v>
      </c>
      <c r="G17" s="16">
        <v>7031487</v>
      </c>
      <c r="H17" s="11">
        <v>79</v>
      </c>
      <c r="I17" s="11">
        <v>115</v>
      </c>
    </row>
    <row r="18" spans="1:9" x14ac:dyDescent="0.25">
      <c r="A18" s="129" t="s">
        <v>72</v>
      </c>
      <c r="B18" s="193">
        <v>101</v>
      </c>
      <c r="C18" s="193">
        <v>10</v>
      </c>
      <c r="D18" s="193">
        <v>111</v>
      </c>
      <c r="E18" s="194">
        <f>VLOOKUP(A18,Homologacion!$C$1:$E$122,3,0)</f>
        <v>7002736</v>
      </c>
      <c r="F18" s="192">
        <v>0.90990990990990994</v>
      </c>
      <c r="G18" s="16">
        <v>7047319</v>
      </c>
      <c r="H18" s="11">
        <v>62</v>
      </c>
      <c r="I18" s="11">
        <v>74</v>
      </c>
    </row>
    <row r="19" spans="1:9" x14ac:dyDescent="0.25">
      <c r="A19" s="129" t="s">
        <v>90</v>
      </c>
      <c r="B19" s="193">
        <v>2</v>
      </c>
      <c r="C19" s="193"/>
      <c r="D19" s="193">
        <v>2</v>
      </c>
      <c r="E19" s="194">
        <f>VLOOKUP(A19,Homologacion!$C$1:$E$122,3,0)</f>
        <v>50006402</v>
      </c>
      <c r="F19" s="192">
        <v>1</v>
      </c>
      <c r="G19" s="16">
        <v>7048713</v>
      </c>
      <c r="H19" s="11">
        <v>49</v>
      </c>
      <c r="I19" s="11">
        <v>62</v>
      </c>
    </row>
    <row r="20" spans="1:9" x14ac:dyDescent="0.25">
      <c r="A20" s="129" t="s">
        <v>89</v>
      </c>
      <c r="B20" s="193">
        <v>63</v>
      </c>
      <c r="C20" s="193">
        <v>15</v>
      </c>
      <c r="D20" s="193">
        <v>78</v>
      </c>
      <c r="E20" s="194">
        <f>VLOOKUP(A20,Homologacion!$C$1:$E$122,3,0)</f>
        <v>50003136</v>
      </c>
      <c r="F20" s="192">
        <v>0.80769230769230771</v>
      </c>
      <c r="G20" s="16">
        <v>7051170</v>
      </c>
      <c r="H20" s="11">
        <v>42</v>
      </c>
      <c r="I20" s="11">
        <v>42</v>
      </c>
    </row>
    <row r="21" spans="1:9" x14ac:dyDescent="0.25">
      <c r="A21" s="129" t="s">
        <v>92</v>
      </c>
      <c r="B21" s="193">
        <v>107</v>
      </c>
      <c r="C21" s="193">
        <v>34</v>
      </c>
      <c r="D21" s="193">
        <v>141</v>
      </c>
      <c r="E21" s="194">
        <f>VLOOKUP(A21,Homologacion!$C$1:$E$122,3,0)</f>
        <v>50015007</v>
      </c>
      <c r="F21" s="192">
        <v>0.75886524822695034</v>
      </c>
      <c r="G21" s="16">
        <v>7051709</v>
      </c>
      <c r="H21" s="11">
        <v>420</v>
      </c>
      <c r="I21" s="11">
        <v>488</v>
      </c>
    </row>
    <row r="22" spans="1:9" x14ac:dyDescent="0.25">
      <c r="A22" s="129" t="s">
        <v>104</v>
      </c>
      <c r="B22" s="193">
        <v>53</v>
      </c>
      <c r="C22" s="193">
        <v>6</v>
      </c>
      <c r="D22" s="193">
        <v>59</v>
      </c>
      <c r="E22" s="194">
        <f>VLOOKUP(A22,Homologacion!$C$1:$E$122,3,0)</f>
        <v>50083096</v>
      </c>
      <c r="F22" s="192">
        <v>0.89830508474576276</v>
      </c>
      <c r="G22" s="16">
        <v>7051956</v>
      </c>
      <c r="H22" s="11"/>
      <c r="I22" s="11"/>
    </row>
    <row r="23" spans="1:9" x14ac:dyDescent="0.25">
      <c r="A23" s="129" t="s">
        <v>98</v>
      </c>
      <c r="B23" s="193">
        <v>113</v>
      </c>
      <c r="C23" s="193">
        <v>29</v>
      </c>
      <c r="D23" s="193">
        <v>142</v>
      </c>
      <c r="E23" s="194">
        <f>VLOOKUP(A23,Homologacion!$C$1:$E$122,3,0)</f>
        <v>50030022</v>
      </c>
      <c r="F23" s="192">
        <v>0.79577464788732399</v>
      </c>
      <c r="G23" s="16">
        <v>7052384</v>
      </c>
      <c r="H23" s="11">
        <v>82</v>
      </c>
      <c r="I23" s="11">
        <v>109</v>
      </c>
    </row>
    <row r="24" spans="1:9" x14ac:dyDescent="0.25">
      <c r="A24" s="129" t="s">
        <v>4</v>
      </c>
      <c r="B24" s="193">
        <v>51</v>
      </c>
      <c r="C24" s="193">
        <v>19</v>
      </c>
      <c r="D24" s="193">
        <v>70</v>
      </c>
      <c r="E24" s="194">
        <f>VLOOKUP(A24,Homologacion!$C$1:$E$122,3,0)</f>
        <v>7019961</v>
      </c>
      <c r="F24" s="192">
        <v>0.72857142857142854</v>
      </c>
      <c r="G24" s="16">
        <v>7052616</v>
      </c>
      <c r="H24" s="11">
        <v>110</v>
      </c>
      <c r="I24" s="11">
        <v>138</v>
      </c>
    </row>
    <row r="25" spans="1:9" x14ac:dyDescent="0.25">
      <c r="A25" s="129" t="s">
        <v>31</v>
      </c>
      <c r="B25" s="193">
        <v>156</v>
      </c>
      <c r="C25" s="193">
        <v>1</v>
      </c>
      <c r="D25" s="193">
        <v>157</v>
      </c>
      <c r="E25" s="194">
        <f>VLOOKUP(A25,Homologacion!$C$1:$E$122,3,0)</f>
        <v>7016991</v>
      </c>
      <c r="F25" s="192">
        <v>0.99363057324840764</v>
      </c>
      <c r="G25" s="16">
        <v>50003136</v>
      </c>
      <c r="H25" s="11">
        <v>63</v>
      </c>
      <c r="I25" s="11">
        <v>78</v>
      </c>
    </row>
    <row r="26" spans="1:9" x14ac:dyDescent="0.25">
      <c r="A26" s="129" t="s">
        <v>32</v>
      </c>
      <c r="B26" s="193">
        <v>196</v>
      </c>
      <c r="C26" s="193">
        <v>13</v>
      </c>
      <c r="D26" s="193">
        <v>209</v>
      </c>
      <c r="E26" s="194">
        <f>VLOOKUP(A26,Homologacion!$C$1:$E$122,3,0)</f>
        <v>7017148</v>
      </c>
      <c r="F26" s="192">
        <v>0.93779904306220097</v>
      </c>
      <c r="G26" s="16">
        <v>50006402</v>
      </c>
      <c r="H26" s="11">
        <v>2</v>
      </c>
      <c r="I26" s="11">
        <v>2</v>
      </c>
    </row>
    <row r="27" spans="1:9" x14ac:dyDescent="0.25">
      <c r="A27" s="129" t="s">
        <v>37</v>
      </c>
      <c r="B27" s="193">
        <v>108</v>
      </c>
      <c r="C27" s="193">
        <v>2</v>
      </c>
      <c r="D27" s="193">
        <v>110</v>
      </c>
      <c r="E27" s="194">
        <f>VLOOKUP(A27,Homologacion!$C$1:$E$122,3,0)</f>
        <v>50046341</v>
      </c>
      <c r="F27" s="192">
        <v>0.98181818181818181</v>
      </c>
      <c r="G27" s="16">
        <v>50008507</v>
      </c>
      <c r="H27" s="11"/>
      <c r="I27" s="11"/>
    </row>
    <row r="28" spans="1:9" x14ac:dyDescent="0.25">
      <c r="A28" s="129" t="s">
        <v>158</v>
      </c>
      <c r="B28" s="193">
        <v>76</v>
      </c>
      <c r="C28" s="193">
        <v>4</v>
      </c>
      <c r="D28" s="193">
        <v>80</v>
      </c>
      <c r="E28" s="194">
        <f>VLOOKUP(A28,Homologacion!$C$1:$E$122,3,0)</f>
        <v>50016617</v>
      </c>
      <c r="F28" s="192">
        <v>0.95</v>
      </c>
      <c r="G28" s="16">
        <v>50015007</v>
      </c>
      <c r="H28" s="11">
        <v>107</v>
      </c>
      <c r="I28" s="11">
        <v>141</v>
      </c>
    </row>
    <row r="29" spans="1:9" x14ac:dyDescent="0.25">
      <c r="A29" s="129" t="s">
        <v>230</v>
      </c>
      <c r="B29" s="193">
        <v>79</v>
      </c>
      <c r="C29" s="193">
        <v>36</v>
      </c>
      <c r="D29" s="193">
        <v>115</v>
      </c>
      <c r="E29" s="194">
        <f>VLOOKUP(A29,Homologacion!$C$1:$E$122,3,0)</f>
        <v>7031487</v>
      </c>
      <c r="F29" s="192">
        <v>0.68695652173913047</v>
      </c>
      <c r="G29" s="16">
        <v>50016385</v>
      </c>
      <c r="H29" s="11">
        <v>109</v>
      </c>
      <c r="I29" s="11">
        <v>122</v>
      </c>
    </row>
    <row r="30" spans="1:9" x14ac:dyDescent="0.25">
      <c r="A30" s="217" t="s">
        <v>35</v>
      </c>
      <c r="B30" s="193"/>
      <c r="C30" s="193"/>
      <c r="D30" s="193"/>
      <c r="E30" s="194">
        <f>VLOOKUP(A30,Homologacion!$C$1:$E$122,3,0)</f>
        <v>7001746</v>
      </c>
      <c r="F30" s="192">
        <v>0.5268817204301075</v>
      </c>
      <c r="G30" s="16">
        <v>50019405</v>
      </c>
      <c r="H30" s="11">
        <v>81</v>
      </c>
      <c r="I30" s="11">
        <v>91</v>
      </c>
    </row>
    <row r="31" spans="1:9" x14ac:dyDescent="0.25">
      <c r="A31" s="129" t="s">
        <v>5</v>
      </c>
      <c r="B31" s="193">
        <v>84</v>
      </c>
      <c r="C31" s="193">
        <v>14</v>
      </c>
      <c r="D31" s="193">
        <v>98</v>
      </c>
      <c r="E31" s="194">
        <f>VLOOKUP(A31,Homologacion!$C$1:$E$122,3,0)</f>
        <v>50008739</v>
      </c>
      <c r="F31" s="192">
        <v>0.8571428571428571</v>
      </c>
      <c r="G31" s="16">
        <v>50022466</v>
      </c>
      <c r="H31" s="11">
        <v>101</v>
      </c>
      <c r="I31" s="11">
        <v>120</v>
      </c>
    </row>
    <row r="32" spans="1:9" x14ac:dyDescent="0.25">
      <c r="A32" s="129" t="s">
        <v>36</v>
      </c>
      <c r="B32" s="193">
        <v>42</v>
      </c>
      <c r="C32" s="193"/>
      <c r="D32" s="193">
        <v>42</v>
      </c>
      <c r="E32" s="194">
        <f>VLOOKUP(A32,Homologacion!$C$1:$E$122,3,0)</f>
        <v>7051170</v>
      </c>
      <c r="F32" s="192">
        <v>1</v>
      </c>
      <c r="G32" s="16">
        <v>50023969</v>
      </c>
      <c r="H32" s="11"/>
      <c r="I32" s="11"/>
    </row>
    <row r="33" spans="1:9" x14ac:dyDescent="0.25">
      <c r="A33" s="129" t="s">
        <v>27</v>
      </c>
      <c r="B33" s="193">
        <v>79</v>
      </c>
      <c r="C33" s="193">
        <v>42</v>
      </c>
      <c r="D33" s="193">
        <v>121</v>
      </c>
      <c r="E33" s="194">
        <f>VLOOKUP(A33,Homologacion!$C$1:$E$122,3,0)</f>
        <v>7007842</v>
      </c>
      <c r="F33" s="192">
        <v>0.65289256198347112</v>
      </c>
      <c r="G33" s="16">
        <v>50028026</v>
      </c>
      <c r="H33" s="11">
        <v>30</v>
      </c>
      <c r="I33" s="11">
        <v>31</v>
      </c>
    </row>
    <row r="34" spans="1:9" x14ac:dyDescent="0.25">
      <c r="A34" s="129" t="s">
        <v>79</v>
      </c>
      <c r="B34" s="193">
        <v>27</v>
      </c>
      <c r="C34" s="193">
        <v>1</v>
      </c>
      <c r="D34" s="193">
        <v>28</v>
      </c>
      <c r="E34" s="194">
        <f>VLOOKUP(A34,Homologacion!$C$1:$E$122,3,0)</f>
        <v>7028749</v>
      </c>
      <c r="F34" s="192">
        <v>0.9642857142857143</v>
      </c>
      <c r="G34" s="16">
        <v>50033117</v>
      </c>
      <c r="H34" s="11">
        <v>112</v>
      </c>
      <c r="I34" s="11">
        <v>136</v>
      </c>
    </row>
    <row r="35" spans="1:9" x14ac:dyDescent="0.25">
      <c r="A35" s="129" t="s">
        <v>80</v>
      </c>
      <c r="B35" s="193">
        <v>9</v>
      </c>
      <c r="C35" s="193">
        <v>35</v>
      </c>
      <c r="D35" s="193">
        <v>44</v>
      </c>
      <c r="E35" s="194">
        <f>VLOOKUP(A35,Homologacion!$C$1:$E$122,3,0)</f>
        <v>7029903</v>
      </c>
      <c r="F35" s="192">
        <v>0.20454545454545456</v>
      </c>
      <c r="G35" s="16">
        <v>50034651</v>
      </c>
      <c r="H35" s="11">
        <v>83</v>
      </c>
      <c r="I35" s="11">
        <v>97</v>
      </c>
    </row>
    <row r="36" spans="1:9" x14ac:dyDescent="0.25">
      <c r="A36" s="129" t="s">
        <v>28</v>
      </c>
      <c r="B36" s="193">
        <v>82</v>
      </c>
      <c r="C36" s="193">
        <v>27</v>
      </c>
      <c r="D36" s="193">
        <v>109</v>
      </c>
      <c r="E36" s="194">
        <f>VLOOKUP(A36,Homologacion!$C$1:$E$122,3,0)</f>
        <v>7052384</v>
      </c>
      <c r="F36" s="192">
        <v>0.75229357798165142</v>
      </c>
      <c r="G36" s="16">
        <v>50036060</v>
      </c>
      <c r="H36" s="11"/>
      <c r="I36" s="11"/>
    </row>
    <row r="37" spans="1:9" x14ac:dyDescent="0.25">
      <c r="A37" s="129" t="s">
        <v>11</v>
      </c>
      <c r="B37" s="193">
        <v>49</v>
      </c>
      <c r="C37" s="193">
        <v>13</v>
      </c>
      <c r="D37" s="193">
        <v>62</v>
      </c>
      <c r="E37" s="194">
        <f>VLOOKUP(A37,Homologacion!$C$1:$E$122,3,0)</f>
        <v>7048713</v>
      </c>
      <c r="F37" s="192">
        <v>0.79032258064516125</v>
      </c>
      <c r="G37" s="16">
        <v>50044239</v>
      </c>
      <c r="H37" s="11">
        <v>138</v>
      </c>
      <c r="I37" s="11">
        <v>174</v>
      </c>
    </row>
    <row r="38" spans="1:9" x14ac:dyDescent="0.25">
      <c r="A38" s="129" t="s">
        <v>74</v>
      </c>
      <c r="B38" s="193">
        <v>20</v>
      </c>
      <c r="C38" s="193"/>
      <c r="D38" s="193">
        <v>20</v>
      </c>
      <c r="E38" s="194">
        <f>VLOOKUP(A38,Homologacion!$C$1:$E$122,3,0)</f>
        <v>7015480</v>
      </c>
      <c r="F38" s="192">
        <v>1</v>
      </c>
      <c r="G38" s="16">
        <v>50046341</v>
      </c>
      <c r="H38" s="11">
        <v>108</v>
      </c>
      <c r="I38" s="11">
        <v>110</v>
      </c>
    </row>
    <row r="39" spans="1:9" x14ac:dyDescent="0.25">
      <c r="A39" s="217" t="s">
        <v>77</v>
      </c>
      <c r="B39" s="193"/>
      <c r="C39" s="193"/>
      <c r="D39" s="193"/>
      <c r="E39" s="194">
        <f>VLOOKUP(A39,Homologacion!$C$1:$E$122,3,0)</f>
        <v>7024375</v>
      </c>
      <c r="F39" s="192">
        <v>0.55384615384615388</v>
      </c>
      <c r="G39" s="16">
        <v>50050491</v>
      </c>
      <c r="H39" s="11">
        <v>213</v>
      </c>
      <c r="I39" s="11">
        <v>327</v>
      </c>
    </row>
    <row r="40" spans="1:9" x14ac:dyDescent="0.25">
      <c r="A40" s="129" t="s">
        <v>75</v>
      </c>
      <c r="B40" s="193">
        <v>26</v>
      </c>
      <c r="C40" s="193">
        <v>9</v>
      </c>
      <c r="D40" s="193">
        <v>35</v>
      </c>
      <c r="E40" s="194">
        <f>VLOOKUP(A40,Homologacion!$C$1:$E$122,3,0)</f>
        <v>7017700</v>
      </c>
      <c r="F40" s="192">
        <v>0.74285714285714288</v>
      </c>
      <c r="G40" s="16">
        <v>50050962</v>
      </c>
      <c r="H40" s="11">
        <v>135</v>
      </c>
      <c r="I40" s="11">
        <v>148</v>
      </c>
    </row>
    <row r="41" spans="1:9" x14ac:dyDescent="0.25">
      <c r="A41" s="129" t="s">
        <v>214</v>
      </c>
      <c r="B41" s="193">
        <v>138</v>
      </c>
      <c r="C41" s="193">
        <v>36</v>
      </c>
      <c r="D41" s="193">
        <v>174</v>
      </c>
      <c r="E41" s="194">
        <f>VLOOKUP(A41,Homologacion!$C$1:$E$122,3,0)</f>
        <v>50044239</v>
      </c>
      <c r="F41" s="192">
        <v>0.7931034482758621</v>
      </c>
      <c r="G41" s="16">
        <v>50071349</v>
      </c>
      <c r="H41" s="11">
        <v>228</v>
      </c>
      <c r="I41" s="11">
        <v>246</v>
      </c>
    </row>
    <row r="42" spans="1:9" x14ac:dyDescent="0.25">
      <c r="A42" s="217" t="s">
        <v>26</v>
      </c>
      <c r="B42" s="193"/>
      <c r="C42" s="193"/>
      <c r="D42" s="193"/>
      <c r="E42" s="194">
        <f>VLOOKUP(A42,Homologacion!$C$1:$E$122,3,0)</f>
        <v>7003932</v>
      </c>
      <c r="F42" s="192">
        <v>0.390625</v>
      </c>
      <c r="G42" s="16">
        <v>50075738</v>
      </c>
      <c r="H42" s="11">
        <v>246</v>
      </c>
      <c r="I42" s="11">
        <v>250</v>
      </c>
    </row>
    <row r="43" spans="1:9" x14ac:dyDescent="0.25">
      <c r="A43" s="129" t="s">
        <v>166</v>
      </c>
      <c r="B43" s="193">
        <v>99</v>
      </c>
      <c r="C43" s="193">
        <v>37</v>
      </c>
      <c r="D43" s="193">
        <v>136</v>
      </c>
      <c r="E43" s="194">
        <f>VLOOKUP(A43,Homologacion!$C$1:$E$122,3,0)</f>
        <v>7054026</v>
      </c>
      <c r="F43" s="192">
        <v>0.7279411764705882</v>
      </c>
      <c r="G43" s="16">
        <v>50097856</v>
      </c>
      <c r="H43" s="11">
        <v>648</v>
      </c>
      <c r="I43" s="11">
        <v>653</v>
      </c>
    </row>
    <row r="44" spans="1:9" x14ac:dyDescent="0.25">
      <c r="A44" s="129" t="s">
        <v>228</v>
      </c>
      <c r="B44" s="193">
        <v>75</v>
      </c>
      <c r="C44" s="193">
        <v>40</v>
      </c>
      <c r="D44" s="193">
        <v>115</v>
      </c>
      <c r="E44" s="194">
        <f>VLOOKUP(A44,Homologacion!$C$1:$E$122,3,0)</f>
        <v>7017353</v>
      </c>
      <c r="F44" s="192">
        <v>0.65217391304347827</v>
      </c>
      <c r="G44" s="16">
        <v>50016617</v>
      </c>
      <c r="H44" s="11">
        <v>76</v>
      </c>
      <c r="I44" s="11">
        <v>80</v>
      </c>
    </row>
    <row r="45" spans="1:9" x14ac:dyDescent="0.25">
      <c r="A45" s="129" t="s">
        <v>96</v>
      </c>
      <c r="B45" s="193">
        <v>101</v>
      </c>
      <c r="C45" s="193">
        <v>19</v>
      </c>
      <c r="D45" s="193">
        <v>120</v>
      </c>
      <c r="E45" s="194">
        <f>VLOOKUP(A45,Homologacion!$C$1:$E$122,3,0)</f>
        <v>50022466</v>
      </c>
      <c r="F45" s="192">
        <v>0.84166666666666667</v>
      </c>
      <c r="G45" s="16">
        <v>7024375</v>
      </c>
      <c r="H45" s="11"/>
      <c r="I45" s="11"/>
    </row>
    <row r="46" spans="1:9" x14ac:dyDescent="0.25">
      <c r="A46" s="129" t="s">
        <v>19</v>
      </c>
      <c r="B46" s="193">
        <v>74</v>
      </c>
      <c r="C46" s="193">
        <v>1</v>
      </c>
      <c r="D46" s="193">
        <v>75</v>
      </c>
      <c r="E46" s="194">
        <f>VLOOKUP(A46,Homologacion!$C$1:$E$122,3,0)</f>
        <v>50062066</v>
      </c>
      <c r="F46" s="192">
        <v>0.98666666666666669</v>
      </c>
      <c r="G46" s="16">
        <v>7032287</v>
      </c>
      <c r="H46" s="11">
        <v>57</v>
      </c>
      <c r="I46" s="11">
        <v>65</v>
      </c>
    </row>
    <row r="47" spans="1:9" x14ac:dyDescent="0.25">
      <c r="A47" s="129" t="s">
        <v>226</v>
      </c>
      <c r="B47" s="193">
        <v>127</v>
      </c>
      <c r="C47" s="193">
        <v>21</v>
      </c>
      <c r="D47" s="193">
        <v>148</v>
      </c>
      <c r="E47" s="194">
        <f>VLOOKUP(A47,Homologacion!$C$1:$E$122,3,0)</f>
        <v>50018993</v>
      </c>
      <c r="F47" s="192">
        <v>0.85810810810810811</v>
      </c>
      <c r="G47" s="16">
        <v>7016991</v>
      </c>
      <c r="H47" s="11">
        <v>156</v>
      </c>
      <c r="I47" s="11">
        <v>157</v>
      </c>
    </row>
    <row r="48" spans="1:9" x14ac:dyDescent="0.25">
      <c r="A48" s="129" t="s">
        <v>24</v>
      </c>
      <c r="B48" s="193">
        <v>648</v>
      </c>
      <c r="C48" s="193">
        <v>5</v>
      </c>
      <c r="D48" s="193">
        <v>653</v>
      </c>
      <c r="E48" s="194">
        <f>VLOOKUP(A48,Homologacion!$C$1:$E$122,3,0)</f>
        <v>50097856</v>
      </c>
      <c r="F48" s="192">
        <v>0.99234303215926489</v>
      </c>
      <c r="G48" s="16">
        <v>50008739</v>
      </c>
      <c r="H48" s="11">
        <v>84</v>
      </c>
      <c r="I48" s="11">
        <v>98</v>
      </c>
    </row>
    <row r="49" spans="1:9" x14ac:dyDescent="0.25">
      <c r="A49" s="129" t="s">
        <v>21</v>
      </c>
      <c r="B49" s="193">
        <v>246</v>
      </c>
      <c r="C49" s="193">
        <v>4</v>
      </c>
      <c r="D49" s="193">
        <v>250</v>
      </c>
      <c r="E49" s="194">
        <f>VLOOKUP(A49,Homologacion!$C$1:$E$122,3,0)</f>
        <v>50075738</v>
      </c>
      <c r="F49" s="192">
        <v>0.98399999999999999</v>
      </c>
      <c r="G49" s="16">
        <v>50062066</v>
      </c>
      <c r="H49" s="11">
        <v>352</v>
      </c>
      <c r="I49" s="11">
        <v>356</v>
      </c>
    </row>
    <row r="50" spans="1:9" x14ac:dyDescent="0.25">
      <c r="A50" s="129" t="s">
        <v>19</v>
      </c>
      <c r="B50" s="193">
        <v>278</v>
      </c>
      <c r="C50" s="193">
        <v>3</v>
      </c>
      <c r="D50" s="193">
        <v>281</v>
      </c>
      <c r="E50" s="194">
        <f>VLOOKUP(A50,Homologacion!$C$1:$E$122,3,0)</f>
        <v>50062066</v>
      </c>
      <c r="F50" s="192">
        <v>0.98666666666666669</v>
      </c>
      <c r="G50" s="16">
        <v>7017700</v>
      </c>
      <c r="H50" s="11">
        <v>26</v>
      </c>
      <c r="I50" s="11">
        <v>35</v>
      </c>
    </row>
    <row r="51" spans="1:9" x14ac:dyDescent="0.25">
      <c r="A51" s="206" t="s">
        <v>16</v>
      </c>
      <c r="B51" s="207"/>
      <c r="C51" s="207"/>
      <c r="D51" s="207"/>
      <c r="E51" s="208">
        <f>VLOOKUP(A51,Homologacion!$C$1:$E$122,3,0)</f>
        <v>50036060</v>
      </c>
      <c r="F51" s="209" t="s">
        <v>522</v>
      </c>
      <c r="G51" s="16">
        <v>50054337</v>
      </c>
      <c r="H51" s="11">
        <v>382</v>
      </c>
      <c r="I51" s="11">
        <v>391</v>
      </c>
    </row>
    <row r="52" spans="1:9" x14ac:dyDescent="0.25">
      <c r="A52" s="206" t="s">
        <v>13</v>
      </c>
      <c r="B52" s="207"/>
      <c r="C52" s="207"/>
      <c r="D52" s="207"/>
      <c r="E52" s="208">
        <f>VLOOKUP(A52,Homologacion!$C$1:$E$122,3,0)</f>
        <v>7051956</v>
      </c>
      <c r="F52" s="209" t="s">
        <v>522</v>
      </c>
      <c r="G52" s="16">
        <v>7009426</v>
      </c>
      <c r="H52" s="11">
        <v>309</v>
      </c>
      <c r="I52" s="11">
        <v>328</v>
      </c>
    </row>
    <row r="53" spans="1:9" x14ac:dyDescent="0.25">
      <c r="A53" s="206" t="s">
        <v>7</v>
      </c>
      <c r="B53" s="207"/>
      <c r="C53" s="207"/>
      <c r="D53" s="207"/>
      <c r="E53" s="208">
        <f>VLOOKUP(A53,Homologacion!$C$1:$E$122,3,0)</f>
        <v>7010952</v>
      </c>
      <c r="F53" s="209" t="s">
        <v>522</v>
      </c>
      <c r="G53" s="16">
        <v>7058852</v>
      </c>
      <c r="H53" s="11">
        <v>391</v>
      </c>
      <c r="I53" s="11">
        <v>394</v>
      </c>
    </row>
    <row r="54" spans="1:9" x14ac:dyDescent="0.25">
      <c r="A54" s="206" t="s">
        <v>15</v>
      </c>
      <c r="B54" s="207"/>
      <c r="C54" s="207"/>
      <c r="D54" s="207"/>
      <c r="E54" s="208">
        <f>VLOOKUP(A54,Homologacion!$C$1:$E$122,3,0)</f>
        <v>50023969</v>
      </c>
      <c r="F54" s="209" t="s">
        <v>522</v>
      </c>
      <c r="G54" s="16">
        <v>50094481</v>
      </c>
      <c r="H54" s="11">
        <v>406</v>
      </c>
      <c r="I54" s="11">
        <v>407</v>
      </c>
    </row>
    <row r="55" spans="1:9" x14ac:dyDescent="0.25">
      <c r="A55" s="206" t="s">
        <v>91</v>
      </c>
      <c r="B55" s="207"/>
      <c r="C55" s="207"/>
      <c r="D55" s="207"/>
      <c r="E55" s="208">
        <f>VLOOKUP(A55,Homologacion!$C$1:$E$122,3,0)</f>
        <v>50008507</v>
      </c>
      <c r="F55" s="209" t="s">
        <v>522</v>
      </c>
      <c r="G55" s="16">
        <v>7017353</v>
      </c>
      <c r="H55" s="11">
        <v>75</v>
      </c>
      <c r="I55" s="11">
        <v>115</v>
      </c>
    </row>
    <row r="56" spans="1:9" x14ac:dyDescent="0.25">
      <c r="A56" s="129" t="s">
        <v>108</v>
      </c>
      <c r="B56" s="193">
        <v>89</v>
      </c>
      <c r="C56" s="193">
        <v>1</v>
      </c>
      <c r="D56" s="193">
        <v>90</v>
      </c>
      <c r="E56" s="194">
        <f>VLOOKUP(A56,Homologacion!$C$1:$E$122,3,0)</f>
        <v>7014400</v>
      </c>
      <c r="F56" s="192">
        <v>0.98888888888888893</v>
      </c>
      <c r="G56" s="16">
        <v>50018993</v>
      </c>
      <c r="H56" s="11">
        <v>127</v>
      </c>
      <c r="I56" s="11">
        <v>148</v>
      </c>
    </row>
    <row r="57" spans="1:9" x14ac:dyDescent="0.25">
      <c r="A57" s="129" t="s">
        <v>100</v>
      </c>
      <c r="B57" s="193">
        <v>83</v>
      </c>
      <c r="C57" s="193">
        <v>14</v>
      </c>
      <c r="D57" s="193">
        <v>97</v>
      </c>
      <c r="E57" s="194">
        <f>VLOOKUP(A57,Homologacion!$C$1:$E$122,3,0)</f>
        <v>50034651</v>
      </c>
      <c r="F57" s="192">
        <v>0.85567010309278346</v>
      </c>
      <c r="G57" s="16">
        <v>7054026</v>
      </c>
      <c r="H57" s="11">
        <v>99</v>
      </c>
      <c r="I57" s="11">
        <v>136</v>
      </c>
    </row>
    <row r="58" spans="1:9" x14ac:dyDescent="0.25">
      <c r="A58" s="181" t="s">
        <v>109</v>
      </c>
      <c r="B58" s="193">
        <v>62</v>
      </c>
      <c r="C58" s="193">
        <v>12</v>
      </c>
      <c r="D58" s="193">
        <v>74</v>
      </c>
      <c r="E58" s="194">
        <f>VLOOKUP(A58,Homologacion!$C$1:$E$122,3,0)</f>
        <v>7047319</v>
      </c>
      <c r="F58" s="192">
        <v>0.83783783783783783</v>
      </c>
      <c r="G58" s="16">
        <v>50083096</v>
      </c>
      <c r="H58" s="11">
        <v>53</v>
      </c>
      <c r="I58" s="11">
        <v>59</v>
      </c>
    </row>
    <row r="59" spans="1:9" x14ac:dyDescent="0.25">
      <c r="A59" s="181" t="s">
        <v>103</v>
      </c>
      <c r="B59" s="193">
        <v>111</v>
      </c>
      <c r="C59" s="193">
        <v>3</v>
      </c>
      <c r="D59" s="193">
        <v>114</v>
      </c>
      <c r="E59" s="194">
        <f>VLOOKUP(A59,Homologacion!$C$1:$E$122,3,0)</f>
        <v>50067909</v>
      </c>
      <c r="F59" s="192">
        <v>0.97368421052631582</v>
      </c>
      <c r="G59" s="16">
        <v>50030022</v>
      </c>
      <c r="H59" s="11">
        <v>113</v>
      </c>
      <c r="I59" s="11">
        <v>142</v>
      </c>
    </row>
    <row r="60" spans="1:9" x14ac:dyDescent="0.25">
      <c r="A60" s="181" t="s">
        <v>18</v>
      </c>
      <c r="B60" s="193">
        <v>382</v>
      </c>
      <c r="C60" s="193">
        <v>9</v>
      </c>
      <c r="D60" s="193">
        <v>391</v>
      </c>
      <c r="E60" s="194">
        <f>VLOOKUP(A60,Homologacion!$C$1:$E$122,3,0)</f>
        <v>50054337</v>
      </c>
      <c r="F60" s="192">
        <v>0.97698209718670082</v>
      </c>
      <c r="G60" s="16">
        <v>7032030</v>
      </c>
      <c r="H60" s="11">
        <v>211</v>
      </c>
      <c r="I60" s="11">
        <v>244</v>
      </c>
    </row>
    <row r="61" spans="1:9" x14ac:dyDescent="0.25">
      <c r="A61" s="181" t="s">
        <v>167</v>
      </c>
      <c r="B61" s="193">
        <v>406</v>
      </c>
      <c r="C61" s="193">
        <v>1</v>
      </c>
      <c r="D61" s="193">
        <v>407</v>
      </c>
      <c r="E61" s="194">
        <f>VLOOKUP(A61,Homologacion!$C$1:$E$122,3,0)</f>
        <v>50094481</v>
      </c>
      <c r="F61" s="192">
        <v>0.99754299754299758</v>
      </c>
      <c r="G61" s="16">
        <v>7015480</v>
      </c>
      <c r="H61" s="11">
        <v>20</v>
      </c>
      <c r="I61" s="11">
        <v>20</v>
      </c>
    </row>
    <row r="62" spans="1:9" x14ac:dyDescent="0.25">
      <c r="A62" s="129" t="s">
        <v>169</v>
      </c>
      <c r="B62" s="193">
        <v>309</v>
      </c>
      <c r="C62" s="193">
        <v>19</v>
      </c>
      <c r="D62" s="193">
        <v>328</v>
      </c>
      <c r="E62" s="194">
        <f>VLOOKUP(A62,Homologacion!$C$1:$E$122,3,0)</f>
        <v>7009426</v>
      </c>
      <c r="F62" s="192">
        <v>0.94207317073170727</v>
      </c>
      <c r="G62" s="16">
        <v>50067909</v>
      </c>
      <c r="H62" s="11">
        <v>111</v>
      </c>
      <c r="I62" s="11">
        <v>114</v>
      </c>
    </row>
    <row r="63" spans="1:9" x14ac:dyDescent="0.25">
      <c r="A63" s="129" t="s">
        <v>29</v>
      </c>
      <c r="B63" s="193">
        <v>391</v>
      </c>
      <c r="C63" s="193">
        <v>3</v>
      </c>
      <c r="D63" s="193">
        <v>394</v>
      </c>
      <c r="E63" s="194">
        <f>VLOOKUP(A63,Homologacion!$C$1:$E$122,3,0)</f>
        <v>7058852</v>
      </c>
      <c r="F63" s="192">
        <v>0.99238578680203049</v>
      </c>
      <c r="G63" s="16" t="s">
        <v>114</v>
      </c>
      <c r="H63" s="11">
        <v>7343</v>
      </c>
      <c r="I63" s="11">
        <v>8270</v>
      </c>
    </row>
    <row r="64" spans="1:9" x14ac:dyDescent="0.25">
      <c r="A64" s="129"/>
      <c r="B64" s="193"/>
      <c r="C64" s="193"/>
      <c r="D64" s="193"/>
      <c r="E64" s="130"/>
      <c r="F64" s="192"/>
    </row>
    <row r="70" spans="1:10" ht="18.75" x14ac:dyDescent="0.3">
      <c r="A70" s="213" t="s">
        <v>535</v>
      </c>
      <c r="B70" s="212">
        <f>SUM(B4:B64)</f>
        <v>7343</v>
      </c>
      <c r="C70" s="212">
        <f>SUM(C4:C64)</f>
        <v>927</v>
      </c>
      <c r="D70" s="212">
        <f>SUM(D4:D64)</f>
        <v>8270</v>
      </c>
      <c r="E70" s="10"/>
    </row>
    <row r="71" spans="1:10" x14ac:dyDescent="0.25">
      <c r="E71" s="10"/>
    </row>
    <row r="72" spans="1:10" x14ac:dyDescent="0.25">
      <c r="E72" s="10"/>
    </row>
    <row r="73" spans="1:10" x14ac:dyDescent="0.25">
      <c r="E73" s="10"/>
    </row>
    <row r="74" spans="1:10" x14ac:dyDescent="0.25">
      <c r="C74" s="10"/>
      <c r="E74" s="10"/>
    </row>
    <row r="75" spans="1:10" x14ac:dyDescent="0.25">
      <c r="E75" s="10"/>
    </row>
    <row r="77" spans="1:10" x14ac:dyDescent="0.25">
      <c r="G77" s="190" t="s">
        <v>522</v>
      </c>
      <c r="H77" s="10"/>
      <c r="I77" s="10"/>
      <c r="J77" s="10"/>
    </row>
    <row r="78" spans="1:10" x14ac:dyDescent="0.25">
      <c r="G78" s="206" t="s">
        <v>16</v>
      </c>
      <c r="H78" s="207">
        <v>71</v>
      </c>
      <c r="I78" s="207">
        <v>28</v>
      </c>
      <c r="J78" s="207">
        <v>99</v>
      </c>
    </row>
    <row r="79" spans="1:10" x14ac:dyDescent="0.25">
      <c r="G79" s="206" t="s">
        <v>13</v>
      </c>
      <c r="H79" s="207">
        <v>8</v>
      </c>
      <c r="I79" s="207">
        <v>24</v>
      </c>
      <c r="J79" s="207">
        <v>32</v>
      </c>
    </row>
    <row r="80" spans="1:10" x14ac:dyDescent="0.25">
      <c r="G80" s="206" t="s">
        <v>7</v>
      </c>
      <c r="H80" s="207">
        <v>129</v>
      </c>
      <c r="I80" s="207">
        <v>61</v>
      </c>
      <c r="J80" s="207">
        <v>190</v>
      </c>
    </row>
    <row r="81" spans="7:10" x14ac:dyDescent="0.25">
      <c r="G81" s="206" t="s">
        <v>15</v>
      </c>
      <c r="H81" s="207">
        <v>132</v>
      </c>
      <c r="I81" s="207">
        <v>33</v>
      </c>
      <c r="J81" s="207">
        <v>165</v>
      </c>
    </row>
    <row r="82" spans="7:10" x14ac:dyDescent="0.25">
      <c r="G82" s="206" t="s">
        <v>91</v>
      </c>
      <c r="H82" s="207">
        <v>121</v>
      </c>
      <c r="I82" s="207">
        <v>3</v>
      </c>
      <c r="J82" s="207">
        <v>124</v>
      </c>
    </row>
    <row r="83" spans="7:10" x14ac:dyDescent="0.25">
      <c r="G83" s="129" t="s">
        <v>81</v>
      </c>
      <c r="H83" s="193">
        <v>20</v>
      </c>
      <c r="I83" s="193">
        <v>32</v>
      </c>
      <c r="J83" s="193">
        <v>52</v>
      </c>
    </row>
    <row r="84" spans="7:10" x14ac:dyDescent="0.25">
      <c r="G84" s="129" t="s">
        <v>35</v>
      </c>
      <c r="H84" s="193">
        <v>49</v>
      </c>
      <c r="I84" s="193">
        <v>44</v>
      </c>
      <c r="J84" s="193">
        <v>93</v>
      </c>
    </row>
    <row r="85" spans="7:10" x14ac:dyDescent="0.25">
      <c r="G85" s="174" t="s">
        <v>77</v>
      </c>
      <c r="H85" s="159">
        <v>36</v>
      </c>
      <c r="I85" s="159">
        <v>29</v>
      </c>
      <c r="J85" s="159">
        <v>65</v>
      </c>
    </row>
    <row r="86" spans="7:10" x14ac:dyDescent="0.25">
      <c r="G86" s="174" t="s">
        <v>26</v>
      </c>
      <c r="H86" s="159">
        <v>25</v>
      </c>
      <c r="I86" s="159">
        <v>39</v>
      </c>
      <c r="J86" s="159">
        <v>64</v>
      </c>
    </row>
    <row r="87" spans="7:10" x14ac:dyDescent="0.25">
      <c r="G87" s="174"/>
      <c r="H87" s="159"/>
      <c r="I87" s="159"/>
      <c r="J87" s="159"/>
    </row>
    <row r="88" spans="7:10" x14ac:dyDescent="0.25">
      <c r="G88" s="174"/>
      <c r="H88" s="159"/>
      <c r="I88" s="159"/>
      <c r="J88" s="159"/>
    </row>
    <row r="89" spans="7:10" x14ac:dyDescent="0.25">
      <c r="G89" s="174"/>
      <c r="H89" s="159"/>
      <c r="I89" s="159"/>
      <c r="J89" s="159"/>
    </row>
    <row r="90" spans="7:10" x14ac:dyDescent="0.25">
      <c r="G90" s="174"/>
      <c r="H90" s="159"/>
      <c r="I90" s="159"/>
      <c r="J90" s="159"/>
    </row>
    <row r="91" spans="7:10" x14ac:dyDescent="0.25">
      <c r="G91" s="174"/>
      <c r="H91" s="159"/>
      <c r="I91" s="159"/>
      <c r="J91" s="159"/>
    </row>
    <row r="92" spans="7:10" x14ac:dyDescent="0.25">
      <c r="G92" s="174"/>
      <c r="H92" s="159"/>
      <c r="I92" s="159"/>
      <c r="J92" s="159"/>
    </row>
    <row r="93" spans="7:10" x14ac:dyDescent="0.25">
      <c r="G93" s="174"/>
      <c r="H93" s="159"/>
      <c r="I93" s="159"/>
      <c r="J93" s="159"/>
    </row>
    <row r="94" spans="7:10" x14ac:dyDescent="0.25">
      <c r="G94" s="174"/>
      <c r="H94" s="159"/>
      <c r="I94" s="159"/>
      <c r="J94" s="159"/>
    </row>
    <row r="95" spans="7:10" x14ac:dyDescent="0.25">
      <c r="G95" s="174"/>
      <c r="H95" s="159"/>
      <c r="I95" s="159"/>
      <c r="J95" s="159"/>
    </row>
    <row r="96" spans="7:10" x14ac:dyDescent="0.25">
      <c r="G96" s="174"/>
      <c r="H96" s="159"/>
      <c r="I96" s="159"/>
      <c r="J96" s="159"/>
    </row>
    <row r="97" spans="7:10" x14ac:dyDescent="0.25">
      <c r="G97" s="174"/>
      <c r="H97" s="159"/>
      <c r="I97" s="159"/>
      <c r="J97" s="159"/>
    </row>
    <row r="98" spans="7:10" x14ac:dyDescent="0.25">
      <c r="G98" s="174"/>
      <c r="H98" s="159"/>
      <c r="I98" s="159"/>
      <c r="J98" s="159"/>
    </row>
    <row r="99" spans="7:10" x14ac:dyDescent="0.25">
      <c r="G99" s="174"/>
      <c r="H99" s="159"/>
      <c r="I99" s="159"/>
      <c r="J99" s="159"/>
    </row>
    <row r="100" spans="7:10" x14ac:dyDescent="0.25">
      <c r="H100" s="159"/>
      <c r="I100" s="159"/>
      <c r="J100" s="159"/>
    </row>
    <row r="101" spans="7:10" x14ac:dyDescent="0.25">
      <c r="H101" s="159"/>
      <c r="I101" s="159"/>
      <c r="J101" s="159"/>
    </row>
    <row r="102" spans="7:10" x14ac:dyDescent="0.25">
      <c r="H102" s="159"/>
      <c r="I102" s="159"/>
      <c r="J102" s="159"/>
    </row>
    <row r="103" spans="7:10" x14ac:dyDescent="0.25">
      <c r="H103" s="159"/>
      <c r="I103" s="159"/>
      <c r="J103" s="159"/>
    </row>
    <row r="104" spans="7:10" x14ac:dyDescent="0.25">
      <c r="H104" s="159"/>
      <c r="I104" s="159"/>
      <c r="J104" s="159"/>
    </row>
    <row r="105" spans="7:10" x14ac:dyDescent="0.25">
      <c r="H105" s="159"/>
      <c r="I105" s="159"/>
      <c r="J105" s="159"/>
    </row>
    <row r="106" spans="7:10" x14ac:dyDescent="0.25">
      <c r="H106" s="176">
        <f>SUM(H78:H104)</f>
        <v>591</v>
      </c>
      <c r="I106" s="176">
        <f>SUM(I78:I104)</f>
        <v>293</v>
      </c>
      <c r="J106" s="176">
        <f>SUM(J78:J104)</f>
        <v>884</v>
      </c>
    </row>
    <row r="107" spans="7:10" ht="23.25" x14ac:dyDescent="0.35">
      <c r="G107" s="177" t="s">
        <v>521</v>
      </c>
      <c r="H107" s="177">
        <f>+H106+B70</f>
        <v>7934</v>
      </c>
      <c r="I107" s="177">
        <f>+I106+C70</f>
        <v>1220</v>
      </c>
      <c r="J107" s="177">
        <f>+J106+D70</f>
        <v>9154</v>
      </c>
    </row>
  </sheetData>
  <pageMargins left="0.7" right="0.7" top="0.75" bottom="0.75" header="0.3" footer="0.3"/>
  <pageSetup orientation="portrait" horizontalDpi="4294967294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45"/>
  <sheetViews>
    <sheetView topLeftCell="R1" zoomScale="75" zoomScaleNormal="75" workbookViewId="0">
      <selection activeCell="AM7" sqref="AM7"/>
    </sheetView>
  </sheetViews>
  <sheetFormatPr baseColWidth="10" defaultRowHeight="12.75" outlineLevelCol="1" x14ac:dyDescent="0.2"/>
  <cols>
    <col min="1" max="1" width="27" style="25" bestFit="1" customWidth="1"/>
    <col min="2" max="2" width="15.7109375" style="25" bestFit="1" customWidth="1"/>
    <col min="3" max="3" width="6.28515625" style="87" bestFit="1" customWidth="1"/>
    <col min="4" max="4" width="12.85546875" style="87" bestFit="1" customWidth="1"/>
    <col min="5" max="5" width="19.5703125" style="80" bestFit="1" customWidth="1"/>
    <col min="6" max="6" width="19.140625" style="80" bestFit="1" customWidth="1"/>
    <col min="7" max="7" width="11.42578125" style="80"/>
    <col min="8" max="8" width="15.7109375" style="25" bestFit="1" customWidth="1"/>
    <col min="9" max="15" width="7.140625" style="80" customWidth="1" outlineLevel="1"/>
    <col min="16" max="16" width="7.140625" style="121" customWidth="1"/>
    <col min="17" max="18" width="7.140625" style="80" customWidth="1" outlineLevel="1"/>
    <col min="19" max="19" width="7.140625" style="121" customWidth="1"/>
    <col min="20" max="20" width="7.140625" style="80" customWidth="1" outlineLevel="1"/>
    <col min="21" max="21" width="7.140625" style="121" customWidth="1"/>
    <col min="22" max="23" width="7.140625" style="80" customWidth="1" outlineLevel="1"/>
    <col min="24" max="24" width="7.140625" style="121" customWidth="1"/>
    <col min="25" max="28" width="7.140625" style="80" customWidth="1" outlineLevel="1"/>
    <col min="29" max="29" width="7.140625" style="121" customWidth="1"/>
    <col min="30" max="32" width="7.140625" style="80" customWidth="1" outlineLevel="1"/>
    <col min="33" max="33" width="7.140625" style="80" customWidth="1"/>
    <col min="34" max="34" width="12.7109375" style="80" bestFit="1" customWidth="1"/>
    <col min="35" max="35" width="7.140625" style="80" customWidth="1"/>
    <col min="36" max="36" width="11.42578125" style="122"/>
    <col min="37" max="37" width="18.28515625" style="122" bestFit="1" customWidth="1"/>
    <col min="38" max="38" width="28.28515625" style="122" bestFit="1" customWidth="1"/>
    <col min="39" max="39" width="17.28515625" style="122" customWidth="1"/>
    <col min="40" max="40" width="10.42578125" style="122" bestFit="1" customWidth="1"/>
    <col min="41" max="113" width="11.42578125" style="122"/>
    <col min="114" max="16384" width="11.42578125" style="25"/>
  </cols>
  <sheetData>
    <row r="1" spans="1:113" ht="13.5" thickBot="1" x14ac:dyDescent="0.25">
      <c r="A1" s="98"/>
      <c r="B1" s="98"/>
      <c r="C1" s="99"/>
      <c r="D1" s="99"/>
      <c r="E1" s="100"/>
      <c r="F1" s="100"/>
      <c r="G1" s="100"/>
      <c r="H1" s="98"/>
      <c r="I1" s="101" t="s">
        <v>307</v>
      </c>
      <c r="J1" s="102"/>
      <c r="K1" s="102"/>
      <c r="L1" s="102"/>
      <c r="M1" s="102"/>
      <c r="N1" s="102"/>
      <c r="O1" s="102"/>
      <c r="P1" s="103"/>
      <c r="Q1" s="101" t="s">
        <v>308</v>
      </c>
      <c r="R1" s="102"/>
      <c r="S1" s="103"/>
      <c r="T1" s="101" t="s">
        <v>309</v>
      </c>
      <c r="U1" s="103"/>
      <c r="V1" s="101" t="s">
        <v>310</v>
      </c>
      <c r="W1" s="102"/>
      <c r="X1" s="103"/>
      <c r="Y1" s="101" t="s">
        <v>311</v>
      </c>
      <c r="Z1" s="102"/>
      <c r="AA1" s="102"/>
      <c r="AB1" s="102"/>
      <c r="AC1" s="103"/>
      <c r="AD1" s="101" t="s">
        <v>312</v>
      </c>
      <c r="AE1" s="102"/>
      <c r="AF1" s="102"/>
      <c r="AG1" s="103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</row>
    <row r="2" spans="1:113" ht="64.5" thickBot="1" x14ac:dyDescent="0.3">
      <c r="A2" s="104" t="s">
        <v>313</v>
      </c>
      <c r="B2" s="102" t="s">
        <v>314</v>
      </c>
      <c r="C2" s="105" t="s">
        <v>315</v>
      </c>
      <c r="D2" s="105" t="s">
        <v>316</v>
      </c>
      <c r="E2" s="104" t="s">
        <v>317</v>
      </c>
      <c r="F2" s="147" t="s">
        <v>326</v>
      </c>
      <c r="G2" s="102" t="s">
        <v>318</v>
      </c>
      <c r="H2" s="104" t="s">
        <v>319</v>
      </c>
      <c r="I2" s="106">
        <v>1</v>
      </c>
      <c r="J2" s="107">
        <v>2</v>
      </c>
      <c r="K2" s="107">
        <v>3</v>
      </c>
      <c r="L2" s="107">
        <v>4</v>
      </c>
      <c r="M2" s="107">
        <v>5</v>
      </c>
      <c r="N2" s="107">
        <v>6</v>
      </c>
      <c r="O2" s="107">
        <v>7</v>
      </c>
      <c r="P2" s="108" t="s">
        <v>307</v>
      </c>
      <c r="Q2" s="106">
        <v>8</v>
      </c>
      <c r="R2" s="109">
        <v>9</v>
      </c>
      <c r="S2" s="108" t="s">
        <v>320</v>
      </c>
      <c r="T2" s="110">
        <v>10</v>
      </c>
      <c r="U2" s="108" t="s">
        <v>309</v>
      </c>
      <c r="V2" s="106">
        <v>11</v>
      </c>
      <c r="W2" s="109">
        <v>12</v>
      </c>
      <c r="X2" s="108" t="s">
        <v>310</v>
      </c>
      <c r="Y2" s="106">
        <v>13</v>
      </c>
      <c r="Z2" s="107">
        <v>14</v>
      </c>
      <c r="AA2" s="107">
        <v>15</v>
      </c>
      <c r="AB2" s="107">
        <v>16</v>
      </c>
      <c r="AC2" s="108" t="s">
        <v>321</v>
      </c>
      <c r="AD2" s="106">
        <v>17</v>
      </c>
      <c r="AE2" s="107">
        <v>18</v>
      </c>
      <c r="AF2" s="109">
        <v>19</v>
      </c>
      <c r="AG2" s="108" t="s">
        <v>322</v>
      </c>
      <c r="AH2" s="101" t="s">
        <v>323</v>
      </c>
      <c r="AI2" s="111" t="s">
        <v>324</v>
      </c>
      <c r="AJ2" s="25"/>
      <c r="AK2" s="1" t="s">
        <v>326</v>
      </c>
      <c r="AL2" s="1" t="s">
        <v>317</v>
      </c>
      <c r="AM2" t="s">
        <v>325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</row>
    <row r="3" spans="1:113" ht="15" x14ac:dyDescent="0.25">
      <c r="A3" s="112" t="s">
        <v>546</v>
      </c>
      <c r="B3" s="112">
        <v>42804</v>
      </c>
      <c r="C3" s="113">
        <v>3</v>
      </c>
      <c r="D3" s="113">
        <v>1879255</v>
      </c>
      <c r="E3" s="114" t="s">
        <v>153</v>
      </c>
      <c r="F3" s="123">
        <f>VLOOKUP(E3,Homologacion!$B:$E,4,0)</f>
        <v>50016385</v>
      </c>
      <c r="G3" s="114" t="s">
        <v>523</v>
      </c>
      <c r="H3" s="112" t="s">
        <v>547</v>
      </c>
      <c r="I3" s="115">
        <v>0.15</v>
      </c>
      <c r="J3" s="115">
        <v>0.05</v>
      </c>
      <c r="K3" s="115">
        <v>0.1</v>
      </c>
      <c r="L3" s="115">
        <v>0.08</v>
      </c>
      <c r="M3" s="115">
        <v>0.05</v>
      </c>
      <c r="N3" s="115">
        <v>0.05</v>
      </c>
      <c r="O3" s="115">
        <v>0.05</v>
      </c>
      <c r="P3" s="116">
        <v>0.53</v>
      </c>
      <c r="Q3" s="115">
        <v>0</v>
      </c>
      <c r="R3" s="115">
        <v>0.03</v>
      </c>
      <c r="S3" s="116">
        <v>0.03</v>
      </c>
      <c r="T3" s="115">
        <v>0.04</v>
      </c>
      <c r="U3" s="116">
        <v>0.04</v>
      </c>
      <c r="V3" s="115">
        <v>0.08</v>
      </c>
      <c r="W3" s="115">
        <v>0.06</v>
      </c>
      <c r="X3" s="116">
        <v>0.14000000000000001</v>
      </c>
      <c r="Y3" s="115">
        <v>0.05</v>
      </c>
      <c r="Z3" s="115">
        <v>0.06</v>
      </c>
      <c r="AA3" s="115">
        <v>0.04</v>
      </c>
      <c r="AB3" s="115">
        <v>0.06</v>
      </c>
      <c r="AC3" s="116">
        <v>0.21</v>
      </c>
      <c r="AD3" s="117">
        <v>0</v>
      </c>
      <c r="AE3" s="117">
        <v>0</v>
      </c>
      <c r="AF3" s="117">
        <v>0</v>
      </c>
      <c r="AG3" s="118">
        <v>0</v>
      </c>
      <c r="AH3" s="119">
        <v>0.95000000000000018</v>
      </c>
      <c r="AI3" s="120" t="s">
        <v>510</v>
      </c>
      <c r="AJ3" s="25"/>
      <c r="AK3" s="10">
        <v>7002736</v>
      </c>
      <c r="AL3" s="10" t="s">
        <v>507</v>
      </c>
      <c r="AM3" s="11">
        <v>1.0000000000000002</v>
      </c>
      <c r="AN3" s="25">
        <f>VLOOKUP(AK3,ESPECIALISTA!$C$7:$C$123,1,0)</f>
        <v>7002736</v>
      </c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</row>
    <row r="4" spans="1:113" ht="15" x14ac:dyDescent="0.25">
      <c r="A4" s="112" t="s">
        <v>546</v>
      </c>
      <c r="B4" s="112">
        <v>42804</v>
      </c>
      <c r="C4" s="113">
        <v>3</v>
      </c>
      <c r="D4" s="113">
        <v>1941888</v>
      </c>
      <c r="E4" s="114" t="s">
        <v>506</v>
      </c>
      <c r="F4" s="123">
        <f>VLOOKUP(E4,Homologacion!$B:$E,4,0)</f>
        <v>50030022</v>
      </c>
      <c r="G4" s="114" t="s">
        <v>523</v>
      </c>
      <c r="H4" s="112" t="s">
        <v>547</v>
      </c>
      <c r="I4" s="115">
        <v>0.15</v>
      </c>
      <c r="J4" s="115">
        <v>0</v>
      </c>
      <c r="K4" s="115">
        <v>0.1</v>
      </c>
      <c r="L4" s="115">
        <v>0.08</v>
      </c>
      <c r="M4" s="115">
        <v>0.05</v>
      </c>
      <c r="N4" s="115">
        <v>0.05</v>
      </c>
      <c r="O4" s="115">
        <v>0.05</v>
      </c>
      <c r="P4" s="116">
        <v>0.48</v>
      </c>
      <c r="Q4" s="115">
        <v>0.05</v>
      </c>
      <c r="R4" s="115">
        <v>0.03</v>
      </c>
      <c r="S4" s="116">
        <v>0.08</v>
      </c>
      <c r="T4" s="115">
        <v>0.04</v>
      </c>
      <c r="U4" s="116">
        <v>0.04</v>
      </c>
      <c r="V4" s="115">
        <v>0.08</v>
      </c>
      <c r="W4" s="115">
        <v>0.06</v>
      </c>
      <c r="X4" s="116">
        <v>0.14000000000000001</v>
      </c>
      <c r="Y4" s="115">
        <v>0.05</v>
      </c>
      <c r="Z4" s="115">
        <v>0.06</v>
      </c>
      <c r="AA4" s="115">
        <v>0.04</v>
      </c>
      <c r="AB4" s="115">
        <v>0.06</v>
      </c>
      <c r="AC4" s="116">
        <v>0.21</v>
      </c>
      <c r="AD4" s="117">
        <v>0</v>
      </c>
      <c r="AE4" s="117">
        <v>0</v>
      </c>
      <c r="AF4" s="117">
        <v>0</v>
      </c>
      <c r="AG4" s="118">
        <v>0</v>
      </c>
      <c r="AH4" s="119">
        <v>0.95000000000000018</v>
      </c>
      <c r="AI4" s="120" t="s">
        <v>510</v>
      </c>
      <c r="AJ4" s="25"/>
      <c r="AK4" s="10">
        <v>50016385</v>
      </c>
      <c r="AL4" s="10" t="s">
        <v>153</v>
      </c>
      <c r="AM4" s="11">
        <v>0.95000000000000018</v>
      </c>
      <c r="AN4" s="25">
        <f>VLOOKUP(AK4,ESPECIALISTA!$C$7:$C$123,1,0)</f>
        <v>50016385</v>
      </c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</row>
    <row r="5" spans="1:113" ht="15" x14ac:dyDescent="0.25">
      <c r="A5" s="112" t="s">
        <v>546</v>
      </c>
      <c r="B5" s="112">
        <v>42804</v>
      </c>
      <c r="C5" s="113">
        <v>3</v>
      </c>
      <c r="D5" s="113">
        <v>1938762</v>
      </c>
      <c r="E5" s="114" t="s">
        <v>135</v>
      </c>
      <c r="F5" s="123">
        <f>VLOOKUP(E5,Homologacion!$B:$E,4,0)</f>
        <v>50097856</v>
      </c>
      <c r="G5" s="114" t="s">
        <v>537</v>
      </c>
      <c r="H5" s="112" t="s">
        <v>547</v>
      </c>
      <c r="I5" s="115">
        <v>0.15</v>
      </c>
      <c r="J5" s="115">
        <v>0.05</v>
      </c>
      <c r="K5" s="115">
        <v>0.1</v>
      </c>
      <c r="L5" s="115">
        <v>0.08</v>
      </c>
      <c r="M5" s="115">
        <v>0.05</v>
      </c>
      <c r="N5" s="115">
        <v>0.05</v>
      </c>
      <c r="O5" s="115">
        <v>0.05</v>
      </c>
      <c r="P5" s="116">
        <v>0.53</v>
      </c>
      <c r="Q5" s="115">
        <v>0.05</v>
      </c>
      <c r="R5" s="115">
        <v>0.03</v>
      </c>
      <c r="S5" s="116">
        <v>0.08</v>
      </c>
      <c r="T5" s="115">
        <v>0.04</v>
      </c>
      <c r="U5" s="116">
        <v>0.04</v>
      </c>
      <c r="V5" s="115">
        <v>0.08</v>
      </c>
      <c r="W5" s="115">
        <v>0.06</v>
      </c>
      <c r="X5" s="116">
        <v>0.14000000000000001</v>
      </c>
      <c r="Y5" s="115">
        <v>0.05</v>
      </c>
      <c r="Z5" s="115">
        <v>0.06</v>
      </c>
      <c r="AA5" s="115">
        <v>0</v>
      </c>
      <c r="AB5" s="115">
        <v>0</v>
      </c>
      <c r="AC5" s="116">
        <v>0.11</v>
      </c>
      <c r="AD5" s="117">
        <v>0</v>
      </c>
      <c r="AE5" s="117">
        <v>0</v>
      </c>
      <c r="AF5" s="117">
        <v>0</v>
      </c>
      <c r="AG5" s="118">
        <v>0</v>
      </c>
      <c r="AH5" s="119">
        <v>0.90000000000000013</v>
      </c>
      <c r="AI5" s="120" t="s">
        <v>510</v>
      </c>
      <c r="AJ5" s="25"/>
      <c r="AK5" s="10">
        <v>50033117</v>
      </c>
      <c r="AL5" s="10" t="s">
        <v>147</v>
      </c>
      <c r="AM5" s="11">
        <v>1.0000000000000002</v>
      </c>
      <c r="AN5" s="25">
        <f>VLOOKUP(AK5,ESPECIALISTA!$C$7:$C$123,1,0)</f>
        <v>50033117</v>
      </c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</row>
    <row r="6" spans="1:113" ht="15" x14ac:dyDescent="0.25">
      <c r="A6" s="112" t="s">
        <v>546</v>
      </c>
      <c r="B6" s="112">
        <v>42804</v>
      </c>
      <c r="C6" s="113">
        <v>3</v>
      </c>
      <c r="D6" s="113">
        <v>1864029</v>
      </c>
      <c r="E6" s="114" t="s">
        <v>507</v>
      </c>
      <c r="F6" s="123">
        <f>VLOOKUP(E6,Homologacion!$B:$E,4,0)</f>
        <v>7002736</v>
      </c>
      <c r="G6" s="114" t="s">
        <v>523</v>
      </c>
      <c r="H6" s="112" t="s">
        <v>547</v>
      </c>
      <c r="I6" s="115">
        <v>0.15</v>
      </c>
      <c r="J6" s="115">
        <v>0.05</v>
      </c>
      <c r="K6" s="115">
        <v>0.1</v>
      </c>
      <c r="L6" s="115">
        <v>0.08</v>
      </c>
      <c r="M6" s="115">
        <v>0.05</v>
      </c>
      <c r="N6" s="115">
        <v>0.05</v>
      </c>
      <c r="O6" s="115">
        <v>0.05</v>
      </c>
      <c r="P6" s="116">
        <v>0.53</v>
      </c>
      <c r="Q6" s="115">
        <v>0.05</v>
      </c>
      <c r="R6" s="115">
        <v>0.03</v>
      </c>
      <c r="S6" s="116">
        <v>0.08</v>
      </c>
      <c r="T6" s="115">
        <v>0.04</v>
      </c>
      <c r="U6" s="116">
        <v>0.04</v>
      </c>
      <c r="V6" s="115">
        <v>0.08</v>
      </c>
      <c r="W6" s="115">
        <v>0.06</v>
      </c>
      <c r="X6" s="116">
        <v>0.14000000000000001</v>
      </c>
      <c r="Y6" s="115">
        <v>0.05</v>
      </c>
      <c r="Z6" s="115">
        <v>0.06</v>
      </c>
      <c r="AA6" s="115">
        <v>0.04</v>
      </c>
      <c r="AB6" s="115">
        <v>0.06</v>
      </c>
      <c r="AC6" s="116">
        <v>0.21</v>
      </c>
      <c r="AD6" s="117">
        <v>0</v>
      </c>
      <c r="AE6" s="117">
        <v>0</v>
      </c>
      <c r="AF6" s="117">
        <v>0</v>
      </c>
      <c r="AG6" s="118">
        <v>0</v>
      </c>
      <c r="AH6" s="119">
        <v>1.0000000000000002</v>
      </c>
      <c r="AI6" s="120" t="s">
        <v>511</v>
      </c>
      <c r="AJ6" s="25"/>
      <c r="AK6" s="10">
        <v>50044239</v>
      </c>
      <c r="AL6" s="10" t="s">
        <v>343</v>
      </c>
      <c r="AM6" s="11">
        <v>0</v>
      </c>
      <c r="AN6" s="25">
        <f>VLOOKUP(AK6,ESPECIALISTA!$C$7:$C$123,1,0)</f>
        <v>50044239</v>
      </c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</row>
    <row r="7" spans="1:113" ht="15" x14ac:dyDescent="0.25">
      <c r="A7" s="112" t="s">
        <v>548</v>
      </c>
      <c r="B7" s="112">
        <v>42807</v>
      </c>
      <c r="C7" s="113">
        <v>3</v>
      </c>
      <c r="D7" s="113">
        <v>1923329</v>
      </c>
      <c r="E7" s="114" t="s">
        <v>153</v>
      </c>
      <c r="F7" s="123">
        <f>VLOOKUP(E7,Homologacion!$B:$E,4,0)</f>
        <v>50016385</v>
      </c>
      <c r="G7" s="114" t="s">
        <v>523</v>
      </c>
      <c r="H7" s="112" t="s">
        <v>547</v>
      </c>
      <c r="I7" s="115">
        <v>0.15</v>
      </c>
      <c r="J7" s="115">
        <v>0</v>
      </c>
      <c r="K7" s="115">
        <v>0.1</v>
      </c>
      <c r="L7" s="115">
        <v>0.08</v>
      </c>
      <c r="M7" s="115">
        <v>0.05</v>
      </c>
      <c r="N7" s="115">
        <v>0.05</v>
      </c>
      <c r="O7" s="115">
        <v>0.05</v>
      </c>
      <c r="P7" s="116">
        <v>0.48</v>
      </c>
      <c r="Q7" s="115">
        <v>0.05</v>
      </c>
      <c r="R7" s="115">
        <v>0.03</v>
      </c>
      <c r="S7" s="116">
        <v>0.08</v>
      </c>
      <c r="T7" s="115">
        <v>0.04</v>
      </c>
      <c r="U7" s="116">
        <v>0.04</v>
      </c>
      <c r="V7" s="115">
        <v>0.08</v>
      </c>
      <c r="W7" s="115">
        <v>0.06</v>
      </c>
      <c r="X7" s="116">
        <v>0.14000000000000001</v>
      </c>
      <c r="Y7" s="115">
        <v>0.05</v>
      </c>
      <c r="Z7" s="115">
        <v>0.06</v>
      </c>
      <c r="AA7" s="115">
        <v>0.04</v>
      </c>
      <c r="AB7" s="115">
        <v>0.06</v>
      </c>
      <c r="AC7" s="116">
        <v>0.21</v>
      </c>
      <c r="AD7" s="117">
        <v>0</v>
      </c>
      <c r="AE7" s="117">
        <v>0</v>
      </c>
      <c r="AF7" s="117">
        <v>0</v>
      </c>
      <c r="AG7" s="118">
        <v>0</v>
      </c>
      <c r="AH7" s="119">
        <v>0.95000000000000018</v>
      </c>
      <c r="AI7" s="120" t="s">
        <v>510</v>
      </c>
      <c r="AJ7" s="25"/>
      <c r="AK7" s="10">
        <v>7028749</v>
      </c>
      <c r="AL7" s="10" t="s">
        <v>499</v>
      </c>
      <c r="AM7" s="11">
        <v>0</v>
      </c>
      <c r="AN7" s="25">
        <f>VLOOKUP(AK7,ESPECIALISTA!$C$7:$C$123,1,0)</f>
        <v>7028749</v>
      </c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</row>
    <row r="8" spans="1:113" ht="15" x14ac:dyDescent="0.25">
      <c r="A8" s="112" t="s">
        <v>548</v>
      </c>
      <c r="B8" s="112">
        <v>42807</v>
      </c>
      <c r="C8" s="113">
        <v>3</v>
      </c>
      <c r="D8" s="113">
        <v>1937763</v>
      </c>
      <c r="E8" s="114" t="s">
        <v>352</v>
      </c>
      <c r="F8" s="123">
        <f>VLOOKUP(E8,Homologacion!$B:$E,4,0)</f>
        <v>7024375</v>
      </c>
      <c r="G8" s="114" t="s">
        <v>538</v>
      </c>
      <c r="H8" s="112" t="s">
        <v>547</v>
      </c>
      <c r="I8" s="115">
        <v>0.15</v>
      </c>
      <c r="J8" s="115">
        <v>0.05</v>
      </c>
      <c r="K8" s="115">
        <v>0.1</v>
      </c>
      <c r="L8" s="115">
        <v>0.08</v>
      </c>
      <c r="M8" s="115">
        <v>0.05</v>
      </c>
      <c r="N8" s="115">
        <v>0.05</v>
      </c>
      <c r="O8" s="115">
        <v>0.05</v>
      </c>
      <c r="P8" s="116">
        <v>0.53</v>
      </c>
      <c r="Q8" s="115">
        <v>0.05</v>
      </c>
      <c r="R8" s="115">
        <v>0.03</v>
      </c>
      <c r="S8" s="116">
        <v>0.08</v>
      </c>
      <c r="T8" s="115">
        <v>0.04</v>
      </c>
      <c r="U8" s="116">
        <v>0.04</v>
      </c>
      <c r="V8" s="115">
        <v>0.08</v>
      </c>
      <c r="W8" s="115">
        <v>0</v>
      </c>
      <c r="X8" s="116">
        <v>0.08</v>
      </c>
      <c r="Y8" s="115">
        <v>0.05</v>
      </c>
      <c r="Z8" s="115">
        <v>0.06</v>
      </c>
      <c r="AA8" s="115">
        <v>0.04</v>
      </c>
      <c r="AB8" s="115">
        <v>0.06</v>
      </c>
      <c r="AC8" s="116">
        <v>0.21</v>
      </c>
      <c r="AD8" s="117">
        <v>0</v>
      </c>
      <c r="AE8" s="117">
        <v>0</v>
      </c>
      <c r="AF8" s="117">
        <v>0</v>
      </c>
      <c r="AG8" s="118">
        <v>0</v>
      </c>
      <c r="AH8" s="119">
        <v>0.94000000000000017</v>
      </c>
      <c r="AI8" s="120" t="s">
        <v>510</v>
      </c>
      <c r="AJ8" s="25"/>
      <c r="AK8" s="10">
        <v>50050491</v>
      </c>
      <c r="AL8" s="10" t="s">
        <v>332</v>
      </c>
      <c r="AM8" s="11">
        <v>0</v>
      </c>
      <c r="AN8" s="25">
        <f>VLOOKUP(AK8,ESPECIALISTA!$C$7:$C$123,1,0)</f>
        <v>50050491</v>
      </c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</row>
    <row r="9" spans="1:113" ht="15" x14ac:dyDescent="0.25">
      <c r="A9" s="112" t="s">
        <v>548</v>
      </c>
      <c r="B9" s="112">
        <v>42808</v>
      </c>
      <c r="C9" s="113">
        <v>3</v>
      </c>
      <c r="D9" s="113">
        <v>1888130</v>
      </c>
      <c r="E9" s="114" t="s">
        <v>334</v>
      </c>
      <c r="F9" s="123">
        <f>VLOOKUP(E9,Homologacion!$B:$E,4,0)</f>
        <v>7052384</v>
      </c>
      <c r="G9" s="114" t="s">
        <v>539</v>
      </c>
      <c r="H9" s="112" t="s">
        <v>547</v>
      </c>
      <c r="I9" s="115">
        <v>0.15</v>
      </c>
      <c r="J9" s="115">
        <v>0.05</v>
      </c>
      <c r="K9" s="115">
        <v>0.1</v>
      </c>
      <c r="L9" s="115">
        <v>0.08</v>
      </c>
      <c r="M9" s="115">
        <v>0.05</v>
      </c>
      <c r="N9" s="115">
        <v>0</v>
      </c>
      <c r="O9" s="115">
        <v>0.05</v>
      </c>
      <c r="P9" s="116">
        <v>0.48000000000000004</v>
      </c>
      <c r="Q9" s="115">
        <v>0</v>
      </c>
      <c r="R9" s="115">
        <v>0</v>
      </c>
      <c r="S9" s="116">
        <v>0</v>
      </c>
      <c r="T9" s="115">
        <v>0.04</v>
      </c>
      <c r="U9" s="116">
        <v>0.04</v>
      </c>
      <c r="V9" s="115">
        <v>0.08</v>
      </c>
      <c r="W9" s="115">
        <v>0</v>
      </c>
      <c r="X9" s="116">
        <v>0.08</v>
      </c>
      <c r="Y9" s="115">
        <v>0.05</v>
      </c>
      <c r="Z9" s="115">
        <v>0.06</v>
      </c>
      <c r="AA9" s="115">
        <v>0.04</v>
      </c>
      <c r="AB9" s="115">
        <v>0.06</v>
      </c>
      <c r="AC9" s="116">
        <v>0.21</v>
      </c>
      <c r="AD9" s="117">
        <v>0</v>
      </c>
      <c r="AE9" s="117">
        <v>0</v>
      </c>
      <c r="AF9" s="117">
        <v>0</v>
      </c>
      <c r="AG9" s="118">
        <v>0</v>
      </c>
      <c r="AH9" s="119">
        <v>0.81</v>
      </c>
      <c r="AI9" s="120" t="s">
        <v>510</v>
      </c>
      <c r="AJ9" s="25"/>
      <c r="AK9" s="10">
        <v>7019425</v>
      </c>
      <c r="AL9" s="10" t="s">
        <v>345</v>
      </c>
      <c r="AM9" s="11">
        <v>0.89500000000000013</v>
      </c>
      <c r="AN9" s="25">
        <f>VLOOKUP(AK9,ESPECIALISTA!$C$7:$C$123,1,0)</f>
        <v>7019425</v>
      </c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</row>
    <row r="10" spans="1:113" ht="15" x14ac:dyDescent="0.25">
      <c r="A10" s="112" t="s">
        <v>548</v>
      </c>
      <c r="B10" s="112">
        <v>42811</v>
      </c>
      <c r="C10" s="113">
        <v>3</v>
      </c>
      <c r="D10" s="113">
        <v>1952718</v>
      </c>
      <c r="E10" s="114" t="s">
        <v>134</v>
      </c>
      <c r="F10" s="123">
        <f>VLOOKUP(E10,Homologacion!$B:$E,4,0)</f>
        <v>50071349</v>
      </c>
      <c r="G10" s="114" t="s">
        <v>540</v>
      </c>
      <c r="H10" s="112" t="s">
        <v>547</v>
      </c>
      <c r="I10" s="115">
        <v>0.15</v>
      </c>
      <c r="J10" s="115">
        <v>0</v>
      </c>
      <c r="K10" s="115">
        <v>0.1</v>
      </c>
      <c r="L10" s="115">
        <v>0.08</v>
      </c>
      <c r="M10" s="115">
        <v>0.05</v>
      </c>
      <c r="N10" s="115">
        <v>0.05</v>
      </c>
      <c r="O10" s="115">
        <v>0.05</v>
      </c>
      <c r="P10" s="116">
        <v>0.48</v>
      </c>
      <c r="Q10" s="115">
        <v>0.05</v>
      </c>
      <c r="R10" s="115">
        <v>0.03</v>
      </c>
      <c r="S10" s="116">
        <v>0.08</v>
      </c>
      <c r="T10" s="115">
        <v>0.04</v>
      </c>
      <c r="U10" s="116">
        <v>0.04</v>
      </c>
      <c r="V10" s="115">
        <v>0.08</v>
      </c>
      <c r="W10" s="115">
        <v>0.06</v>
      </c>
      <c r="X10" s="116">
        <v>0.14000000000000001</v>
      </c>
      <c r="Y10" s="115">
        <v>0.05</v>
      </c>
      <c r="Z10" s="115">
        <v>0.06</v>
      </c>
      <c r="AA10" s="115">
        <v>0.04</v>
      </c>
      <c r="AB10" s="115">
        <v>0</v>
      </c>
      <c r="AC10" s="116">
        <v>0.15</v>
      </c>
      <c r="AD10" s="117">
        <v>0</v>
      </c>
      <c r="AE10" s="117">
        <v>0</v>
      </c>
      <c r="AF10" s="117">
        <v>0</v>
      </c>
      <c r="AG10" s="118">
        <v>0</v>
      </c>
      <c r="AH10" s="119">
        <v>0.89000000000000012</v>
      </c>
      <c r="AI10" s="120" t="s">
        <v>510</v>
      </c>
      <c r="AJ10" s="25"/>
      <c r="AK10" s="10">
        <v>50030022</v>
      </c>
      <c r="AL10" s="10" t="s">
        <v>506</v>
      </c>
      <c r="AM10" s="11">
        <v>0.95000000000000018</v>
      </c>
      <c r="AN10" s="25">
        <f>VLOOKUP(AK10,ESPECIALISTA!$C$7:$C$123,1,0)</f>
        <v>50030022</v>
      </c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</row>
    <row r="11" spans="1:113" ht="15" x14ac:dyDescent="0.25">
      <c r="A11" s="112" t="s">
        <v>549</v>
      </c>
      <c r="B11" s="112">
        <v>42816</v>
      </c>
      <c r="C11" s="113">
        <v>3</v>
      </c>
      <c r="D11" s="113">
        <v>1981539</v>
      </c>
      <c r="E11" s="114" t="s">
        <v>329</v>
      </c>
      <c r="F11" s="123">
        <f>VLOOKUP(E11,Homologacion!$B:$E,4,0)</f>
        <v>7051709</v>
      </c>
      <c r="G11" s="114" t="s">
        <v>540</v>
      </c>
      <c r="H11" s="112" t="s">
        <v>547</v>
      </c>
      <c r="I11" s="115">
        <v>0.15</v>
      </c>
      <c r="J11" s="115">
        <v>0.05</v>
      </c>
      <c r="K11" s="115">
        <v>0.1</v>
      </c>
      <c r="L11" s="115">
        <v>0.08</v>
      </c>
      <c r="M11" s="115">
        <v>0.05</v>
      </c>
      <c r="N11" s="115">
        <v>0.05</v>
      </c>
      <c r="O11" s="115">
        <v>0.05</v>
      </c>
      <c r="P11" s="116">
        <v>0.53</v>
      </c>
      <c r="Q11" s="115">
        <v>0.05</v>
      </c>
      <c r="R11" s="115">
        <v>0.03</v>
      </c>
      <c r="S11" s="116">
        <v>0.08</v>
      </c>
      <c r="T11" s="115">
        <v>0.04</v>
      </c>
      <c r="U11" s="116">
        <v>0.04</v>
      </c>
      <c r="V11" s="115">
        <v>0.08</v>
      </c>
      <c r="W11" s="115">
        <v>0.06</v>
      </c>
      <c r="X11" s="116">
        <v>0.14000000000000001</v>
      </c>
      <c r="Y11" s="115">
        <v>0.05</v>
      </c>
      <c r="Z11" s="115">
        <v>0.06</v>
      </c>
      <c r="AA11" s="115">
        <v>0.04</v>
      </c>
      <c r="AB11" s="115">
        <v>0.06</v>
      </c>
      <c r="AC11" s="116">
        <v>0.21</v>
      </c>
      <c r="AD11" s="117">
        <v>0</v>
      </c>
      <c r="AE11" s="117">
        <v>0</v>
      </c>
      <c r="AF11" s="117">
        <v>0</v>
      </c>
      <c r="AG11" s="118">
        <v>0</v>
      </c>
      <c r="AH11" s="119">
        <v>1.0000000000000002</v>
      </c>
      <c r="AI11" s="120" t="s">
        <v>511</v>
      </c>
      <c r="AJ11" s="25"/>
      <c r="AK11" s="10" t="s">
        <v>526</v>
      </c>
      <c r="AL11" s="10" t="s">
        <v>526</v>
      </c>
      <c r="AM11" s="11">
        <v>4</v>
      </c>
      <c r="AN11" s="25" t="e">
        <f>VLOOKUP(AK11,ESPECIALISTA!$C$7:$C$123,1,0)</f>
        <v>#N/A</v>
      </c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</row>
    <row r="12" spans="1:113" ht="15" x14ac:dyDescent="0.25">
      <c r="A12" s="112" t="s">
        <v>549</v>
      </c>
      <c r="B12" s="112">
        <v>42818</v>
      </c>
      <c r="C12" s="113">
        <v>3</v>
      </c>
      <c r="D12" s="113">
        <v>1971209</v>
      </c>
      <c r="E12" s="114" t="s">
        <v>353</v>
      </c>
      <c r="F12" s="123">
        <f>VLOOKUP(E12,Homologacion!$B:$E,4,0)</f>
        <v>7030422</v>
      </c>
      <c r="G12" s="114" t="s">
        <v>523</v>
      </c>
      <c r="H12" s="112" t="s">
        <v>547</v>
      </c>
      <c r="I12" s="115">
        <v>0.15</v>
      </c>
      <c r="J12" s="115">
        <v>0.05</v>
      </c>
      <c r="K12" s="115">
        <v>0.1</v>
      </c>
      <c r="L12" s="115">
        <v>0.08</v>
      </c>
      <c r="M12" s="115">
        <v>0.05</v>
      </c>
      <c r="N12" s="115">
        <v>0.05</v>
      </c>
      <c r="O12" s="115">
        <v>0.05</v>
      </c>
      <c r="P12" s="116">
        <v>0.53</v>
      </c>
      <c r="Q12" s="115">
        <v>0.05</v>
      </c>
      <c r="R12" s="115">
        <v>0.03</v>
      </c>
      <c r="S12" s="116">
        <v>0.08</v>
      </c>
      <c r="T12" s="115">
        <v>0.04</v>
      </c>
      <c r="U12" s="116">
        <v>0.04</v>
      </c>
      <c r="V12" s="115">
        <v>0.08</v>
      </c>
      <c r="W12" s="115">
        <v>0.06</v>
      </c>
      <c r="X12" s="116">
        <v>0.14000000000000001</v>
      </c>
      <c r="Y12" s="115">
        <v>0.05</v>
      </c>
      <c r="Z12" s="115">
        <v>0.06</v>
      </c>
      <c r="AA12" s="115">
        <v>0.04</v>
      </c>
      <c r="AB12" s="115">
        <v>0.06</v>
      </c>
      <c r="AC12" s="116">
        <v>0.21</v>
      </c>
      <c r="AD12" s="117">
        <v>0</v>
      </c>
      <c r="AE12" s="117">
        <v>0</v>
      </c>
      <c r="AF12" s="117">
        <v>0</v>
      </c>
      <c r="AG12" s="118">
        <v>0</v>
      </c>
      <c r="AH12" s="119">
        <v>1.0000000000000002</v>
      </c>
      <c r="AI12" s="120" t="s">
        <v>511</v>
      </c>
      <c r="AJ12" s="25"/>
      <c r="AK12" s="10">
        <v>7052616</v>
      </c>
      <c r="AL12" s="10" t="s">
        <v>246</v>
      </c>
      <c r="AM12" s="11">
        <v>1.0000000000000002</v>
      </c>
      <c r="AN12" s="25">
        <f>VLOOKUP(AK12,ESPECIALISTA!$C$7:$C$123,1,0)</f>
        <v>7052616</v>
      </c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</row>
    <row r="13" spans="1:113" ht="15" x14ac:dyDescent="0.25">
      <c r="A13" s="112" t="s">
        <v>550</v>
      </c>
      <c r="B13" s="112">
        <v>42821</v>
      </c>
      <c r="C13" s="113">
        <v>3</v>
      </c>
      <c r="D13" s="113">
        <v>1856016</v>
      </c>
      <c r="E13" s="114" t="s">
        <v>345</v>
      </c>
      <c r="F13" s="123">
        <f>VLOOKUP(E13,Homologacion!$B:$E,4,0)</f>
        <v>7019425</v>
      </c>
      <c r="G13" s="114" t="s">
        <v>523</v>
      </c>
      <c r="H13" s="112" t="s">
        <v>547</v>
      </c>
      <c r="I13" s="115">
        <v>0.15</v>
      </c>
      <c r="J13" s="115">
        <v>0</v>
      </c>
      <c r="K13" s="115">
        <v>0.1</v>
      </c>
      <c r="L13" s="115">
        <v>0</v>
      </c>
      <c r="M13" s="115">
        <v>0.05</v>
      </c>
      <c r="N13" s="115">
        <v>0.05</v>
      </c>
      <c r="O13" s="115">
        <v>0.05</v>
      </c>
      <c r="P13" s="116">
        <v>0.39999999999999997</v>
      </c>
      <c r="Q13" s="115">
        <v>0.05</v>
      </c>
      <c r="R13" s="115">
        <v>0.03</v>
      </c>
      <c r="S13" s="116">
        <v>0.08</v>
      </c>
      <c r="T13" s="115">
        <v>0.04</v>
      </c>
      <c r="U13" s="116">
        <v>0.04</v>
      </c>
      <c r="V13" s="115">
        <v>0.08</v>
      </c>
      <c r="W13" s="115">
        <v>0.06</v>
      </c>
      <c r="X13" s="116">
        <v>0.14000000000000001</v>
      </c>
      <c r="Y13" s="115">
        <v>0.05</v>
      </c>
      <c r="Z13" s="115">
        <v>0.06</v>
      </c>
      <c r="AA13" s="115">
        <v>0.04</v>
      </c>
      <c r="AB13" s="115">
        <v>0.06</v>
      </c>
      <c r="AC13" s="116">
        <v>0.21</v>
      </c>
      <c r="AD13" s="117">
        <v>0</v>
      </c>
      <c r="AE13" s="117">
        <v>0</v>
      </c>
      <c r="AF13" s="117">
        <v>0</v>
      </c>
      <c r="AG13" s="118">
        <v>0</v>
      </c>
      <c r="AH13" s="119">
        <v>0.87000000000000011</v>
      </c>
      <c r="AI13" s="120" t="s">
        <v>510</v>
      </c>
      <c r="AJ13" s="25"/>
      <c r="AK13" s="10">
        <v>7030422</v>
      </c>
      <c r="AL13" s="10" t="s">
        <v>353</v>
      </c>
      <c r="AM13" s="11">
        <v>1.0000000000000002</v>
      </c>
      <c r="AN13" s="25">
        <f>VLOOKUP(AK13,ESPECIALISTA!$C$7:$C$123,1,0)</f>
        <v>7030422</v>
      </c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</row>
    <row r="14" spans="1:113" ht="15" x14ac:dyDescent="0.25">
      <c r="A14" s="112" t="s">
        <v>550</v>
      </c>
      <c r="B14" s="112">
        <v>42825</v>
      </c>
      <c r="C14" s="113">
        <v>3</v>
      </c>
      <c r="D14" s="113">
        <v>1855413</v>
      </c>
      <c r="E14" s="114" t="s">
        <v>142</v>
      </c>
      <c r="F14" s="123">
        <f>VLOOKUP(E14,Homologacion!$B:$E,4,0)</f>
        <v>50050962</v>
      </c>
      <c r="G14" s="114" t="s">
        <v>523</v>
      </c>
      <c r="H14" s="112" t="s">
        <v>547</v>
      </c>
      <c r="I14" s="115">
        <v>0.15</v>
      </c>
      <c r="J14" s="115">
        <v>0</v>
      </c>
      <c r="K14" s="115">
        <v>0.1</v>
      </c>
      <c r="L14" s="115">
        <v>0.08</v>
      </c>
      <c r="M14" s="115">
        <v>0.05</v>
      </c>
      <c r="N14" s="115">
        <v>0.05</v>
      </c>
      <c r="O14" s="115">
        <v>0.05</v>
      </c>
      <c r="P14" s="116">
        <v>0.48</v>
      </c>
      <c r="Q14" s="115">
        <v>0.05</v>
      </c>
      <c r="R14" s="115">
        <v>0.03</v>
      </c>
      <c r="S14" s="116">
        <v>0.08</v>
      </c>
      <c r="T14" s="115">
        <v>0.04</v>
      </c>
      <c r="U14" s="116">
        <v>0.04</v>
      </c>
      <c r="V14" s="115">
        <v>0.08</v>
      </c>
      <c r="W14" s="115">
        <v>0.06</v>
      </c>
      <c r="X14" s="116">
        <v>0.14000000000000001</v>
      </c>
      <c r="Y14" s="115">
        <v>0.05</v>
      </c>
      <c r="Z14" s="115">
        <v>0.06</v>
      </c>
      <c r="AA14" s="115">
        <v>0.04</v>
      </c>
      <c r="AB14" s="115">
        <v>0.06</v>
      </c>
      <c r="AC14" s="116">
        <v>0.21</v>
      </c>
      <c r="AD14" s="117">
        <v>0</v>
      </c>
      <c r="AE14" s="117">
        <v>0</v>
      </c>
      <c r="AF14" s="117">
        <v>0</v>
      </c>
      <c r="AG14" s="118">
        <v>0</v>
      </c>
      <c r="AH14" s="119">
        <v>0.95000000000000018</v>
      </c>
      <c r="AI14" s="120" t="s">
        <v>510</v>
      </c>
      <c r="AJ14" s="25"/>
      <c r="AK14" s="10">
        <v>7052384</v>
      </c>
      <c r="AL14" s="10" t="s">
        <v>334</v>
      </c>
      <c r="AM14" s="11">
        <v>0.81</v>
      </c>
      <c r="AN14" s="25">
        <f>VLOOKUP(AK14,ESPECIALISTA!$C$7:$C$123,1,0)</f>
        <v>7052384</v>
      </c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</row>
    <row r="15" spans="1:113" ht="15" x14ac:dyDescent="0.25">
      <c r="A15" s="112" t="s">
        <v>549</v>
      </c>
      <c r="B15" s="112">
        <v>42816</v>
      </c>
      <c r="C15" s="113">
        <v>3</v>
      </c>
      <c r="D15" s="113">
        <v>1954988</v>
      </c>
      <c r="E15" s="114" t="s">
        <v>147</v>
      </c>
      <c r="F15" s="123">
        <f>VLOOKUP(E15,Homologacion!$B:$E,4,0)</f>
        <v>50033117</v>
      </c>
      <c r="G15" s="114" t="s">
        <v>534</v>
      </c>
      <c r="H15" s="112" t="s">
        <v>547</v>
      </c>
      <c r="I15" s="115">
        <v>0.15</v>
      </c>
      <c r="J15" s="115">
        <v>0.05</v>
      </c>
      <c r="K15" s="115">
        <v>0.1</v>
      </c>
      <c r="L15" s="115">
        <v>0.08</v>
      </c>
      <c r="M15" s="115">
        <v>0.05</v>
      </c>
      <c r="N15" s="115">
        <v>0.05</v>
      </c>
      <c r="O15" s="115">
        <v>0.05</v>
      </c>
      <c r="P15" s="116">
        <v>0.53</v>
      </c>
      <c r="Q15" s="115">
        <v>0.05</v>
      </c>
      <c r="R15" s="115">
        <v>0.03</v>
      </c>
      <c r="S15" s="116">
        <v>0.08</v>
      </c>
      <c r="T15" s="115">
        <v>0.04</v>
      </c>
      <c r="U15" s="116">
        <v>0.04</v>
      </c>
      <c r="V15" s="115">
        <v>0.08</v>
      </c>
      <c r="W15" s="115">
        <v>0.06</v>
      </c>
      <c r="X15" s="116">
        <v>0.14000000000000001</v>
      </c>
      <c r="Y15" s="115">
        <v>0.05</v>
      </c>
      <c r="Z15" s="115">
        <v>0.06</v>
      </c>
      <c r="AA15" s="115">
        <v>0.04</v>
      </c>
      <c r="AB15" s="115">
        <v>0.06</v>
      </c>
      <c r="AC15" s="116">
        <v>0.21</v>
      </c>
      <c r="AD15" s="117">
        <v>0</v>
      </c>
      <c r="AE15" s="117">
        <v>0</v>
      </c>
      <c r="AF15" s="117">
        <v>0</v>
      </c>
      <c r="AG15" s="118">
        <v>0</v>
      </c>
      <c r="AH15" s="119">
        <v>1.0000000000000002</v>
      </c>
      <c r="AI15" s="120" t="s">
        <v>511</v>
      </c>
      <c r="AJ15" s="25"/>
      <c r="AK15" s="10">
        <v>7003932</v>
      </c>
      <c r="AL15" s="10" t="s">
        <v>245</v>
      </c>
      <c r="AM15" s="11">
        <v>1.0000000000000002</v>
      </c>
      <c r="AN15" s="25">
        <f>VLOOKUP(AK15,ESPECIALISTA!$C$7:$C$123,1,0)</f>
        <v>7003932</v>
      </c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</row>
    <row r="16" spans="1:113" ht="15" x14ac:dyDescent="0.25">
      <c r="A16" s="112" t="s">
        <v>549</v>
      </c>
      <c r="B16" s="112">
        <v>42818</v>
      </c>
      <c r="C16" s="113">
        <v>3</v>
      </c>
      <c r="D16" s="113">
        <v>1908628</v>
      </c>
      <c r="E16" s="114" t="s">
        <v>345</v>
      </c>
      <c r="F16" s="123">
        <f>VLOOKUP(E16,Homologacion!$B:$E,4,0)</f>
        <v>7019425</v>
      </c>
      <c r="G16" s="114" t="s">
        <v>523</v>
      </c>
      <c r="H16" s="112" t="s">
        <v>547</v>
      </c>
      <c r="I16" s="115">
        <v>0.15</v>
      </c>
      <c r="J16" s="115">
        <v>0.05</v>
      </c>
      <c r="K16" s="115">
        <v>0.1</v>
      </c>
      <c r="L16" s="115">
        <v>0</v>
      </c>
      <c r="M16" s="115">
        <v>0.05</v>
      </c>
      <c r="N16" s="115">
        <v>0.05</v>
      </c>
      <c r="O16" s="115">
        <v>0.05</v>
      </c>
      <c r="P16" s="116">
        <v>0.45</v>
      </c>
      <c r="Q16" s="115">
        <v>0.05</v>
      </c>
      <c r="R16" s="115">
        <v>0.03</v>
      </c>
      <c r="S16" s="116">
        <v>0.08</v>
      </c>
      <c r="T16" s="115">
        <v>0.04</v>
      </c>
      <c r="U16" s="116">
        <v>0.04</v>
      </c>
      <c r="V16" s="115">
        <v>0.08</v>
      </c>
      <c r="W16" s="115">
        <v>0.06</v>
      </c>
      <c r="X16" s="116">
        <v>0.14000000000000001</v>
      </c>
      <c r="Y16" s="115">
        <v>0.05</v>
      </c>
      <c r="Z16" s="115">
        <v>0.06</v>
      </c>
      <c r="AA16" s="115">
        <v>0.04</v>
      </c>
      <c r="AB16" s="115">
        <v>0.06</v>
      </c>
      <c r="AC16" s="116">
        <v>0.21</v>
      </c>
      <c r="AD16" s="117">
        <v>0</v>
      </c>
      <c r="AE16" s="117">
        <v>0</v>
      </c>
      <c r="AF16" s="117">
        <v>0</v>
      </c>
      <c r="AG16" s="118">
        <v>0</v>
      </c>
      <c r="AH16" s="119">
        <v>0.92000000000000015</v>
      </c>
      <c r="AI16" s="120" t="s">
        <v>510</v>
      </c>
      <c r="AJ16" s="25"/>
      <c r="AK16" s="10">
        <v>50071349</v>
      </c>
      <c r="AL16" s="10" t="s">
        <v>134</v>
      </c>
      <c r="AM16" s="11">
        <v>0.92000000000000015</v>
      </c>
      <c r="AN16" s="25">
        <f>VLOOKUP(AK16,ESPECIALISTA!$C$7:$C$123,1,0)</f>
        <v>50071349</v>
      </c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</row>
    <row r="17" spans="1:113" ht="15" x14ac:dyDescent="0.25">
      <c r="A17" s="112" t="s">
        <v>550</v>
      </c>
      <c r="B17" s="112">
        <v>42824</v>
      </c>
      <c r="C17" s="113">
        <v>3</v>
      </c>
      <c r="D17" s="113">
        <v>1988436</v>
      </c>
      <c r="E17" s="114" t="s">
        <v>134</v>
      </c>
      <c r="F17" s="123">
        <f>VLOOKUP(E17,Homologacion!$B:$E,4,0)</f>
        <v>50071349</v>
      </c>
      <c r="G17" s="114" t="s">
        <v>528</v>
      </c>
      <c r="H17" s="112" t="s">
        <v>547</v>
      </c>
      <c r="I17" s="115">
        <v>0.15</v>
      </c>
      <c r="J17" s="115">
        <v>0</v>
      </c>
      <c r="K17" s="115">
        <v>0.1</v>
      </c>
      <c r="L17" s="115">
        <v>0.08</v>
      </c>
      <c r="M17" s="115">
        <v>0.05</v>
      </c>
      <c r="N17" s="115">
        <v>0.05</v>
      </c>
      <c r="O17" s="115">
        <v>0.05</v>
      </c>
      <c r="P17" s="116">
        <v>0.48</v>
      </c>
      <c r="Q17" s="115">
        <v>0.05</v>
      </c>
      <c r="R17" s="115">
        <v>0.03</v>
      </c>
      <c r="S17" s="116">
        <v>0.08</v>
      </c>
      <c r="T17" s="115">
        <v>0.04</v>
      </c>
      <c r="U17" s="116">
        <v>0.04</v>
      </c>
      <c r="V17" s="115">
        <v>0.08</v>
      </c>
      <c r="W17" s="115">
        <v>0.06</v>
      </c>
      <c r="X17" s="116">
        <v>0.14000000000000001</v>
      </c>
      <c r="Y17" s="115">
        <v>0.05</v>
      </c>
      <c r="Z17" s="115">
        <v>0.06</v>
      </c>
      <c r="AA17" s="115">
        <v>0.04</v>
      </c>
      <c r="AB17" s="115">
        <v>0.06</v>
      </c>
      <c r="AC17" s="116">
        <v>0.21</v>
      </c>
      <c r="AD17" s="117">
        <v>0</v>
      </c>
      <c r="AE17" s="117">
        <v>0</v>
      </c>
      <c r="AF17" s="117">
        <v>0</v>
      </c>
      <c r="AG17" s="118">
        <v>0</v>
      </c>
      <c r="AH17" s="119">
        <v>0.95000000000000018</v>
      </c>
      <c r="AI17" s="120" t="s">
        <v>510</v>
      </c>
      <c r="AJ17" s="25"/>
      <c r="AK17" s="10">
        <v>50050962</v>
      </c>
      <c r="AL17" s="10" t="s">
        <v>142</v>
      </c>
      <c r="AM17" s="11">
        <v>0.95000000000000018</v>
      </c>
      <c r="AN17" s="25">
        <f>VLOOKUP(AK17,ESPECIALISTA!$C$7:$C$123,1,0)</f>
        <v>50050962</v>
      </c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</row>
    <row r="18" spans="1:113" ht="15" x14ac:dyDescent="0.25">
      <c r="A18" s="112" t="s">
        <v>533</v>
      </c>
      <c r="B18" s="112">
        <v>42821</v>
      </c>
      <c r="C18" s="113">
        <v>2</v>
      </c>
      <c r="D18" s="113">
        <v>1966191</v>
      </c>
      <c r="E18" s="114" t="s">
        <v>343</v>
      </c>
      <c r="F18" s="123">
        <f>VLOOKUP(E18,Homologacion!$B:$E,4,0)</f>
        <v>50044239</v>
      </c>
      <c r="G18" s="114" t="s">
        <v>541</v>
      </c>
      <c r="H18" s="112" t="s">
        <v>551</v>
      </c>
      <c r="I18" s="115">
        <v>0</v>
      </c>
      <c r="J18" s="115">
        <v>0</v>
      </c>
      <c r="K18" s="115">
        <v>0.1</v>
      </c>
      <c r="L18" s="115">
        <v>0.08</v>
      </c>
      <c r="M18" s="115">
        <v>0.05</v>
      </c>
      <c r="N18" s="115">
        <v>0.05</v>
      </c>
      <c r="O18" s="115">
        <v>0.05</v>
      </c>
      <c r="P18" s="116">
        <v>0.32999999999999996</v>
      </c>
      <c r="Q18" s="115">
        <v>0.05</v>
      </c>
      <c r="R18" s="115">
        <v>0.03</v>
      </c>
      <c r="S18" s="116">
        <v>0.08</v>
      </c>
      <c r="T18" s="115">
        <v>0</v>
      </c>
      <c r="U18" s="116">
        <v>0</v>
      </c>
      <c r="V18" s="115">
        <v>0.08</v>
      </c>
      <c r="W18" s="115">
        <v>0.06</v>
      </c>
      <c r="X18" s="116">
        <v>0.14000000000000001</v>
      </c>
      <c r="Y18" s="115">
        <v>0.05</v>
      </c>
      <c r="Z18" s="115">
        <v>0.06</v>
      </c>
      <c r="AA18" s="115">
        <v>0.04</v>
      </c>
      <c r="AB18" s="115">
        <v>0.06</v>
      </c>
      <c r="AC18" s="116">
        <v>0.21</v>
      </c>
      <c r="AD18" s="117">
        <v>1</v>
      </c>
      <c r="AE18" s="117">
        <v>1</v>
      </c>
      <c r="AF18" s="117">
        <v>0</v>
      </c>
      <c r="AG18" s="118">
        <v>1</v>
      </c>
      <c r="AH18" s="119">
        <v>0</v>
      </c>
      <c r="AI18" s="120" t="s">
        <v>510</v>
      </c>
      <c r="AJ18" s="25"/>
      <c r="AK18" s="10">
        <v>7032287</v>
      </c>
      <c r="AL18" s="10" t="s">
        <v>82</v>
      </c>
      <c r="AM18" s="11">
        <v>0</v>
      </c>
      <c r="AN18" s="25">
        <f>VLOOKUP(AK18,ESPECIALISTA!$C$7:$C$123,1,0)</f>
        <v>7032287</v>
      </c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</row>
    <row r="19" spans="1:113" ht="15" x14ac:dyDescent="0.25">
      <c r="A19" s="112" t="s">
        <v>552</v>
      </c>
      <c r="B19" s="112">
        <v>42821</v>
      </c>
      <c r="C19" s="113">
        <v>3</v>
      </c>
      <c r="D19" s="113">
        <v>1902528</v>
      </c>
      <c r="E19" s="114" t="s">
        <v>82</v>
      </c>
      <c r="F19" s="123">
        <f>VLOOKUP(E19,Homologacion!$B:$E,4,0)</f>
        <v>7032287</v>
      </c>
      <c r="G19" s="114" t="s">
        <v>542</v>
      </c>
      <c r="H19" s="112" t="s">
        <v>547</v>
      </c>
      <c r="I19" s="115">
        <v>0.15</v>
      </c>
      <c r="J19" s="115">
        <v>0.05</v>
      </c>
      <c r="K19" s="115">
        <v>0.1</v>
      </c>
      <c r="L19" s="115">
        <v>0.08</v>
      </c>
      <c r="M19" s="115">
        <v>0.05</v>
      </c>
      <c r="N19" s="115">
        <v>0.05</v>
      </c>
      <c r="O19" s="115">
        <v>0.05</v>
      </c>
      <c r="P19" s="116">
        <v>0.53</v>
      </c>
      <c r="Q19" s="115">
        <v>0.05</v>
      </c>
      <c r="R19" s="115">
        <v>0.03</v>
      </c>
      <c r="S19" s="116">
        <v>0.08</v>
      </c>
      <c r="T19" s="115">
        <v>0.04</v>
      </c>
      <c r="U19" s="116">
        <v>0.04</v>
      </c>
      <c r="V19" s="115">
        <v>0.08</v>
      </c>
      <c r="W19" s="115">
        <v>0.06</v>
      </c>
      <c r="X19" s="116">
        <v>0.14000000000000001</v>
      </c>
      <c r="Y19" s="115">
        <v>0.05</v>
      </c>
      <c r="Z19" s="115">
        <v>0.06</v>
      </c>
      <c r="AA19" s="115">
        <v>0</v>
      </c>
      <c r="AB19" s="115">
        <v>0.06</v>
      </c>
      <c r="AC19" s="116">
        <v>0.16999999999999998</v>
      </c>
      <c r="AD19" s="117">
        <v>0</v>
      </c>
      <c r="AE19" s="117">
        <v>1</v>
      </c>
      <c r="AF19" s="117">
        <v>0</v>
      </c>
      <c r="AG19" s="118">
        <v>1</v>
      </c>
      <c r="AH19" s="119">
        <v>0</v>
      </c>
      <c r="AI19" s="120" t="s">
        <v>510</v>
      </c>
      <c r="AJ19" s="25"/>
      <c r="AK19" s="10">
        <v>7051709</v>
      </c>
      <c r="AL19" s="10" t="s">
        <v>329</v>
      </c>
      <c r="AM19" s="11">
        <v>0.89500000000000013</v>
      </c>
      <c r="AN19" s="25">
        <f>VLOOKUP(AK19,ESPECIALISTA!$C$7:$C$123,1,0)</f>
        <v>7051709</v>
      </c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</row>
    <row r="20" spans="1:113" ht="15" x14ac:dyDescent="0.25">
      <c r="A20" s="112" t="s">
        <v>532</v>
      </c>
      <c r="B20" s="112">
        <v>42821</v>
      </c>
      <c r="C20" s="113">
        <v>2</v>
      </c>
      <c r="D20" s="113">
        <v>1959840</v>
      </c>
      <c r="E20" s="114" t="s">
        <v>329</v>
      </c>
      <c r="F20" s="123">
        <f>VLOOKUP(E20,Homologacion!$B:$E,4,0)</f>
        <v>7051709</v>
      </c>
      <c r="G20" s="114" t="s">
        <v>540</v>
      </c>
      <c r="H20" s="112" t="s">
        <v>551</v>
      </c>
      <c r="I20" s="115">
        <v>0</v>
      </c>
      <c r="J20" s="115">
        <v>0.05</v>
      </c>
      <c r="K20" s="115">
        <v>0.1</v>
      </c>
      <c r="L20" s="115">
        <v>0.08</v>
      </c>
      <c r="M20" s="115">
        <v>0.05</v>
      </c>
      <c r="N20" s="115">
        <v>0.05</v>
      </c>
      <c r="O20" s="115">
        <v>0.05</v>
      </c>
      <c r="P20" s="116">
        <v>0.38</v>
      </c>
      <c r="Q20" s="115">
        <v>0.05</v>
      </c>
      <c r="R20" s="115">
        <v>0.03</v>
      </c>
      <c r="S20" s="116">
        <v>0.08</v>
      </c>
      <c r="T20" s="115">
        <v>0.04</v>
      </c>
      <c r="U20" s="116">
        <v>0.04</v>
      </c>
      <c r="V20" s="115">
        <v>0.08</v>
      </c>
      <c r="W20" s="115">
        <v>0.06</v>
      </c>
      <c r="X20" s="116">
        <v>0.14000000000000001</v>
      </c>
      <c r="Y20" s="115">
        <v>0.05</v>
      </c>
      <c r="Z20" s="115">
        <v>0.06</v>
      </c>
      <c r="AA20" s="115">
        <v>0.04</v>
      </c>
      <c r="AB20" s="115">
        <v>0</v>
      </c>
      <c r="AC20" s="116">
        <v>0.15</v>
      </c>
      <c r="AD20" s="117">
        <v>0</v>
      </c>
      <c r="AE20" s="117">
        <v>0</v>
      </c>
      <c r="AF20" s="117">
        <v>0</v>
      </c>
      <c r="AG20" s="118">
        <v>0</v>
      </c>
      <c r="AH20" s="119">
        <v>0.79</v>
      </c>
      <c r="AI20" s="120" t="s">
        <v>510</v>
      </c>
      <c r="AJ20" s="25"/>
      <c r="AK20" s="10">
        <v>7007842</v>
      </c>
      <c r="AL20" s="10" t="s">
        <v>136</v>
      </c>
      <c r="AM20" s="11">
        <v>0.8600000000000001</v>
      </c>
      <c r="AN20" s="25">
        <f>VLOOKUP(AK20,ESPECIALISTA!$C$7:$C$123,1,0)</f>
        <v>7007842</v>
      </c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</row>
    <row r="21" spans="1:113" ht="15" x14ac:dyDescent="0.25">
      <c r="A21" s="112" t="s">
        <v>532</v>
      </c>
      <c r="B21" s="112">
        <v>42821</v>
      </c>
      <c r="C21" s="113">
        <v>2</v>
      </c>
      <c r="D21" s="113">
        <v>1952049</v>
      </c>
      <c r="E21" s="114" t="s">
        <v>332</v>
      </c>
      <c r="F21" s="123">
        <f>VLOOKUP(E21,Homologacion!$B:$E,4,0)</f>
        <v>50050491</v>
      </c>
      <c r="G21" s="114" t="s">
        <v>540</v>
      </c>
      <c r="H21" s="112" t="s">
        <v>551</v>
      </c>
      <c r="I21" s="115">
        <v>0</v>
      </c>
      <c r="J21" s="115">
        <v>0.05</v>
      </c>
      <c r="K21" s="115">
        <v>0</v>
      </c>
      <c r="L21" s="115">
        <v>0</v>
      </c>
      <c r="M21" s="115">
        <v>0</v>
      </c>
      <c r="N21" s="115">
        <v>0.05</v>
      </c>
      <c r="O21" s="115">
        <v>0.05</v>
      </c>
      <c r="P21" s="116">
        <v>0.15000000000000002</v>
      </c>
      <c r="Q21" s="115">
        <v>0.05</v>
      </c>
      <c r="R21" s="115">
        <v>0.03</v>
      </c>
      <c r="S21" s="116">
        <v>0.08</v>
      </c>
      <c r="T21" s="115">
        <v>0.04</v>
      </c>
      <c r="U21" s="116">
        <v>0.04</v>
      </c>
      <c r="V21" s="115">
        <v>0.08</v>
      </c>
      <c r="W21" s="115">
        <v>0.06</v>
      </c>
      <c r="X21" s="116">
        <v>0.14000000000000001</v>
      </c>
      <c r="Y21" s="115">
        <v>0.05</v>
      </c>
      <c r="Z21" s="115">
        <v>0.06</v>
      </c>
      <c r="AA21" s="115">
        <v>0.04</v>
      </c>
      <c r="AB21" s="115">
        <v>0</v>
      </c>
      <c r="AC21" s="116">
        <v>0.15</v>
      </c>
      <c r="AD21" s="117">
        <v>0</v>
      </c>
      <c r="AE21" s="117">
        <v>1</v>
      </c>
      <c r="AF21" s="117">
        <v>0</v>
      </c>
      <c r="AG21" s="118">
        <v>1</v>
      </c>
      <c r="AH21" s="119">
        <v>0</v>
      </c>
      <c r="AI21" s="120" t="s">
        <v>510</v>
      </c>
      <c r="AJ21" s="25"/>
      <c r="AK21" s="10">
        <v>7024375</v>
      </c>
      <c r="AL21" s="10" t="s">
        <v>352</v>
      </c>
      <c r="AM21" s="11">
        <v>0.94000000000000017</v>
      </c>
      <c r="AN21" s="25">
        <f>VLOOKUP(AK21,ESPECIALISTA!$C$7:$C$123,1,0)</f>
        <v>7024375</v>
      </c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</row>
    <row r="22" spans="1:113" ht="15" x14ac:dyDescent="0.25">
      <c r="A22" s="112" t="s">
        <v>548</v>
      </c>
      <c r="B22" s="112">
        <v>42828</v>
      </c>
      <c r="C22" s="113">
        <v>3</v>
      </c>
      <c r="D22" s="113">
        <v>1955660</v>
      </c>
      <c r="E22" s="114" t="s">
        <v>136</v>
      </c>
      <c r="F22" s="123">
        <f>VLOOKUP(E22,Homologacion!$B:$E,4,0)</f>
        <v>7007842</v>
      </c>
      <c r="G22" s="114" t="s">
        <v>543</v>
      </c>
      <c r="H22" s="112" t="s">
        <v>547</v>
      </c>
      <c r="I22" s="115">
        <v>0.15</v>
      </c>
      <c r="J22" s="115">
        <v>0.05</v>
      </c>
      <c r="K22" s="115">
        <v>0.1</v>
      </c>
      <c r="L22" s="115">
        <v>0.08</v>
      </c>
      <c r="M22" s="115">
        <v>0.05</v>
      </c>
      <c r="N22" s="115">
        <v>0</v>
      </c>
      <c r="O22" s="115">
        <v>0.05</v>
      </c>
      <c r="P22" s="116">
        <v>0.48000000000000004</v>
      </c>
      <c r="Q22" s="115">
        <v>0.05</v>
      </c>
      <c r="R22" s="115">
        <v>0</v>
      </c>
      <c r="S22" s="116">
        <v>0.05</v>
      </c>
      <c r="T22" s="115">
        <v>0.04</v>
      </c>
      <c r="U22" s="116">
        <v>0.04</v>
      </c>
      <c r="V22" s="115">
        <v>0.08</v>
      </c>
      <c r="W22" s="115">
        <v>0</v>
      </c>
      <c r="X22" s="116">
        <v>0.08</v>
      </c>
      <c r="Y22" s="115">
        <v>0.05</v>
      </c>
      <c r="Z22" s="115">
        <v>0.06</v>
      </c>
      <c r="AA22" s="115">
        <v>0.04</v>
      </c>
      <c r="AB22" s="115">
        <v>0.06</v>
      </c>
      <c r="AC22" s="116">
        <v>0.21</v>
      </c>
      <c r="AD22" s="117">
        <v>0</v>
      </c>
      <c r="AE22" s="117">
        <v>0</v>
      </c>
      <c r="AF22" s="117">
        <v>0</v>
      </c>
      <c r="AG22" s="118">
        <v>0</v>
      </c>
      <c r="AH22" s="119">
        <v>0.8600000000000001</v>
      </c>
      <c r="AI22" s="120" t="s">
        <v>510</v>
      </c>
      <c r="AJ22" s="25"/>
      <c r="AK22" s="10">
        <v>50097856</v>
      </c>
      <c r="AL22" s="10" t="s">
        <v>135</v>
      </c>
      <c r="AM22" s="11">
        <v>0.90000000000000013</v>
      </c>
      <c r="AN22" s="25">
        <f>VLOOKUP(AK22,ESPECIALISTA!$C$7:$C$123,1,0)</f>
        <v>50097856</v>
      </c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</row>
    <row r="23" spans="1:113" ht="15" x14ac:dyDescent="0.25">
      <c r="A23" s="112" t="s">
        <v>548</v>
      </c>
      <c r="B23" s="112">
        <v>42828</v>
      </c>
      <c r="C23" s="113">
        <v>3</v>
      </c>
      <c r="D23" s="113">
        <v>1972553</v>
      </c>
      <c r="E23" s="114" t="s">
        <v>246</v>
      </c>
      <c r="F23" s="123">
        <f>VLOOKUP(E23,Homologacion!$B:$E,4,0)</f>
        <v>7052616</v>
      </c>
      <c r="G23" s="114" t="s">
        <v>542</v>
      </c>
      <c r="H23" s="112" t="s">
        <v>547</v>
      </c>
      <c r="I23" s="115">
        <v>0.15</v>
      </c>
      <c r="J23" s="115">
        <v>0.05</v>
      </c>
      <c r="K23" s="115">
        <v>0.1</v>
      </c>
      <c r="L23" s="115">
        <v>0.08</v>
      </c>
      <c r="M23" s="115">
        <v>0.05</v>
      </c>
      <c r="N23" s="115">
        <v>0.05</v>
      </c>
      <c r="O23" s="115">
        <v>0.05</v>
      </c>
      <c r="P23" s="116">
        <v>0.53</v>
      </c>
      <c r="Q23" s="115">
        <v>0.05</v>
      </c>
      <c r="R23" s="115">
        <v>0.03</v>
      </c>
      <c r="S23" s="116">
        <v>0.08</v>
      </c>
      <c r="T23" s="115">
        <v>0.04</v>
      </c>
      <c r="U23" s="116">
        <v>0.04</v>
      </c>
      <c r="V23" s="115">
        <v>0.08</v>
      </c>
      <c r="W23" s="115">
        <v>0.06</v>
      </c>
      <c r="X23" s="116">
        <v>0.14000000000000001</v>
      </c>
      <c r="Y23" s="115">
        <v>0.05</v>
      </c>
      <c r="Z23" s="115">
        <v>0.06</v>
      </c>
      <c r="AA23" s="115">
        <v>0.04</v>
      </c>
      <c r="AB23" s="115">
        <v>0.06</v>
      </c>
      <c r="AC23" s="116">
        <v>0.21</v>
      </c>
      <c r="AD23" s="117">
        <v>0</v>
      </c>
      <c r="AE23" s="117">
        <v>0</v>
      </c>
      <c r="AF23" s="117">
        <v>0</v>
      </c>
      <c r="AG23" s="118">
        <v>0</v>
      </c>
      <c r="AH23" s="119">
        <v>1.0000000000000002</v>
      </c>
      <c r="AI23" s="120" t="s">
        <v>511</v>
      </c>
      <c r="AJ23" s="25"/>
      <c r="AK23" s="10" t="s">
        <v>114</v>
      </c>
      <c r="AL23"/>
      <c r="AM23" s="11">
        <v>0.90541666666666665</v>
      </c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</row>
    <row r="24" spans="1:113" ht="15" x14ac:dyDescent="0.25">
      <c r="A24" s="112" t="s">
        <v>546</v>
      </c>
      <c r="B24" s="112">
        <v>42828</v>
      </c>
      <c r="C24" s="113">
        <v>3</v>
      </c>
      <c r="D24" s="113">
        <v>1975407</v>
      </c>
      <c r="E24" s="114" t="s">
        <v>499</v>
      </c>
      <c r="F24" s="123">
        <f>VLOOKUP(E24,Homologacion!$B:$E,4,0)</f>
        <v>7028749</v>
      </c>
      <c r="G24" s="114" t="s">
        <v>544</v>
      </c>
      <c r="H24" s="112" t="s">
        <v>547</v>
      </c>
      <c r="I24" s="115">
        <v>0.15</v>
      </c>
      <c r="J24" s="115">
        <v>0</v>
      </c>
      <c r="K24" s="115">
        <v>0.1</v>
      </c>
      <c r="L24" s="115">
        <v>0.08</v>
      </c>
      <c r="M24" s="115">
        <v>0.05</v>
      </c>
      <c r="N24" s="115">
        <v>0.05</v>
      </c>
      <c r="O24" s="115">
        <v>0.05</v>
      </c>
      <c r="P24" s="116">
        <v>0.48</v>
      </c>
      <c r="Q24" s="115">
        <v>0.05</v>
      </c>
      <c r="R24" s="115">
        <v>0</v>
      </c>
      <c r="S24" s="116">
        <v>0.05</v>
      </c>
      <c r="T24" s="115">
        <v>0.04</v>
      </c>
      <c r="U24" s="116">
        <v>0.04</v>
      </c>
      <c r="V24" s="115">
        <v>0.08</v>
      </c>
      <c r="W24" s="115">
        <v>0</v>
      </c>
      <c r="X24" s="116">
        <v>0.08</v>
      </c>
      <c r="Y24" s="115">
        <v>0.05</v>
      </c>
      <c r="Z24" s="115">
        <v>0.06</v>
      </c>
      <c r="AA24" s="115">
        <v>0.04</v>
      </c>
      <c r="AB24" s="115">
        <v>0.06</v>
      </c>
      <c r="AC24" s="116">
        <v>0.21</v>
      </c>
      <c r="AD24" s="117">
        <v>1</v>
      </c>
      <c r="AE24" s="117">
        <v>0</v>
      </c>
      <c r="AF24" s="117">
        <v>0</v>
      </c>
      <c r="AG24" s="118">
        <v>1</v>
      </c>
      <c r="AH24" s="119">
        <v>0</v>
      </c>
      <c r="AI24" s="120" t="s">
        <v>510</v>
      </c>
      <c r="AJ24" s="25"/>
      <c r="AK24"/>
      <c r="AL24"/>
      <c r="AM24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</row>
    <row r="25" spans="1:113" ht="15" x14ac:dyDescent="0.25">
      <c r="A25" s="112" t="s">
        <v>533</v>
      </c>
      <c r="B25" s="112">
        <v>42828</v>
      </c>
      <c r="C25" s="113">
        <v>3</v>
      </c>
      <c r="D25" s="113">
        <v>1969624</v>
      </c>
      <c r="E25" s="114" t="s">
        <v>245</v>
      </c>
      <c r="F25" s="123">
        <f>VLOOKUP(E25,Homologacion!$B:$E,4,0)</f>
        <v>7003932</v>
      </c>
      <c r="G25" s="114" t="s">
        <v>545</v>
      </c>
      <c r="H25" s="112" t="s">
        <v>547</v>
      </c>
      <c r="I25" s="115">
        <v>0.15</v>
      </c>
      <c r="J25" s="115">
        <v>0.05</v>
      </c>
      <c r="K25" s="115">
        <v>0.1</v>
      </c>
      <c r="L25" s="115">
        <v>0.08</v>
      </c>
      <c r="M25" s="115">
        <v>0.05</v>
      </c>
      <c r="N25" s="115">
        <v>0.05</v>
      </c>
      <c r="O25" s="115">
        <v>0.05</v>
      </c>
      <c r="P25" s="116">
        <v>0.53</v>
      </c>
      <c r="Q25" s="115">
        <v>0.05</v>
      </c>
      <c r="R25" s="115">
        <v>0.03</v>
      </c>
      <c r="S25" s="116">
        <v>0.08</v>
      </c>
      <c r="T25" s="115">
        <v>0.04</v>
      </c>
      <c r="U25" s="116">
        <v>0.04</v>
      </c>
      <c r="V25" s="115">
        <v>0.08</v>
      </c>
      <c r="W25" s="115">
        <v>0.06</v>
      </c>
      <c r="X25" s="116">
        <v>0.14000000000000001</v>
      </c>
      <c r="Y25" s="115">
        <v>0.05</v>
      </c>
      <c r="Z25" s="115">
        <v>0.06</v>
      </c>
      <c r="AA25" s="115">
        <v>0.04</v>
      </c>
      <c r="AB25" s="115">
        <v>0.06</v>
      </c>
      <c r="AC25" s="116">
        <v>0.21</v>
      </c>
      <c r="AD25" s="117">
        <v>0</v>
      </c>
      <c r="AE25" s="117">
        <v>0</v>
      </c>
      <c r="AF25" s="117">
        <v>0</v>
      </c>
      <c r="AG25" s="118">
        <v>0</v>
      </c>
      <c r="AH25" s="119">
        <v>1.0000000000000002</v>
      </c>
      <c r="AI25" s="120" t="s">
        <v>511</v>
      </c>
      <c r="AJ25" s="25"/>
      <c r="AK25"/>
      <c r="AL25"/>
      <c r="AM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</row>
    <row r="26" spans="1:113" ht="15" x14ac:dyDescent="0.25">
      <c r="G26" s="200">
        <v>23</v>
      </c>
      <c r="H26" s="210" t="s">
        <v>529</v>
      </c>
      <c r="I26" s="182">
        <v>20</v>
      </c>
      <c r="J26" s="182">
        <v>15</v>
      </c>
      <c r="K26" s="182">
        <v>22</v>
      </c>
      <c r="L26" s="182">
        <v>20</v>
      </c>
      <c r="M26" s="182">
        <v>22</v>
      </c>
      <c r="N26" s="182">
        <v>21</v>
      </c>
      <c r="O26" s="182">
        <v>23</v>
      </c>
      <c r="P26" s="183">
        <v>10</v>
      </c>
      <c r="Q26" s="182">
        <v>21</v>
      </c>
      <c r="R26" s="182">
        <v>20</v>
      </c>
      <c r="S26" s="183">
        <v>19</v>
      </c>
      <c r="T26" s="182">
        <v>22</v>
      </c>
      <c r="U26" s="183">
        <v>22</v>
      </c>
      <c r="V26" s="182">
        <v>23</v>
      </c>
      <c r="W26" s="182">
        <v>19</v>
      </c>
      <c r="X26" s="183">
        <v>19</v>
      </c>
      <c r="Y26" s="182">
        <v>23</v>
      </c>
      <c r="Z26" s="182">
        <v>23</v>
      </c>
      <c r="AA26" s="182">
        <v>21</v>
      </c>
      <c r="AB26" s="182">
        <v>19</v>
      </c>
      <c r="AC26" s="183">
        <v>18</v>
      </c>
      <c r="AD26" s="182">
        <v>2</v>
      </c>
      <c r="AE26" s="182">
        <v>3</v>
      </c>
      <c r="AF26" s="182">
        <v>0</v>
      </c>
      <c r="AG26" s="183">
        <v>4</v>
      </c>
      <c r="AH26" s="184">
        <v>4</v>
      </c>
      <c r="AI26" s="185"/>
      <c r="AJ26" s="25"/>
      <c r="AK26"/>
      <c r="AL26"/>
      <c r="AM26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</row>
    <row r="27" spans="1:113" ht="15" x14ac:dyDescent="0.25">
      <c r="G27" s="197"/>
      <c r="H27" s="211" t="s">
        <v>530</v>
      </c>
      <c r="I27" s="186">
        <v>0.15</v>
      </c>
      <c r="J27" s="186">
        <v>0.05</v>
      </c>
      <c r="K27" s="186">
        <v>0.1</v>
      </c>
      <c r="L27" s="186">
        <v>0.08</v>
      </c>
      <c r="M27" s="186">
        <v>0.05</v>
      </c>
      <c r="N27" s="186">
        <v>0.05</v>
      </c>
      <c r="O27" s="186">
        <v>0.05</v>
      </c>
      <c r="P27" s="187">
        <v>0.53</v>
      </c>
      <c r="Q27" s="186">
        <v>0.05</v>
      </c>
      <c r="R27" s="186">
        <v>0.03</v>
      </c>
      <c r="S27" s="187">
        <v>0.08</v>
      </c>
      <c r="T27" s="186">
        <v>0.04</v>
      </c>
      <c r="U27" s="187">
        <v>0.04</v>
      </c>
      <c r="V27" s="186">
        <v>0.08</v>
      </c>
      <c r="W27" s="186">
        <v>0.06</v>
      </c>
      <c r="X27" s="187">
        <v>0.14000000000000001</v>
      </c>
      <c r="Y27" s="186">
        <v>0.05</v>
      </c>
      <c r="Z27" s="186">
        <v>0.06</v>
      </c>
      <c r="AA27" s="186">
        <v>0.04</v>
      </c>
      <c r="AB27" s="186">
        <v>0.06</v>
      </c>
      <c r="AC27" s="187">
        <v>0.21</v>
      </c>
      <c r="AD27" s="186">
        <v>1</v>
      </c>
      <c r="AE27" s="186">
        <v>1</v>
      </c>
      <c r="AF27" s="186">
        <v>1</v>
      </c>
      <c r="AG27" s="187">
        <v>1</v>
      </c>
      <c r="AH27" s="197"/>
      <c r="AI27" s="197"/>
      <c r="AJ27" s="25"/>
      <c r="AK27"/>
      <c r="AL27"/>
      <c r="AM27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</row>
    <row r="28" spans="1:113" ht="15" x14ac:dyDescent="0.25">
      <c r="G28" s="197"/>
      <c r="H28" s="211" t="s">
        <v>531</v>
      </c>
      <c r="I28" s="188">
        <v>1</v>
      </c>
      <c r="J28" s="188">
        <v>2</v>
      </c>
      <c r="K28" s="188">
        <v>3</v>
      </c>
      <c r="L28" s="188">
        <v>4</v>
      </c>
      <c r="M28" s="188">
        <v>5</v>
      </c>
      <c r="N28" s="188">
        <v>6</v>
      </c>
      <c r="O28" s="188">
        <v>7</v>
      </c>
      <c r="Q28" s="188">
        <v>8</v>
      </c>
      <c r="R28" s="188">
        <v>9</v>
      </c>
      <c r="T28" s="188">
        <v>10</v>
      </c>
      <c r="V28" s="188">
        <v>11</v>
      </c>
      <c r="W28" s="188">
        <v>12</v>
      </c>
      <c r="Y28" s="188">
        <v>13</v>
      </c>
      <c r="Z28" s="188">
        <v>14</v>
      </c>
      <c r="AA28" s="188">
        <v>15</v>
      </c>
      <c r="AB28" s="188">
        <v>16</v>
      </c>
      <c r="AD28" s="188">
        <v>17</v>
      </c>
      <c r="AE28" s="188">
        <v>18</v>
      </c>
      <c r="AF28" s="188">
        <v>19</v>
      </c>
      <c r="AG28" s="197"/>
      <c r="AH28" s="197"/>
      <c r="AI28" s="197"/>
      <c r="AJ28" s="25"/>
      <c r="AK28"/>
      <c r="AL28"/>
      <c r="AM28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</row>
    <row r="29" spans="1:113" ht="15" x14ac:dyDescent="0.25">
      <c r="AJ29" s="25"/>
      <c r="AK29"/>
      <c r="AL29"/>
      <c r="AM29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</row>
    <row r="30" spans="1:113" ht="15" x14ac:dyDescent="0.25">
      <c r="AJ30" s="25"/>
      <c r="AK30"/>
      <c r="AL30"/>
      <c r="AM30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</row>
    <row r="31" spans="1:113" ht="15" x14ac:dyDescent="0.25">
      <c r="AJ31" s="25"/>
      <c r="AK31"/>
      <c r="AL31"/>
      <c r="AM31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</row>
    <row r="32" spans="1:113" ht="15" x14ac:dyDescent="0.25">
      <c r="AJ32" s="25"/>
      <c r="AK32"/>
      <c r="AL32"/>
      <c r="AM32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</row>
    <row r="33" spans="36:113" ht="15" x14ac:dyDescent="0.25">
      <c r="AJ33" s="25"/>
      <c r="AK33"/>
      <c r="AL33"/>
      <c r="AM33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</row>
    <row r="34" spans="36:113" ht="15" x14ac:dyDescent="0.25">
      <c r="AJ34" s="80"/>
      <c r="AK34"/>
      <c r="AL34"/>
      <c r="AM34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</row>
    <row r="35" spans="36:113" ht="15" x14ac:dyDescent="0.25">
      <c r="AJ35" s="80"/>
      <c r="AK35"/>
      <c r="AL35"/>
      <c r="AM3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</row>
    <row r="36" spans="36:113" ht="15" x14ac:dyDescent="0.25">
      <c r="AJ36" s="80"/>
      <c r="AK36"/>
      <c r="AL36"/>
      <c r="AM36"/>
      <c r="AN36" s="25"/>
    </row>
    <row r="37" spans="36:113" ht="15" x14ac:dyDescent="0.25">
      <c r="AJ37" s="80"/>
      <c r="AK37"/>
      <c r="AL37"/>
      <c r="AM37"/>
      <c r="AN37" s="25"/>
    </row>
    <row r="38" spans="36:113" ht="15" x14ac:dyDescent="0.25">
      <c r="AJ38" s="80"/>
      <c r="AK38"/>
      <c r="AL38"/>
      <c r="AM38"/>
    </row>
    <row r="39" spans="36:113" ht="15" x14ac:dyDescent="0.25">
      <c r="AJ39" s="80"/>
      <c r="AK39"/>
      <c r="AL39"/>
    </row>
    <row r="40" spans="36:113" x14ac:dyDescent="0.2">
      <c r="AJ40" s="80"/>
    </row>
    <row r="41" spans="36:113" x14ac:dyDescent="0.2">
      <c r="AJ41" s="80"/>
    </row>
    <row r="42" spans="36:113" x14ac:dyDescent="0.2">
      <c r="AJ42" s="80"/>
    </row>
    <row r="43" spans="36:113" x14ac:dyDescent="0.2">
      <c r="AJ43" s="80"/>
    </row>
    <row r="44" spans="36:113" x14ac:dyDescent="0.2">
      <c r="AJ44" s="80"/>
    </row>
    <row r="45" spans="36:113" x14ac:dyDescent="0.2">
      <c r="AJ45" s="80"/>
    </row>
  </sheetData>
  <autoFilter ref="A2:AI28"/>
  <conditionalFormatting sqref="AH29:AH1048576 AH1:AH2">
    <cfRule type="iconSet" priority="63">
      <iconSet>
        <cfvo type="percent" val="0"/>
        <cfvo type="num" val="0.9"/>
        <cfvo type="num" val="1" gte="0"/>
      </iconSet>
    </cfRule>
  </conditionalFormatting>
  <conditionalFormatting sqref="AH27:AH28 AH3:AH25">
    <cfRule type="iconSet" priority="1">
      <iconSet>
        <cfvo type="percent" val="0"/>
        <cfvo type="num" val="0.9"/>
        <cfvo type="num" val="1" gte="0"/>
      </iconSet>
    </cfRule>
  </conditionalFormatting>
  <conditionalFormatting sqref="AH3:AH25">
    <cfRule type="iconSet" priority="2">
      <iconSet>
        <cfvo type="percent" val="0"/>
        <cfvo type="num" val="0.9" gte="0"/>
        <cfvo type="num" val="1" gte="0"/>
      </iconSet>
    </cfRule>
    <cfRule type="iconSet" priority="3">
      <iconSet>
        <cfvo type="percent" val="0"/>
        <cfvo type="num" val="0.99"/>
        <cfvo type="num" val="1" gte="0"/>
      </iconSet>
    </cfRule>
    <cfRule type="iconSet" priority="4">
      <iconSet>
        <cfvo type="percent" val="0"/>
        <cfvo type="percent" val="33"/>
        <cfvo type="percent" val="67"/>
      </iconSet>
    </cfRule>
  </conditionalFormatting>
  <conditionalFormatting sqref="AH3:AH25">
    <cfRule type="iconSet" priority="5">
      <iconSet>
        <cfvo type="percent" val="0"/>
        <cfvo type="num" val="0.9"/>
        <cfvo type="num" val="1"/>
      </iconSet>
    </cfRule>
    <cfRule type="iconSet" priority="6">
      <iconSet>
        <cfvo type="percent" val="0"/>
        <cfvo type="num" val="0.09"/>
        <cfvo type="num" val="1" gte="0"/>
      </iconSet>
    </cfRule>
  </conditionalFormatting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ESPECIALISTA</vt:lpstr>
      <vt:lpstr>SUPERVISOR - JEFE</vt:lpstr>
      <vt:lpstr>EQUIPO</vt:lpstr>
      <vt:lpstr>Homologacion</vt:lpstr>
      <vt:lpstr>TABLA</vt:lpstr>
      <vt:lpstr>PRODUCTIVIDAD UAC</vt:lpstr>
      <vt:lpstr>SLA UAC</vt:lpstr>
      <vt:lpstr>CALIDAD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lmunozr</dc:creator>
  <cp:lastModifiedBy>Muñoz Leslie</cp:lastModifiedBy>
  <dcterms:created xsi:type="dcterms:W3CDTF">2016-06-13T15:29:59Z</dcterms:created>
  <dcterms:modified xsi:type="dcterms:W3CDTF">2017-04-26T15:32:22Z</dcterms:modified>
</cp:coreProperties>
</file>