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yectos\Proyectos Falabella\Comisiones\Falabella.ReporteComisiones\Informacion\Comisiones UAC\"/>
    </mc:Choice>
  </mc:AlternateContent>
  <bookViews>
    <workbookView xWindow="0" yWindow="840" windowWidth="20490" windowHeight="6915" tabRatio="840" firstSheet="3" activeTab="7"/>
  </bookViews>
  <sheets>
    <sheet name="ESPECIALISTA" sheetId="1" r:id="rId1"/>
    <sheet name="SUPERVISOR - JEFE" sheetId="8" r:id="rId2"/>
    <sheet name="Hoja1" sheetId="21" r:id="rId3"/>
    <sheet name="Hoja2" sheetId="22" r:id="rId4"/>
    <sheet name="EQUIPO" sheetId="5" r:id="rId5"/>
    <sheet name="TABLA" sheetId="7" r:id="rId6"/>
    <sheet name="Hoja3" sheetId="25" r:id="rId7"/>
    <sheet name="PRODUCTIVIDAD UAC" sheetId="14" r:id="rId8"/>
    <sheet name="SLA UAC" sheetId="17" r:id="rId9"/>
    <sheet name="CALIDAD" sheetId="19" r:id="rId10"/>
    <sheet name="Homologacion" sheetId="3" r:id="rId11"/>
    <sheet name="Empleados" sheetId="23" r:id="rId12"/>
    <sheet name="Inputs" sheetId="24" r:id="rId13"/>
    <sheet name="Promedio" sheetId="20" r:id="rId14"/>
  </sheets>
  <definedNames>
    <definedName name="_xlnm._FilterDatabase" localSheetId="9" hidden="1">CALIDAD!$A$2:$AI$30</definedName>
    <definedName name="_xlnm._FilterDatabase" localSheetId="0" hidden="1">ESPECIALISTA!$A$7:$Z$68</definedName>
    <definedName name="_xlnm._FilterDatabase" localSheetId="10" hidden="1">Homologacion!$A$1:$H$93</definedName>
    <definedName name="_xlnm._FilterDatabase" localSheetId="7" hidden="1">'PRODUCTIVIDAD UAC'!$A$20:$I$84</definedName>
    <definedName name="_xlnm._FilterDatabase" localSheetId="8" hidden="1">'SLA UAC'!$A$3:$I$65</definedName>
    <definedName name="_xlnm._FilterDatabase" localSheetId="1" hidden="1">'SUPERVISOR - JEFE'!$A$7:$U$7</definedName>
  </definedNames>
  <calcPr calcId="162913"/>
  <pivotCaches>
    <pivotCache cacheId="0" r:id="rId15"/>
    <pivotCache cacheId="1" r:id="rId16"/>
    <pivotCache cacheId="2" r:id="rId17"/>
    <pivotCache cacheId="3" r:id="rId18"/>
  </pivotCaches>
</workbook>
</file>

<file path=xl/calcChain.xml><?xml version="1.0" encoding="utf-8"?>
<calcChain xmlns="http://schemas.openxmlformats.org/spreadsheetml/2006/main">
  <c r="G21" i="14" l="1"/>
  <c r="Q22" i="14"/>
  <c r="P22" i="14"/>
  <c r="J22" i="14"/>
  <c r="G8" i="1"/>
  <c r="I8" i="1" s="1"/>
  <c r="J8" i="1" s="1"/>
  <c r="K8" i="1"/>
  <c r="H8" i="1"/>
  <c r="J28" i="14" l="1"/>
  <c r="H3" i="23" l="1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2" i="23"/>
  <c r="H9" i="1" l="1"/>
  <c r="B10" i="8" l="1"/>
  <c r="B9" i="8"/>
  <c r="B8" i="8"/>
  <c r="F88" i="14" l="1"/>
  <c r="E88" i="14"/>
  <c r="D88" i="14"/>
  <c r="Z68" i="1" l="1"/>
  <c r="Z67" i="1"/>
  <c r="D9" i="20"/>
  <c r="E9" i="20"/>
  <c r="F9" i="20"/>
  <c r="G9" i="20"/>
  <c r="H9" i="20"/>
  <c r="C9" i="20"/>
  <c r="D8" i="20"/>
  <c r="E8" i="20"/>
  <c r="F8" i="20"/>
  <c r="G8" i="20"/>
  <c r="H8" i="20"/>
  <c r="C8" i="20"/>
  <c r="B9" i="20"/>
  <c r="B8" i="20"/>
  <c r="I8" i="20" l="1"/>
  <c r="I9" i="20"/>
  <c r="G105" i="14"/>
  <c r="Z66" i="1"/>
  <c r="I5" i="20" l="1"/>
  <c r="I4" i="20"/>
  <c r="B5" i="20"/>
  <c r="B4" i="20"/>
  <c r="D71" i="17" l="1"/>
  <c r="C71" i="17"/>
  <c r="B71" i="17"/>
  <c r="B70" i="17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44" i="14"/>
  <c r="P45" i="14"/>
  <c r="P46" i="14"/>
  <c r="P47" i="14"/>
  <c r="P48" i="14"/>
  <c r="P49" i="14"/>
  <c r="P50" i="14"/>
  <c r="P42" i="14"/>
  <c r="P43" i="14"/>
  <c r="P31" i="14"/>
  <c r="P32" i="14"/>
  <c r="P33" i="14"/>
  <c r="P34" i="14"/>
  <c r="P35" i="14"/>
  <c r="P36" i="14"/>
  <c r="P37" i="14"/>
  <c r="P38" i="14"/>
  <c r="P39" i="14"/>
  <c r="P40" i="14"/>
  <c r="P41" i="14"/>
  <c r="P23" i="14"/>
  <c r="P24" i="14"/>
  <c r="P25" i="14"/>
  <c r="P26" i="14"/>
  <c r="P27" i="14"/>
  <c r="P28" i="14"/>
  <c r="P29" i="14"/>
  <c r="P30" i="14"/>
  <c r="D70" i="17" l="1"/>
  <c r="C70" i="17"/>
  <c r="E63" i="17"/>
  <c r="E64" i="17"/>
  <c r="E65" i="17"/>
  <c r="E62" i="17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58" i="1"/>
  <c r="K59" i="1"/>
  <c r="K60" i="1"/>
  <c r="K61" i="1"/>
  <c r="K18" i="1"/>
  <c r="K19" i="1"/>
  <c r="K20" i="1"/>
  <c r="K21" i="1"/>
  <c r="K22" i="1"/>
  <c r="K23" i="1"/>
  <c r="K24" i="1"/>
  <c r="K25" i="1"/>
  <c r="K26" i="1"/>
  <c r="K27" i="1"/>
  <c r="K9" i="1"/>
  <c r="K10" i="1"/>
  <c r="K11" i="1"/>
  <c r="K12" i="1"/>
  <c r="K13" i="1"/>
  <c r="K14" i="1"/>
  <c r="K15" i="1"/>
  <c r="K16" i="1"/>
  <c r="K17" i="1"/>
  <c r="S60" i="1"/>
  <c r="T60" i="1" s="1"/>
  <c r="S61" i="1"/>
  <c r="T61" i="1" s="1"/>
  <c r="L60" i="1"/>
  <c r="L61" i="1"/>
  <c r="G60" i="1"/>
  <c r="H60" i="1"/>
  <c r="G61" i="1"/>
  <c r="H61" i="1"/>
  <c r="D60" i="1"/>
  <c r="E60" i="1"/>
  <c r="D61" i="1"/>
  <c r="E61" i="1"/>
  <c r="P81" i="14"/>
  <c r="P60" i="1" l="1"/>
  <c r="P61" i="1"/>
  <c r="M61" i="1"/>
  <c r="N61" i="1" s="1"/>
  <c r="M60" i="1"/>
  <c r="N60" i="1" s="1"/>
  <c r="I61" i="1"/>
  <c r="J61" i="1" s="1"/>
  <c r="I60" i="1"/>
  <c r="O61" i="1" l="1"/>
  <c r="Q61" i="1" s="1"/>
  <c r="R61" i="1" s="1"/>
  <c r="X61" i="1" s="1"/>
  <c r="Y61" i="1"/>
  <c r="J60" i="1"/>
  <c r="Y60" i="1"/>
  <c r="O60" i="1" l="1"/>
  <c r="Q60" i="1" s="1"/>
  <c r="R60" i="1" s="1"/>
  <c r="X60" i="1" s="1"/>
  <c r="Z60" i="1" s="1"/>
  <c r="Z61" i="1"/>
  <c r="J23" i="14"/>
  <c r="J24" i="14"/>
  <c r="J25" i="14"/>
  <c r="J26" i="14"/>
  <c r="J27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21" i="14"/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81" i="14"/>
  <c r="I82" i="14" s="1"/>
  <c r="I83" i="14" s="1"/>
  <c r="H82" i="14"/>
  <c r="H83" i="14"/>
  <c r="H81" i="14"/>
  <c r="H80" i="14"/>
  <c r="I80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C79" i="14"/>
  <c r="D79" i="14"/>
  <c r="F79" i="14"/>
  <c r="E79" i="14" l="1"/>
  <c r="E5" i="17" l="1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F24" i="19" l="1"/>
  <c r="F25" i="19"/>
  <c r="S9" i="1" l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64" i="1"/>
  <c r="T64" i="1" s="1"/>
  <c r="S65" i="1"/>
  <c r="T65" i="1" s="1"/>
  <c r="S58" i="1"/>
  <c r="T58" i="1" s="1"/>
  <c r="S59" i="1"/>
  <c r="T59" i="1" s="1"/>
  <c r="S62" i="1"/>
  <c r="T62" i="1" s="1"/>
  <c r="S63" i="1"/>
  <c r="T63" i="1" s="1"/>
  <c r="AN4" i="19"/>
  <c r="AN5" i="19"/>
  <c r="AN6" i="19"/>
  <c r="AN7" i="19"/>
  <c r="AN8" i="19"/>
  <c r="AN9" i="19"/>
  <c r="AN10" i="19"/>
  <c r="AN11" i="19"/>
  <c r="AN12" i="19"/>
  <c r="AN13" i="19"/>
  <c r="AN14" i="19"/>
  <c r="AN15" i="19"/>
  <c r="AN16" i="19"/>
  <c r="AN17" i="19"/>
  <c r="AN18" i="19"/>
  <c r="AN19" i="19"/>
  <c r="AN20" i="19"/>
  <c r="AN21" i="19"/>
  <c r="AN22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6" i="19"/>
  <c r="F27" i="19"/>
  <c r="F3" i="19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4" i="1"/>
  <c r="L65" i="1"/>
  <c r="L58" i="1"/>
  <c r="L59" i="1"/>
  <c r="L62" i="1"/>
  <c r="L63" i="1"/>
  <c r="G9" i="1"/>
  <c r="P9" i="1" s="1"/>
  <c r="G10" i="1"/>
  <c r="P10" i="1" s="1"/>
  <c r="H10" i="1"/>
  <c r="G11" i="1"/>
  <c r="P11" i="1" s="1"/>
  <c r="H11" i="1"/>
  <c r="G12" i="1"/>
  <c r="P12" i="1" s="1"/>
  <c r="H12" i="1"/>
  <c r="G13" i="1"/>
  <c r="P13" i="1" s="1"/>
  <c r="H13" i="1"/>
  <c r="G14" i="1"/>
  <c r="P14" i="1" s="1"/>
  <c r="H14" i="1"/>
  <c r="G15" i="1"/>
  <c r="P15" i="1" s="1"/>
  <c r="H15" i="1"/>
  <c r="G16" i="1"/>
  <c r="P16" i="1" s="1"/>
  <c r="H16" i="1"/>
  <c r="G17" i="1"/>
  <c r="P17" i="1" s="1"/>
  <c r="H17" i="1"/>
  <c r="G18" i="1"/>
  <c r="P18" i="1" s="1"/>
  <c r="H18" i="1"/>
  <c r="G19" i="1"/>
  <c r="P19" i="1" s="1"/>
  <c r="H19" i="1"/>
  <c r="G20" i="1"/>
  <c r="P20" i="1" s="1"/>
  <c r="H20" i="1"/>
  <c r="G21" i="1"/>
  <c r="P21" i="1" s="1"/>
  <c r="H21" i="1"/>
  <c r="G22" i="1"/>
  <c r="P22" i="1" s="1"/>
  <c r="H22" i="1"/>
  <c r="G23" i="1"/>
  <c r="P23" i="1" s="1"/>
  <c r="H23" i="1"/>
  <c r="G24" i="1"/>
  <c r="P24" i="1" s="1"/>
  <c r="H24" i="1"/>
  <c r="G25" i="1"/>
  <c r="P25" i="1" s="1"/>
  <c r="H25" i="1"/>
  <c r="G26" i="1"/>
  <c r="P26" i="1" s="1"/>
  <c r="H26" i="1"/>
  <c r="G27" i="1"/>
  <c r="P27" i="1" s="1"/>
  <c r="H27" i="1"/>
  <c r="P67" i="1"/>
  <c r="G28" i="1"/>
  <c r="P28" i="1" s="1"/>
  <c r="H28" i="1"/>
  <c r="G29" i="1"/>
  <c r="P29" i="1" s="1"/>
  <c r="H29" i="1"/>
  <c r="G30" i="1"/>
  <c r="P30" i="1" s="1"/>
  <c r="H30" i="1"/>
  <c r="G31" i="1"/>
  <c r="P31" i="1" s="1"/>
  <c r="H31" i="1"/>
  <c r="G32" i="1"/>
  <c r="P32" i="1" s="1"/>
  <c r="H32" i="1"/>
  <c r="G33" i="1"/>
  <c r="P33" i="1" s="1"/>
  <c r="H33" i="1"/>
  <c r="G34" i="1"/>
  <c r="P34" i="1" s="1"/>
  <c r="H34" i="1"/>
  <c r="G35" i="1"/>
  <c r="P35" i="1" s="1"/>
  <c r="H35" i="1"/>
  <c r="G36" i="1"/>
  <c r="P36" i="1" s="1"/>
  <c r="H36" i="1"/>
  <c r="P68" i="1"/>
  <c r="G37" i="1"/>
  <c r="P37" i="1" s="1"/>
  <c r="H37" i="1"/>
  <c r="G38" i="1"/>
  <c r="P38" i="1" s="1"/>
  <c r="H38" i="1"/>
  <c r="G39" i="1"/>
  <c r="P39" i="1" s="1"/>
  <c r="H39" i="1"/>
  <c r="G40" i="1"/>
  <c r="P40" i="1" s="1"/>
  <c r="H40" i="1"/>
  <c r="G41" i="1"/>
  <c r="P41" i="1" s="1"/>
  <c r="H41" i="1"/>
  <c r="G42" i="1"/>
  <c r="P42" i="1" s="1"/>
  <c r="H42" i="1"/>
  <c r="G43" i="1"/>
  <c r="P43" i="1" s="1"/>
  <c r="H43" i="1"/>
  <c r="G44" i="1"/>
  <c r="P44" i="1" s="1"/>
  <c r="H44" i="1"/>
  <c r="G45" i="1"/>
  <c r="P45" i="1" s="1"/>
  <c r="H45" i="1"/>
  <c r="G46" i="1"/>
  <c r="P46" i="1" s="1"/>
  <c r="H46" i="1"/>
  <c r="G47" i="1"/>
  <c r="P47" i="1" s="1"/>
  <c r="H47" i="1"/>
  <c r="G48" i="1"/>
  <c r="P48" i="1" s="1"/>
  <c r="H48" i="1"/>
  <c r="G49" i="1"/>
  <c r="P49" i="1" s="1"/>
  <c r="H49" i="1"/>
  <c r="G50" i="1"/>
  <c r="P50" i="1" s="1"/>
  <c r="H50" i="1"/>
  <c r="G51" i="1"/>
  <c r="P51" i="1" s="1"/>
  <c r="H51" i="1"/>
  <c r="G52" i="1"/>
  <c r="P52" i="1" s="1"/>
  <c r="H52" i="1"/>
  <c r="G53" i="1"/>
  <c r="P53" i="1" s="1"/>
  <c r="H53" i="1"/>
  <c r="G54" i="1"/>
  <c r="P54" i="1" s="1"/>
  <c r="H54" i="1"/>
  <c r="G55" i="1"/>
  <c r="P55" i="1" s="1"/>
  <c r="H55" i="1"/>
  <c r="G56" i="1"/>
  <c r="P56" i="1" s="1"/>
  <c r="H56" i="1"/>
  <c r="G57" i="1"/>
  <c r="P57" i="1" s="1"/>
  <c r="H57" i="1"/>
  <c r="G64" i="1"/>
  <c r="P64" i="1" s="1"/>
  <c r="H64" i="1"/>
  <c r="G65" i="1"/>
  <c r="P65" i="1" s="1"/>
  <c r="H65" i="1"/>
  <c r="G58" i="1"/>
  <c r="P58" i="1" s="1"/>
  <c r="H58" i="1"/>
  <c r="G59" i="1"/>
  <c r="P59" i="1" s="1"/>
  <c r="H59" i="1"/>
  <c r="G62" i="1"/>
  <c r="P62" i="1" s="1"/>
  <c r="H62" i="1"/>
  <c r="G63" i="1"/>
  <c r="P63" i="1" s="1"/>
  <c r="H6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67" i="1"/>
  <c r="E28" i="1"/>
  <c r="E29" i="1"/>
  <c r="E30" i="1"/>
  <c r="E31" i="1"/>
  <c r="E32" i="1"/>
  <c r="E33" i="1"/>
  <c r="E34" i="1"/>
  <c r="E35" i="1"/>
  <c r="E36" i="1"/>
  <c r="E68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64" i="1"/>
  <c r="E65" i="1"/>
  <c r="E58" i="1"/>
  <c r="E59" i="1"/>
  <c r="E62" i="1"/>
  <c r="E63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67" i="1"/>
  <c r="D28" i="1"/>
  <c r="D29" i="1"/>
  <c r="D30" i="1"/>
  <c r="D31" i="1"/>
  <c r="D32" i="1"/>
  <c r="D33" i="1"/>
  <c r="D34" i="1"/>
  <c r="D35" i="1"/>
  <c r="D36" i="1"/>
  <c r="D68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64" i="1"/>
  <c r="D65" i="1"/>
  <c r="D58" i="1"/>
  <c r="D59" i="1"/>
  <c r="D62" i="1"/>
  <c r="D63" i="1"/>
  <c r="D84" i="14"/>
  <c r="D86" i="14" s="1"/>
  <c r="E84" i="14"/>
  <c r="F84" i="14"/>
  <c r="G83" i="14"/>
  <c r="G82" i="14"/>
  <c r="G81" i="14"/>
  <c r="G80" i="14"/>
  <c r="G84" i="14" l="1"/>
  <c r="I57" i="1"/>
  <c r="I49" i="1"/>
  <c r="I41" i="1"/>
  <c r="I34" i="1"/>
  <c r="I62" i="1"/>
  <c r="Y62" i="1" s="1"/>
  <c r="I58" i="1"/>
  <c r="I64" i="1"/>
  <c r="I56" i="1"/>
  <c r="I54" i="1"/>
  <c r="I52" i="1"/>
  <c r="I50" i="1"/>
  <c r="I48" i="1"/>
  <c r="I46" i="1"/>
  <c r="I44" i="1"/>
  <c r="I42" i="1"/>
  <c r="I40" i="1"/>
  <c r="I38" i="1"/>
  <c r="I35" i="1"/>
  <c r="I33" i="1"/>
  <c r="I31" i="1"/>
  <c r="I29" i="1"/>
  <c r="I26" i="1"/>
  <c r="I24" i="1"/>
  <c r="I22" i="1"/>
  <c r="I20" i="1"/>
  <c r="I18" i="1"/>
  <c r="I16" i="1"/>
  <c r="I14" i="1"/>
  <c r="I12" i="1"/>
  <c r="I10" i="1"/>
  <c r="M49" i="1"/>
  <c r="N49" i="1" s="1"/>
  <c r="M19" i="1"/>
  <c r="M63" i="1"/>
  <c r="M47" i="1"/>
  <c r="N47" i="1" s="1"/>
  <c r="M34" i="1"/>
  <c r="N34" i="1" s="1"/>
  <c r="M32" i="1"/>
  <c r="N32" i="1" s="1"/>
  <c r="M17" i="1"/>
  <c r="N17" i="1" s="1"/>
  <c r="M62" i="1"/>
  <c r="M58" i="1"/>
  <c r="N58" i="1" s="1"/>
  <c r="M64" i="1"/>
  <c r="N64" i="1" s="1"/>
  <c r="M56" i="1"/>
  <c r="M54" i="1"/>
  <c r="N54" i="1" s="1"/>
  <c r="M52" i="1"/>
  <c r="N52" i="1" s="1"/>
  <c r="M50" i="1"/>
  <c r="N50" i="1" s="1"/>
  <c r="M48" i="1"/>
  <c r="N48" i="1" s="1"/>
  <c r="M46" i="1"/>
  <c r="N46" i="1" s="1"/>
  <c r="M44" i="1"/>
  <c r="N44" i="1" s="1"/>
  <c r="M42" i="1"/>
  <c r="M40" i="1"/>
  <c r="N40" i="1" s="1"/>
  <c r="M38" i="1"/>
  <c r="N38" i="1" s="1"/>
  <c r="M35" i="1"/>
  <c r="M33" i="1"/>
  <c r="N33" i="1" s="1"/>
  <c r="M31" i="1"/>
  <c r="N31" i="1" s="1"/>
  <c r="M29" i="1"/>
  <c r="N29" i="1" s="1"/>
  <c r="M26" i="1"/>
  <c r="N26" i="1" s="1"/>
  <c r="M24" i="1"/>
  <c r="M22" i="1"/>
  <c r="N22" i="1" s="1"/>
  <c r="M20" i="1"/>
  <c r="M18" i="1"/>
  <c r="M16" i="1"/>
  <c r="N16" i="1" s="1"/>
  <c r="M14" i="1"/>
  <c r="N14" i="1" s="1"/>
  <c r="M12" i="1"/>
  <c r="M10" i="1"/>
  <c r="I63" i="1"/>
  <c r="Y63" i="1" s="1"/>
  <c r="I59" i="1"/>
  <c r="I65" i="1"/>
  <c r="I55" i="1"/>
  <c r="I53" i="1"/>
  <c r="I51" i="1"/>
  <c r="I47" i="1"/>
  <c r="I45" i="1"/>
  <c r="I43" i="1"/>
  <c r="I39" i="1"/>
  <c r="I37" i="1"/>
  <c r="I36" i="1"/>
  <c r="I32" i="1"/>
  <c r="I30" i="1"/>
  <c r="I28" i="1"/>
  <c r="I27" i="1"/>
  <c r="I25" i="1"/>
  <c r="I23" i="1"/>
  <c r="I21" i="1"/>
  <c r="I19" i="1"/>
  <c r="I17" i="1"/>
  <c r="I15" i="1"/>
  <c r="I13" i="1"/>
  <c r="I11" i="1"/>
  <c r="I9" i="1"/>
  <c r="M59" i="1"/>
  <c r="N59" i="1" s="1"/>
  <c r="M65" i="1"/>
  <c r="N65" i="1" s="1"/>
  <c r="M57" i="1"/>
  <c r="M55" i="1"/>
  <c r="N55" i="1" s="1"/>
  <c r="M53" i="1"/>
  <c r="N53" i="1" s="1"/>
  <c r="M51" i="1"/>
  <c r="N51" i="1" s="1"/>
  <c r="M45" i="1"/>
  <c r="N45" i="1" s="1"/>
  <c r="M43" i="1"/>
  <c r="N43" i="1" s="1"/>
  <c r="M41" i="1"/>
  <c r="M39" i="1"/>
  <c r="N39" i="1" s="1"/>
  <c r="M37" i="1"/>
  <c r="N37" i="1" s="1"/>
  <c r="M36" i="1"/>
  <c r="N36" i="1" s="1"/>
  <c r="M30" i="1"/>
  <c r="N30" i="1" s="1"/>
  <c r="M28" i="1"/>
  <c r="N28" i="1" s="1"/>
  <c r="M27" i="1"/>
  <c r="N27" i="1" s="1"/>
  <c r="M25" i="1"/>
  <c r="N25" i="1" s="1"/>
  <c r="M23" i="1"/>
  <c r="N23" i="1" s="1"/>
  <c r="M21" i="1"/>
  <c r="N21" i="1" s="1"/>
  <c r="M15" i="1"/>
  <c r="M13" i="1"/>
  <c r="N13" i="1" s="1"/>
  <c r="M11" i="1"/>
  <c r="M9" i="1"/>
  <c r="N15" i="1" l="1"/>
  <c r="N57" i="1"/>
  <c r="N10" i="1"/>
  <c r="N18" i="1"/>
  <c r="N56" i="1"/>
  <c r="N9" i="1"/>
  <c r="N12" i="1"/>
  <c r="N20" i="1"/>
  <c r="N35" i="1"/>
  <c r="N42" i="1"/>
  <c r="N19" i="1"/>
  <c r="N11" i="1"/>
  <c r="N41" i="1"/>
  <c r="N24" i="1"/>
  <c r="J11" i="1"/>
  <c r="Y11" i="1"/>
  <c r="J19" i="1"/>
  <c r="Y19" i="1"/>
  <c r="J27" i="1"/>
  <c r="O27" i="1" s="1"/>
  <c r="Q27" i="1" s="1"/>
  <c r="R27" i="1" s="1"/>
  <c r="Y27" i="1"/>
  <c r="J36" i="1"/>
  <c r="O36" i="1" s="1"/>
  <c r="Q36" i="1" s="1"/>
  <c r="R36" i="1" s="1"/>
  <c r="J45" i="1"/>
  <c r="O45" i="1" s="1"/>
  <c r="Q45" i="1" s="1"/>
  <c r="R45" i="1" s="1"/>
  <c r="Y45" i="1"/>
  <c r="J55" i="1"/>
  <c r="O55" i="1" s="1"/>
  <c r="Q55" i="1" s="1"/>
  <c r="R55" i="1" s="1"/>
  <c r="Y55" i="1"/>
  <c r="J12" i="1"/>
  <c r="J20" i="1"/>
  <c r="Y20" i="1"/>
  <c r="O67" i="1"/>
  <c r="Q67" i="1" s="1"/>
  <c r="Y67" i="1"/>
  <c r="J35" i="1"/>
  <c r="J42" i="1"/>
  <c r="Y42" i="1"/>
  <c r="J50" i="1"/>
  <c r="O50" i="1" s="1"/>
  <c r="Q50" i="1" s="1"/>
  <c r="R50" i="1" s="1"/>
  <c r="Y50" i="1"/>
  <c r="J64" i="1"/>
  <c r="O64" i="1" s="1"/>
  <c r="Q64" i="1" s="1"/>
  <c r="R64" i="1" s="1"/>
  <c r="Y64" i="1"/>
  <c r="J41" i="1"/>
  <c r="Y41" i="1"/>
  <c r="J13" i="1"/>
  <c r="O13" i="1" s="1"/>
  <c r="Q13" i="1" s="1"/>
  <c r="R13" i="1" s="1"/>
  <c r="Y13" i="1"/>
  <c r="J21" i="1"/>
  <c r="O21" i="1" s="1"/>
  <c r="Q21" i="1" s="1"/>
  <c r="R21" i="1" s="1"/>
  <c r="Y21" i="1"/>
  <c r="J28" i="1"/>
  <c r="O28" i="1" s="1"/>
  <c r="Q28" i="1" s="1"/>
  <c r="R28" i="1" s="1"/>
  <c r="Y28" i="1"/>
  <c r="J37" i="1"/>
  <c r="O37" i="1" s="1"/>
  <c r="Q37" i="1" s="1"/>
  <c r="R37" i="1" s="1"/>
  <c r="Y37" i="1"/>
  <c r="J47" i="1"/>
  <c r="O47" i="1" s="1"/>
  <c r="Q47" i="1" s="1"/>
  <c r="Y47" i="1"/>
  <c r="J65" i="1"/>
  <c r="O65" i="1" s="1"/>
  <c r="Q65" i="1" s="1"/>
  <c r="R65" i="1" s="1"/>
  <c r="J14" i="1"/>
  <c r="O14" i="1" s="1"/>
  <c r="Q14" i="1" s="1"/>
  <c r="R14" i="1" s="1"/>
  <c r="Y14" i="1"/>
  <c r="J22" i="1"/>
  <c r="O22" i="1" s="1"/>
  <c r="Q22" i="1" s="1"/>
  <c r="R22" i="1" s="1"/>
  <c r="Y22" i="1"/>
  <c r="J29" i="1"/>
  <c r="O29" i="1" s="1"/>
  <c r="Q29" i="1" s="1"/>
  <c r="R29" i="1" s="1"/>
  <c r="Y29" i="1"/>
  <c r="O68" i="1"/>
  <c r="Q68" i="1" s="1"/>
  <c r="Y68" i="1"/>
  <c r="J44" i="1"/>
  <c r="O44" i="1" s="1"/>
  <c r="Q44" i="1" s="1"/>
  <c r="R44" i="1" s="1"/>
  <c r="Y44" i="1"/>
  <c r="J52" i="1"/>
  <c r="O52" i="1" s="1"/>
  <c r="Q52" i="1" s="1"/>
  <c r="R52" i="1" s="1"/>
  <c r="Y52" i="1"/>
  <c r="J58" i="1"/>
  <c r="O58" i="1" s="1"/>
  <c r="Q58" i="1" s="1"/>
  <c r="R58" i="1" s="1"/>
  <c r="J49" i="1"/>
  <c r="O49" i="1" s="1"/>
  <c r="Q49" i="1" s="1"/>
  <c r="R49" i="1" s="1"/>
  <c r="J15" i="1"/>
  <c r="Y15" i="1"/>
  <c r="J23" i="1"/>
  <c r="O23" i="1" s="1"/>
  <c r="Q23" i="1" s="1"/>
  <c r="R23" i="1" s="1"/>
  <c r="Y23" i="1"/>
  <c r="J30" i="1"/>
  <c r="O30" i="1" s="1"/>
  <c r="Q30" i="1" s="1"/>
  <c r="R30" i="1" s="1"/>
  <c r="Y30" i="1"/>
  <c r="J39" i="1"/>
  <c r="O39" i="1" s="1"/>
  <c r="Q39" i="1" s="1"/>
  <c r="R39" i="1" s="1"/>
  <c r="Y39" i="1"/>
  <c r="J51" i="1"/>
  <c r="O51" i="1" s="1"/>
  <c r="Q51" i="1" s="1"/>
  <c r="Y51" i="1"/>
  <c r="J59" i="1"/>
  <c r="O59" i="1" s="1"/>
  <c r="Q59" i="1" s="1"/>
  <c r="R59" i="1" s="1"/>
  <c r="J16" i="1"/>
  <c r="O16" i="1" s="1"/>
  <c r="Q16" i="1" s="1"/>
  <c r="R16" i="1" s="1"/>
  <c r="Y16" i="1"/>
  <c r="J24" i="1"/>
  <c r="J31" i="1"/>
  <c r="O31" i="1" s="1"/>
  <c r="Q31" i="1" s="1"/>
  <c r="Y31" i="1"/>
  <c r="J38" i="1"/>
  <c r="O38" i="1" s="1"/>
  <c r="Q38" i="1" s="1"/>
  <c r="R38" i="1" s="1"/>
  <c r="Y38" i="1"/>
  <c r="J46" i="1"/>
  <c r="O46" i="1" s="1"/>
  <c r="Q46" i="1" s="1"/>
  <c r="R46" i="1" s="1"/>
  <c r="Y46" i="1"/>
  <c r="J54" i="1"/>
  <c r="O54" i="1" s="1"/>
  <c r="Q54" i="1" s="1"/>
  <c r="R54" i="1" s="1"/>
  <c r="Y54" i="1"/>
  <c r="J57" i="1"/>
  <c r="J9" i="1"/>
  <c r="J17" i="1"/>
  <c r="O17" i="1" s="1"/>
  <c r="Q17" i="1" s="1"/>
  <c r="R17" i="1" s="1"/>
  <c r="J25" i="1"/>
  <c r="O25" i="1" s="1"/>
  <c r="Q25" i="1" s="1"/>
  <c r="R25" i="1" s="1"/>
  <c r="Y25" i="1"/>
  <c r="J32" i="1"/>
  <c r="O32" i="1" s="1"/>
  <c r="Q32" i="1" s="1"/>
  <c r="Y32" i="1"/>
  <c r="J43" i="1"/>
  <c r="O43" i="1" s="1"/>
  <c r="Q43" i="1" s="1"/>
  <c r="R43" i="1" s="1"/>
  <c r="Y43" i="1"/>
  <c r="J53" i="1"/>
  <c r="O53" i="1" s="1"/>
  <c r="Q53" i="1" s="1"/>
  <c r="R53" i="1" s="1"/>
  <c r="J10" i="1"/>
  <c r="J18" i="1"/>
  <c r="Y18" i="1"/>
  <c r="J26" i="1"/>
  <c r="O26" i="1" s="1"/>
  <c r="Q26" i="1" s="1"/>
  <c r="J33" i="1"/>
  <c r="O33" i="1" s="1"/>
  <c r="Q33" i="1" s="1"/>
  <c r="Y33" i="1"/>
  <c r="J40" i="1"/>
  <c r="O40" i="1" s="1"/>
  <c r="Q40" i="1" s="1"/>
  <c r="R40" i="1" s="1"/>
  <c r="J48" i="1"/>
  <c r="O48" i="1" s="1"/>
  <c r="Q48" i="1" s="1"/>
  <c r="R48" i="1" s="1"/>
  <c r="Y48" i="1"/>
  <c r="J56" i="1"/>
  <c r="Y56" i="1"/>
  <c r="J34" i="1"/>
  <c r="O34" i="1" s="1"/>
  <c r="Q34" i="1" s="1"/>
  <c r="R34" i="1" s="1"/>
  <c r="N63" i="1"/>
  <c r="J63" i="1"/>
  <c r="N62" i="1"/>
  <c r="J62" i="1"/>
  <c r="E66" i="1"/>
  <c r="Y66" i="1" s="1"/>
  <c r="D66" i="1"/>
  <c r="O35" i="1" l="1"/>
  <c r="Q35" i="1" s="1"/>
  <c r="R35" i="1" s="1"/>
  <c r="O10" i="1"/>
  <c r="Q10" i="1" s="1"/>
  <c r="R10" i="1" s="1"/>
  <c r="O42" i="1"/>
  <c r="Q42" i="1" s="1"/>
  <c r="R42" i="1" s="1"/>
  <c r="X42" i="1" s="1"/>
  <c r="Z42" i="1" s="1"/>
  <c r="O62" i="1"/>
  <c r="Q62" i="1" s="1"/>
  <c r="R62" i="1" s="1"/>
  <c r="X62" i="1" s="1"/>
  <c r="Z62" i="1" s="1"/>
  <c r="O19" i="1"/>
  <c r="Q19" i="1" s="1"/>
  <c r="R19" i="1" s="1"/>
  <c r="O20" i="1"/>
  <c r="Q20" i="1" s="1"/>
  <c r="R20" i="1" s="1"/>
  <c r="O56" i="1"/>
  <c r="Q56" i="1" s="1"/>
  <c r="R56" i="1" s="1"/>
  <c r="X56" i="1" s="1"/>
  <c r="Z56" i="1" s="1"/>
  <c r="O57" i="1"/>
  <c r="Q57" i="1" s="1"/>
  <c r="R57" i="1" s="1"/>
  <c r="O18" i="1"/>
  <c r="Q18" i="1" s="1"/>
  <c r="R18" i="1" s="1"/>
  <c r="X18" i="1" s="1"/>
  <c r="Z18" i="1" s="1"/>
  <c r="O9" i="1"/>
  <c r="Q9" i="1" s="1"/>
  <c r="R9" i="1" s="1"/>
  <c r="O24" i="1"/>
  <c r="Q24" i="1" s="1"/>
  <c r="R24" i="1" s="1"/>
  <c r="O63" i="1"/>
  <c r="Q63" i="1" s="1"/>
  <c r="R63" i="1" s="1"/>
  <c r="X63" i="1" s="1"/>
  <c r="Z63" i="1" s="1"/>
  <c r="O15" i="1"/>
  <c r="Q15" i="1" s="1"/>
  <c r="R15" i="1" s="1"/>
  <c r="O41" i="1"/>
  <c r="Q41" i="1" s="1"/>
  <c r="R41" i="1" s="1"/>
  <c r="O12" i="1"/>
  <c r="Q12" i="1" s="1"/>
  <c r="R12" i="1" s="1"/>
  <c r="O11" i="1"/>
  <c r="Q11" i="1" s="1"/>
  <c r="R11" i="1" s="1"/>
  <c r="H106" i="17"/>
  <c r="I106" i="17" l="1"/>
  <c r="J106" i="17"/>
  <c r="S8" i="1" l="1"/>
  <c r="H107" i="17" l="1"/>
  <c r="X15" i="1" l="1"/>
  <c r="Z15" i="1" s="1"/>
  <c r="O66" i="1"/>
  <c r="P66" i="1"/>
  <c r="E8" i="1"/>
  <c r="D8" i="1"/>
  <c r="Q66" i="1" l="1"/>
  <c r="X16" i="1" l="1"/>
  <c r="Z16" i="1" s="1"/>
  <c r="X24" i="1"/>
  <c r="X38" i="1"/>
  <c r="Z38" i="1" s="1"/>
  <c r="X64" i="1"/>
  <c r="Z64" i="1" s="1"/>
  <c r="X10" i="1"/>
  <c r="X40" i="1"/>
  <c r="X50" i="1"/>
  <c r="Z50" i="1" s="1"/>
  <c r="X52" i="1"/>
  <c r="Z52" i="1" s="1"/>
  <c r="X58" i="1"/>
  <c r="X12" i="1"/>
  <c r="X20" i="1"/>
  <c r="Z20" i="1" s="1"/>
  <c r="X35" i="1"/>
  <c r="X44" i="1"/>
  <c r="Z44" i="1" s="1"/>
  <c r="X54" i="1"/>
  <c r="Z54" i="1" s="1"/>
  <c r="X14" i="1"/>
  <c r="Z14" i="1" s="1"/>
  <c r="X22" i="1"/>
  <c r="Z22" i="1" s="1"/>
  <c r="X29" i="1"/>
  <c r="Z29" i="1" s="1"/>
  <c r="X46" i="1"/>
  <c r="Z46" i="1" s="1"/>
  <c r="X25" i="1"/>
  <c r="Z25" i="1" s="1"/>
  <c r="X23" i="1"/>
  <c r="Z23" i="1" s="1"/>
  <c r="X30" i="1"/>
  <c r="Z30" i="1" s="1"/>
  <c r="X37" i="1"/>
  <c r="Z37" i="1" s="1"/>
  <c r="X53" i="1"/>
  <c r="X59" i="1"/>
  <c r="X9" i="1"/>
  <c r="X17" i="1"/>
  <c r="X39" i="1"/>
  <c r="Z39" i="1" s="1"/>
  <c r="X55" i="1"/>
  <c r="Z55" i="1" s="1"/>
  <c r="X13" i="1"/>
  <c r="Z13" i="1" s="1"/>
  <c r="X28" i="1"/>
  <c r="Z28" i="1" s="1"/>
  <c r="X36" i="1"/>
  <c r="X43" i="1"/>
  <c r="Z43" i="1" s="1"/>
  <c r="X51" i="1"/>
  <c r="Z51" i="1" s="1"/>
  <c r="X65" i="1"/>
  <c r="X11" i="1"/>
  <c r="Z11" i="1" s="1"/>
  <c r="X19" i="1"/>
  <c r="Z19" i="1" s="1"/>
  <c r="X27" i="1"/>
  <c r="Z27" i="1" s="1"/>
  <c r="X34" i="1"/>
  <c r="X41" i="1"/>
  <c r="Z41" i="1" s="1"/>
  <c r="X49" i="1"/>
  <c r="X57" i="1"/>
  <c r="X47" i="1" l="1"/>
  <c r="Z47" i="1" s="1"/>
  <c r="X48" i="1"/>
  <c r="Z48" i="1" s="1"/>
  <c r="X21" i="1"/>
  <c r="Z21" i="1" s="1"/>
  <c r="X45" i="1"/>
  <c r="Z45" i="1" s="1"/>
  <c r="E17" i="5" l="1"/>
  <c r="L8" i="1" l="1"/>
  <c r="M8" i="1" l="1"/>
  <c r="AN3" i="19" l="1"/>
  <c r="I21" i="14" l="1"/>
  <c r="N8" i="1" l="1"/>
  <c r="T8" i="1" l="1"/>
  <c r="G79" i="14" l="1"/>
  <c r="G88" i="14"/>
  <c r="P8" i="1"/>
  <c r="C84" i="14"/>
  <c r="P21" i="14"/>
  <c r="O8" i="1" l="1"/>
  <c r="Q8" i="1" s="1"/>
  <c r="R8" i="1" s="1"/>
  <c r="X8" i="1" l="1"/>
  <c r="C86" i="14" l="1"/>
  <c r="F86" i="14" l="1"/>
  <c r="G86" i="14" l="1"/>
  <c r="E7" i="5" l="1"/>
  <c r="E8" i="5"/>
  <c r="E9" i="5"/>
  <c r="E10" i="5"/>
  <c r="E11" i="5"/>
  <c r="E12" i="5"/>
  <c r="E13" i="5"/>
  <c r="E14" i="5"/>
  <c r="E15" i="5"/>
  <c r="E16" i="5"/>
  <c r="E4" i="17" l="1"/>
  <c r="H21" i="14" l="1"/>
  <c r="Q37" i="14" l="1"/>
  <c r="R37" i="14" s="1"/>
  <c r="Q41" i="14"/>
  <c r="R41" i="14" s="1"/>
  <c r="Q45" i="14"/>
  <c r="R45" i="14" s="1"/>
  <c r="Q49" i="14"/>
  <c r="R49" i="14" s="1"/>
  <c r="Q53" i="14"/>
  <c r="R53" i="14" s="1"/>
  <c r="Q57" i="14"/>
  <c r="R57" i="14" s="1"/>
  <c r="Q61" i="14"/>
  <c r="R61" i="14" s="1"/>
  <c r="Q65" i="14"/>
  <c r="R65" i="14" s="1"/>
  <c r="Q69" i="14"/>
  <c r="R69" i="14" s="1"/>
  <c r="Q73" i="14"/>
  <c r="R73" i="14" s="1"/>
  <c r="Q77" i="14"/>
  <c r="R77" i="14" s="1"/>
  <c r="R22" i="14"/>
  <c r="Q26" i="14"/>
  <c r="R26" i="14" s="1"/>
  <c r="Q30" i="14"/>
  <c r="R30" i="14" s="1"/>
  <c r="Q34" i="14"/>
  <c r="R34" i="14" s="1"/>
  <c r="Q38" i="14"/>
  <c r="R38" i="14" s="1"/>
  <c r="Q42" i="14"/>
  <c r="R42" i="14" s="1"/>
  <c r="Q46" i="14"/>
  <c r="R46" i="14" s="1"/>
  <c r="Q50" i="14"/>
  <c r="R50" i="14" s="1"/>
  <c r="Q54" i="14"/>
  <c r="R54" i="14" s="1"/>
  <c r="Q58" i="14"/>
  <c r="R58" i="14" s="1"/>
  <c r="Q62" i="14"/>
  <c r="R62" i="14" s="1"/>
  <c r="Q66" i="14"/>
  <c r="R66" i="14" s="1"/>
  <c r="Q70" i="14"/>
  <c r="R70" i="14" s="1"/>
  <c r="Q74" i="14"/>
  <c r="R74" i="14" s="1"/>
  <c r="Q78" i="14"/>
  <c r="R78" i="14" s="1"/>
  <c r="Q23" i="14"/>
  <c r="R23" i="14" s="1"/>
  <c r="Q27" i="14"/>
  <c r="R27" i="14" s="1"/>
  <c r="Q31" i="14"/>
  <c r="R31" i="14" s="1"/>
  <c r="Q35" i="14"/>
  <c r="R35" i="14" s="1"/>
  <c r="Q39" i="14"/>
  <c r="R39" i="14" s="1"/>
  <c r="Q43" i="14"/>
  <c r="R43" i="14" s="1"/>
  <c r="Q47" i="14"/>
  <c r="R47" i="14" s="1"/>
  <c r="Q51" i="14"/>
  <c r="R51" i="14" s="1"/>
  <c r="Q55" i="14"/>
  <c r="R55" i="14" s="1"/>
  <c r="Q59" i="14"/>
  <c r="R59" i="14" s="1"/>
  <c r="Q63" i="14"/>
  <c r="R63" i="14" s="1"/>
  <c r="Q67" i="14"/>
  <c r="R67" i="14" s="1"/>
  <c r="Q71" i="14"/>
  <c r="R71" i="14" s="1"/>
  <c r="Q75" i="14"/>
  <c r="R75" i="14" s="1"/>
  <c r="Q79" i="14"/>
  <c r="R79" i="14" s="1"/>
  <c r="Q24" i="14"/>
  <c r="R24" i="14" s="1"/>
  <c r="Q28" i="14"/>
  <c r="R28" i="14" s="1"/>
  <c r="Q32" i="14"/>
  <c r="R32" i="14" s="1"/>
  <c r="Q36" i="14"/>
  <c r="R36" i="14" s="1"/>
  <c r="Q40" i="14"/>
  <c r="R40" i="14" s="1"/>
  <c r="Q44" i="14"/>
  <c r="R44" i="14" s="1"/>
  <c r="Q48" i="14"/>
  <c r="R48" i="14" s="1"/>
  <c r="Q52" i="14"/>
  <c r="R52" i="14" s="1"/>
  <c r="Q56" i="14"/>
  <c r="R56" i="14" s="1"/>
  <c r="Q60" i="14"/>
  <c r="R60" i="14" s="1"/>
  <c r="Q64" i="14"/>
  <c r="R64" i="14" s="1"/>
  <c r="Q68" i="14"/>
  <c r="R68" i="14" s="1"/>
  <c r="Q72" i="14"/>
  <c r="R72" i="14" s="1"/>
  <c r="Q76" i="14"/>
  <c r="R76" i="14" s="1"/>
  <c r="Q80" i="14"/>
  <c r="R80" i="14" s="1"/>
  <c r="Q25" i="14"/>
  <c r="R25" i="14" s="1"/>
  <c r="Q29" i="14"/>
  <c r="R29" i="14" s="1"/>
  <c r="Q33" i="14"/>
  <c r="R33" i="14" s="1"/>
  <c r="A61" i="1"/>
  <c r="V61" i="1" s="1"/>
  <c r="S79" i="14"/>
  <c r="S81" i="14"/>
  <c r="A65" i="1"/>
  <c r="B65" i="1" s="1"/>
  <c r="S80" i="14"/>
  <c r="A60" i="1"/>
  <c r="Q81" i="14"/>
  <c r="R81" i="14" s="1"/>
  <c r="Q21" i="14"/>
  <c r="R21" i="14" s="1"/>
  <c r="S78" i="14"/>
  <c r="A59" i="1"/>
  <c r="S76" i="14"/>
  <c r="A58" i="1"/>
  <c r="A9" i="1"/>
  <c r="A12" i="1"/>
  <c r="A17" i="1"/>
  <c r="A20" i="1"/>
  <c r="A25" i="1"/>
  <c r="A32" i="1"/>
  <c r="A35" i="1"/>
  <c r="A39" i="1"/>
  <c r="A42" i="1"/>
  <c r="A47" i="1"/>
  <c r="A50" i="1"/>
  <c r="A55" i="1"/>
  <c r="S23" i="14"/>
  <c r="S27" i="14"/>
  <c r="S31" i="14"/>
  <c r="S35" i="14"/>
  <c r="S39" i="14"/>
  <c r="S43" i="14"/>
  <c r="S47" i="14"/>
  <c r="S51" i="14"/>
  <c r="S55" i="14"/>
  <c r="S59" i="14"/>
  <c r="S63" i="14"/>
  <c r="S67" i="14"/>
  <c r="S71" i="14"/>
  <c r="S75" i="14"/>
  <c r="S25" i="14"/>
  <c r="S33" i="14"/>
  <c r="S41" i="14"/>
  <c r="S49" i="14"/>
  <c r="S57" i="14"/>
  <c r="A62" i="1"/>
  <c r="A10" i="1"/>
  <c r="A15" i="1"/>
  <c r="A18" i="1"/>
  <c r="A23" i="1"/>
  <c r="A26" i="1"/>
  <c r="A30" i="1"/>
  <c r="A33" i="1"/>
  <c r="A37" i="1"/>
  <c r="A40" i="1"/>
  <c r="A45" i="1"/>
  <c r="A48" i="1"/>
  <c r="A53" i="1"/>
  <c r="A56" i="1"/>
  <c r="S24" i="14"/>
  <c r="S28" i="14"/>
  <c r="S32" i="14"/>
  <c r="S36" i="14"/>
  <c r="S40" i="14"/>
  <c r="S44" i="14"/>
  <c r="S48" i="14"/>
  <c r="S52" i="14"/>
  <c r="S56" i="14"/>
  <c r="S60" i="14"/>
  <c r="S64" i="14"/>
  <c r="S68" i="14"/>
  <c r="S72" i="14"/>
  <c r="A63" i="1"/>
  <c r="A64" i="1"/>
  <c r="A13" i="1"/>
  <c r="A16" i="1"/>
  <c r="A21" i="1"/>
  <c r="A24" i="1"/>
  <c r="A28" i="1"/>
  <c r="A31" i="1"/>
  <c r="A36" i="1"/>
  <c r="A38" i="1"/>
  <c r="A43" i="1"/>
  <c r="A46" i="1"/>
  <c r="A51" i="1"/>
  <c r="A54" i="1"/>
  <c r="S29" i="14"/>
  <c r="S37" i="14"/>
  <c r="S45" i="14"/>
  <c r="S53" i="14"/>
  <c r="A27" i="1"/>
  <c r="A57" i="1"/>
  <c r="S30" i="14"/>
  <c r="S46" i="14"/>
  <c r="S61" i="14"/>
  <c r="S69" i="14"/>
  <c r="S77" i="14"/>
  <c r="S50" i="14"/>
  <c r="S70" i="14"/>
  <c r="A11" i="1"/>
  <c r="A22" i="1"/>
  <c r="A41" i="1"/>
  <c r="A52" i="1"/>
  <c r="S22" i="14"/>
  <c r="S38" i="14"/>
  <c r="S54" i="14"/>
  <c r="S65" i="14"/>
  <c r="S73" i="14"/>
  <c r="A14" i="1"/>
  <c r="A34" i="1"/>
  <c r="A44" i="1"/>
  <c r="S26" i="14"/>
  <c r="S42" i="14"/>
  <c r="S58" i="14"/>
  <c r="S66" i="14"/>
  <c r="S74" i="14"/>
  <c r="A19" i="1"/>
  <c r="A29" i="1"/>
  <c r="A49" i="1"/>
  <c r="S34" i="14"/>
  <c r="S62" i="14"/>
  <c r="S21" i="14"/>
  <c r="A8" i="1"/>
  <c r="N29" i="7"/>
  <c r="M21" i="7"/>
  <c r="N16" i="7"/>
  <c r="N15" i="7"/>
  <c r="N14" i="7"/>
  <c r="N13" i="7"/>
  <c r="N12" i="7"/>
  <c r="N11" i="7"/>
  <c r="N10" i="7"/>
  <c r="N9" i="7"/>
  <c r="N8" i="7"/>
  <c r="N7" i="7"/>
  <c r="M6" i="7"/>
  <c r="H38" i="7"/>
  <c r="H37" i="7"/>
  <c r="H36" i="7"/>
  <c r="H35" i="7"/>
  <c r="H34" i="7"/>
  <c r="H29" i="7"/>
  <c r="G21" i="7"/>
  <c r="H16" i="7"/>
  <c r="H15" i="7"/>
  <c r="H14" i="7"/>
  <c r="H13" i="7"/>
  <c r="H12" i="7"/>
  <c r="H11" i="7"/>
  <c r="H10" i="7"/>
  <c r="H9" i="7"/>
  <c r="H8" i="7"/>
  <c r="H7" i="7"/>
  <c r="G6" i="7"/>
  <c r="U60" i="1" l="1"/>
  <c r="B60" i="1"/>
  <c r="V60" i="1"/>
  <c r="U61" i="1"/>
  <c r="B61" i="1"/>
  <c r="B11" i="1"/>
  <c r="V11" i="1"/>
  <c r="U11" i="1"/>
  <c r="B57" i="1"/>
  <c r="V57" i="1"/>
  <c r="U57" i="1"/>
  <c r="B54" i="1"/>
  <c r="U54" i="1"/>
  <c r="V54" i="1"/>
  <c r="B38" i="1"/>
  <c r="U38" i="1"/>
  <c r="V38" i="1"/>
  <c r="B24" i="1"/>
  <c r="U24" i="1"/>
  <c r="V24" i="1"/>
  <c r="B64" i="1"/>
  <c r="V64" i="1"/>
  <c r="U64" i="1"/>
  <c r="B53" i="1"/>
  <c r="U53" i="1"/>
  <c r="V53" i="1"/>
  <c r="B37" i="1"/>
  <c r="U37" i="1"/>
  <c r="V37" i="1"/>
  <c r="B23" i="1"/>
  <c r="U23" i="1"/>
  <c r="V23" i="1"/>
  <c r="B59" i="1"/>
  <c r="U59" i="1"/>
  <c r="V59" i="1"/>
  <c r="B42" i="1"/>
  <c r="U42" i="1"/>
  <c r="V42" i="1"/>
  <c r="B12" i="1"/>
  <c r="U12" i="1"/>
  <c r="V12" i="1"/>
  <c r="B49" i="1"/>
  <c r="U49" i="1"/>
  <c r="V49" i="1"/>
  <c r="B44" i="1"/>
  <c r="U44" i="1"/>
  <c r="V44" i="1"/>
  <c r="B52" i="1"/>
  <c r="U52" i="1"/>
  <c r="V52" i="1"/>
  <c r="B51" i="1"/>
  <c r="U51" i="1"/>
  <c r="V51" i="1"/>
  <c r="B36" i="1"/>
  <c r="U36" i="1"/>
  <c r="V36" i="1"/>
  <c r="B21" i="1"/>
  <c r="U21" i="1"/>
  <c r="V21" i="1"/>
  <c r="B63" i="1"/>
  <c r="U63" i="1"/>
  <c r="V63" i="1"/>
  <c r="B48" i="1"/>
  <c r="U48" i="1"/>
  <c r="V48" i="1"/>
  <c r="B33" i="1"/>
  <c r="U33" i="1"/>
  <c r="V33" i="1"/>
  <c r="B18" i="1"/>
  <c r="U18" i="1"/>
  <c r="V18" i="1"/>
  <c r="B62" i="1"/>
  <c r="U62" i="1"/>
  <c r="V62" i="1"/>
  <c r="B55" i="1"/>
  <c r="U55" i="1"/>
  <c r="V55" i="1"/>
  <c r="B39" i="1"/>
  <c r="U39" i="1"/>
  <c r="V39" i="1"/>
  <c r="B25" i="1"/>
  <c r="U25" i="1"/>
  <c r="V25" i="1"/>
  <c r="B9" i="1"/>
  <c r="V9" i="1"/>
  <c r="U9" i="1"/>
  <c r="B29" i="1"/>
  <c r="V29" i="1"/>
  <c r="U29" i="1"/>
  <c r="B34" i="1"/>
  <c r="U34" i="1"/>
  <c r="V34" i="1"/>
  <c r="B41" i="1"/>
  <c r="V41" i="1"/>
  <c r="U41" i="1"/>
  <c r="B27" i="1"/>
  <c r="U27" i="1"/>
  <c r="V27" i="1"/>
  <c r="B46" i="1"/>
  <c r="U46" i="1"/>
  <c r="V46" i="1"/>
  <c r="B31" i="1"/>
  <c r="U31" i="1"/>
  <c r="V31" i="1"/>
  <c r="B16" i="1"/>
  <c r="U16" i="1"/>
  <c r="V16" i="1"/>
  <c r="B45" i="1"/>
  <c r="U45" i="1"/>
  <c r="V45" i="1"/>
  <c r="B30" i="1"/>
  <c r="U30" i="1"/>
  <c r="V30" i="1"/>
  <c r="B15" i="1"/>
  <c r="U15" i="1"/>
  <c r="V15" i="1"/>
  <c r="B50" i="1"/>
  <c r="U50" i="1"/>
  <c r="V50" i="1"/>
  <c r="B35" i="1"/>
  <c r="U35" i="1"/>
  <c r="V35" i="1"/>
  <c r="B20" i="1"/>
  <c r="U20" i="1"/>
  <c r="V20" i="1"/>
  <c r="B58" i="1"/>
  <c r="V58" i="1"/>
  <c r="U58" i="1"/>
  <c r="B19" i="1"/>
  <c r="U19" i="1"/>
  <c r="V19" i="1"/>
  <c r="B14" i="1"/>
  <c r="U14" i="1"/>
  <c r="V14" i="1"/>
  <c r="B22" i="1"/>
  <c r="U22" i="1"/>
  <c r="V22" i="1"/>
  <c r="U65" i="1"/>
  <c r="V65" i="1"/>
  <c r="B43" i="1"/>
  <c r="V43" i="1"/>
  <c r="U43" i="1"/>
  <c r="B28" i="1"/>
  <c r="U28" i="1"/>
  <c r="V28" i="1"/>
  <c r="B13" i="1"/>
  <c r="V13" i="1"/>
  <c r="U13" i="1"/>
  <c r="B56" i="1"/>
  <c r="U56" i="1"/>
  <c r="V56" i="1"/>
  <c r="B40" i="1"/>
  <c r="U40" i="1"/>
  <c r="V40" i="1"/>
  <c r="B26" i="1"/>
  <c r="U26" i="1"/>
  <c r="V26" i="1"/>
  <c r="B10" i="1"/>
  <c r="U10" i="1"/>
  <c r="V10" i="1"/>
  <c r="B47" i="1"/>
  <c r="U47" i="1"/>
  <c r="V47" i="1"/>
  <c r="B32" i="1"/>
  <c r="U32" i="1"/>
  <c r="V32" i="1"/>
  <c r="B17" i="1"/>
  <c r="U17" i="1"/>
  <c r="V17" i="1"/>
  <c r="B8" i="1"/>
  <c r="U8" i="1"/>
  <c r="V8" i="1"/>
  <c r="B38" i="7"/>
  <c r="B37" i="7"/>
  <c r="B36" i="7"/>
  <c r="B35" i="7"/>
  <c r="B34" i="7"/>
  <c r="W60" i="1" l="1"/>
  <c r="W61" i="1"/>
  <c r="J9" i="8"/>
  <c r="I10" i="8"/>
  <c r="J10" i="8"/>
  <c r="I9" i="8"/>
  <c r="W17" i="1"/>
  <c r="Y17" i="1" s="1"/>
  <c r="Z17" i="1" s="1"/>
  <c r="W26" i="1"/>
  <c r="Y26" i="1" s="1"/>
  <c r="W28" i="1"/>
  <c r="W14" i="1"/>
  <c r="W45" i="1"/>
  <c r="W27" i="1"/>
  <c r="W62" i="1"/>
  <c r="W63" i="1"/>
  <c r="W12" i="1"/>
  <c r="Y12" i="1" s="1"/>
  <c r="Z12" i="1" s="1"/>
  <c r="W23" i="1"/>
  <c r="W24" i="1"/>
  <c r="Y24" i="1" s="1"/>
  <c r="Z24" i="1" s="1"/>
  <c r="W32" i="1"/>
  <c r="W40" i="1"/>
  <c r="Y40" i="1" s="1"/>
  <c r="Z40" i="1" s="1"/>
  <c r="W19" i="1"/>
  <c r="W16" i="1"/>
  <c r="W25" i="1"/>
  <c r="W18" i="1"/>
  <c r="W21" i="1"/>
  <c r="W37" i="1"/>
  <c r="W38" i="1"/>
  <c r="W58" i="1"/>
  <c r="Y58" i="1" s="1"/>
  <c r="Z58" i="1" s="1"/>
  <c r="W10" i="1"/>
  <c r="Y10" i="1" s="1"/>
  <c r="Z10" i="1" s="1"/>
  <c r="W30" i="1"/>
  <c r="W46" i="1"/>
  <c r="W55" i="1"/>
  <c r="W48" i="1"/>
  <c r="W51" i="1"/>
  <c r="W49" i="1"/>
  <c r="Y49" i="1" s="1"/>
  <c r="Z49" i="1" s="1"/>
  <c r="W59" i="1"/>
  <c r="Y59" i="1" s="1"/>
  <c r="Z59" i="1" s="1"/>
  <c r="W43" i="1"/>
  <c r="W50" i="1"/>
  <c r="W41" i="1"/>
  <c r="W52" i="1"/>
  <c r="W35" i="1"/>
  <c r="Y35" i="1" s="1"/>
  <c r="Z35" i="1" s="1"/>
  <c r="W9" i="1"/>
  <c r="Y9" i="1" s="1"/>
  <c r="Z9" i="1" s="1"/>
  <c r="W11" i="1"/>
  <c r="W47" i="1"/>
  <c r="W56" i="1"/>
  <c r="W13" i="1"/>
  <c r="W65" i="1"/>
  <c r="Y65" i="1" s="1"/>
  <c r="Z65" i="1" s="1"/>
  <c r="W22" i="1"/>
  <c r="W20" i="1"/>
  <c r="W15" i="1"/>
  <c r="W31" i="1"/>
  <c r="W34" i="1"/>
  <c r="Y34" i="1" s="1"/>
  <c r="Z34" i="1" s="1"/>
  <c r="W29" i="1"/>
  <c r="W39" i="1"/>
  <c r="W33" i="1"/>
  <c r="W36" i="1"/>
  <c r="Y36" i="1" s="1"/>
  <c r="Z36" i="1" s="1"/>
  <c r="W44" i="1"/>
  <c r="W42" i="1"/>
  <c r="W53" i="1"/>
  <c r="Y53" i="1" s="1"/>
  <c r="Z53" i="1" s="1"/>
  <c r="W64" i="1"/>
  <c r="W54" i="1"/>
  <c r="W57" i="1"/>
  <c r="Y57" i="1" s="1"/>
  <c r="Z57" i="1" s="1"/>
  <c r="E8" i="8"/>
  <c r="W8" i="1"/>
  <c r="Y8" i="1" s="1"/>
  <c r="B29" i="7"/>
  <c r="A21" i="7"/>
  <c r="A6" i="7"/>
  <c r="B16" i="7"/>
  <c r="B8" i="7"/>
  <c r="B9" i="7"/>
  <c r="B10" i="7"/>
  <c r="B11" i="7"/>
  <c r="B12" i="7"/>
  <c r="B13" i="7"/>
  <c r="B14" i="7"/>
  <c r="B15" i="7"/>
  <c r="B7" i="7"/>
  <c r="R33" i="1" l="1"/>
  <c r="X33" i="1" s="1"/>
  <c r="Z33" i="1" s="1"/>
  <c r="R31" i="1"/>
  <c r="X31" i="1" s="1"/>
  <c r="Z31" i="1" s="1"/>
  <c r="R26" i="1"/>
  <c r="X26" i="1" s="1"/>
  <c r="R51" i="1"/>
  <c r="R32" i="1"/>
  <c r="X32" i="1" s="1"/>
  <c r="Z32" i="1" s="1"/>
  <c r="R47" i="1"/>
  <c r="R67" i="1"/>
  <c r="R68" i="1"/>
  <c r="R66" i="1"/>
  <c r="Y6" i="1"/>
  <c r="Z8" i="1"/>
  <c r="F10" i="8"/>
  <c r="E6" i="5"/>
  <c r="X6" i="1" l="1"/>
  <c r="Z26" i="1"/>
  <c r="Z6" i="1" s="1"/>
  <c r="I8" i="8"/>
  <c r="J8" i="8"/>
  <c r="F8" i="8"/>
  <c r="F9" i="8"/>
  <c r="E9" i="8"/>
  <c r="E10" i="8"/>
  <c r="Q9" i="8"/>
  <c r="R9" i="8" s="1"/>
  <c r="Q8" i="8"/>
  <c r="Q10" i="8"/>
  <c r="R10" i="8" s="1"/>
  <c r="E15" i="8" l="1"/>
  <c r="R8" i="8"/>
  <c r="Q15" i="8"/>
  <c r="R15" i="8" s="1"/>
  <c r="N9" i="8"/>
  <c r="N10" i="8"/>
  <c r="N8" i="8"/>
  <c r="K8" i="8"/>
  <c r="L8" i="8" s="1"/>
  <c r="G8" i="8"/>
  <c r="H8" i="8" s="1"/>
  <c r="K10" i="8"/>
  <c r="L10" i="8" s="1"/>
  <c r="G9" i="8"/>
  <c r="H9" i="8" s="1"/>
  <c r="G10" i="8"/>
  <c r="H10" i="8" s="1"/>
  <c r="K9" i="8"/>
  <c r="L9" i="8" s="1"/>
  <c r="J15" i="8"/>
  <c r="F15" i="8"/>
  <c r="I15" i="8"/>
  <c r="M8" i="8" l="1"/>
  <c r="O8" i="8" s="1"/>
  <c r="P8" i="8" s="1"/>
  <c r="S8" i="8" s="1"/>
  <c r="U8" i="8" s="1"/>
  <c r="M9" i="8"/>
  <c r="O9" i="8" s="1"/>
  <c r="P9" i="8" s="1"/>
  <c r="S9" i="8" s="1"/>
  <c r="U9" i="8" s="1"/>
  <c r="M10" i="8"/>
  <c r="O10" i="8" s="1"/>
  <c r="P10" i="8" s="1"/>
  <c r="S10" i="8" s="1"/>
  <c r="U10" i="8" s="1"/>
  <c r="K15" i="8"/>
  <c r="L15" i="8" s="1"/>
  <c r="G15" i="8"/>
  <c r="H15" i="8" s="1"/>
  <c r="N15" i="8"/>
  <c r="U21" i="8" l="1"/>
  <c r="M15" i="8"/>
  <c r="O15" i="8" s="1"/>
  <c r="P15" i="8" s="1"/>
  <c r="S15" i="8" s="1"/>
  <c r="U15" i="8" s="1"/>
  <c r="J107" i="17"/>
  <c r="I107" i="17"/>
</calcChain>
</file>

<file path=xl/comments1.xml><?xml version="1.0" encoding="utf-8"?>
<comments xmlns="http://schemas.openxmlformats.org/spreadsheetml/2006/main">
  <authors>
    <author>Sandra</author>
  </authors>
  <commentList>
    <comment ref="G28" authorId="0" shapeId="0">
      <text>
        <r>
          <rPr>
            <b/>
            <sz val="9"/>
            <color indexed="81"/>
            <rFont val="Tahoma"/>
            <family val="2"/>
          </rPr>
          <t>Sandra:</t>
        </r>
        <r>
          <rPr>
            <sz val="9"/>
            <color indexed="81"/>
            <rFont val="Tahoma"/>
            <family val="2"/>
          </rPr>
          <t xml:space="preserve">
Cant. de evaluaciones</t>
        </r>
      </text>
    </comment>
    <comment ref="AH28" authorId="0" shapeId="0">
      <text>
        <r>
          <rPr>
            <b/>
            <sz val="9"/>
            <color indexed="81"/>
            <rFont val="Tahoma"/>
            <family val="2"/>
          </rPr>
          <t>Sandra:</t>
        </r>
        <r>
          <rPr>
            <sz val="9"/>
            <color indexed="81"/>
            <rFont val="Tahoma"/>
            <family val="2"/>
          </rPr>
          <t xml:space="preserve">
Cant. De evaluaciones desaprobadas.</t>
        </r>
      </text>
    </comment>
  </commentList>
</comments>
</file>

<file path=xl/sharedStrings.xml><?xml version="1.0" encoding="utf-8"?>
<sst xmlns="http://schemas.openxmlformats.org/spreadsheetml/2006/main" count="1802" uniqueCount="423">
  <si>
    <t>GRUPO</t>
  </si>
  <si>
    <t>CÓDIGO EMPLEADO</t>
  </si>
  <si>
    <t>NOMBRE</t>
  </si>
  <si>
    <t>Alo Banco</t>
  </si>
  <si>
    <t>G1</t>
  </si>
  <si>
    <t>Carmen Salas</t>
  </si>
  <si>
    <t>G2</t>
  </si>
  <si>
    <t>G3</t>
  </si>
  <si>
    <t>G4</t>
  </si>
  <si>
    <t>G5</t>
  </si>
  <si>
    <t>G6</t>
  </si>
  <si>
    <t>G7</t>
  </si>
  <si>
    <t>G9</t>
  </si>
  <si>
    <t>Cesar Diaz</t>
  </si>
  <si>
    <t>Fyorella Valdiviezo Falcon</t>
  </si>
  <si>
    <t>Hamilton Madueño Tunque</t>
  </si>
  <si>
    <t>Maria Rocio Paniagua Machuca</t>
  </si>
  <si>
    <t>Katherine Cabanillas Gomez</t>
  </si>
  <si>
    <t>Impugnaciones</t>
  </si>
  <si>
    <t>Carol  Muñoz Sanchez</t>
  </si>
  <si>
    <t>Total general</t>
  </si>
  <si>
    <t>META TOTAL</t>
  </si>
  <si>
    <t>PUNTAJE</t>
  </si>
  <si>
    <t>% Cumplimiento</t>
  </si>
  <si>
    <t>Puntaje</t>
  </si>
  <si>
    <t>Menor a 60%</t>
  </si>
  <si>
    <t xml:space="preserve">60% - 79% </t>
  </si>
  <si>
    <t xml:space="preserve">80% - 84% </t>
  </si>
  <si>
    <t xml:space="preserve">85% - 89% </t>
  </si>
  <si>
    <t xml:space="preserve">90% - 93% </t>
  </si>
  <si>
    <t xml:space="preserve">94% - 97% </t>
  </si>
  <si>
    <t xml:space="preserve">90% - 92% </t>
  </si>
  <si>
    <t xml:space="preserve">93% - 94% </t>
  </si>
  <si>
    <t xml:space="preserve">95% - 97% </t>
  </si>
  <si>
    <t xml:space="preserve">98% - 99% </t>
  </si>
  <si>
    <t>N°</t>
  </si>
  <si>
    <t>Nombre_Data</t>
  </si>
  <si>
    <t>Britt Loayza</t>
  </si>
  <si>
    <t>Mario Huamanchumo</t>
  </si>
  <si>
    <t>Vanessa Alvarado</t>
  </si>
  <si>
    <t>Alexandra Quispe</t>
  </si>
  <si>
    <t>Alis Villanueva</t>
  </si>
  <si>
    <t>Angel Yamunaque</t>
  </si>
  <si>
    <t>Hamilton Madueño</t>
  </si>
  <si>
    <t>Sasha Asmat</t>
  </si>
  <si>
    <t>Ursula Naveda Salvatierra</t>
  </si>
  <si>
    <t>Valores</t>
  </si>
  <si>
    <t>Suma de META TOTAL</t>
  </si>
  <si>
    <t>LOGRO</t>
  </si>
  <si>
    <t xml:space="preserve"> Gestión Individual y Grupal - Premio</t>
  </si>
  <si>
    <t>% Individual</t>
  </si>
  <si>
    <t>% Grupal</t>
  </si>
  <si>
    <t>Premio</t>
  </si>
  <si>
    <t>Mayor a 115%</t>
  </si>
  <si>
    <t>111%-115%</t>
  </si>
  <si>
    <t>106%-110%</t>
  </si>
  <si>
    <t>101%-105%</t>
  </si>
  <si>
    <t>Menor a 100%</t>
  </si>
  <si>
    <t>ESPECIALISTA UAC</t>
  </si>
  <si>
    <t>1° trimestre: Ene – Mar (pago abril)</t>
  </si>
  <si>
    <t>2° trimestre: Abr – Jun (pago julio)</t>
  </si>
  <si>
    <t>3° trimestre: Jul – Sep (pago octubre)</t>
  </si>
  <si>
    <t>COMISIÓN (A)</t>
  </si>
  <si>
    <t>PREMIO (B)</t>
  </si>
  <si>
    <t>TOTAL (A+B)</t>
  </si>
  <si>
    <t>CARGO</t>
  </si>
  <si>
    <t>N° CASOS CERRADOS</t>
  </si>
  <si>
    <t>CASOS RESUELTOS</t>
  </si>
  <si>
    <t>Suma de N° CASOS CERRADOS</t>
  </si>
  <si>
    <t>SUPERVISOR</t>
  </si>
  <si>
    <t>N° CASOS SLA</t>
  </si>
  <si>
    <t>TOTAL SLA</t>
  </si>
  <si>
    <t>SLA POR TIPOLOGÍA</t>
  </si>
  <si>
    <t>Fuera de Plazo</t>
  </si>
  <si>
    <t>Dentro de Plazo</t>
  </si>
  <si>
    <t>CALIDAD</t>
  </si>
  <si>
    <t>PRODUCCIÓN Y SLA</t>
  </si>
  <si>
    <t>%CUMP</t>
  </si>
  <si>
    <t>% CUMP</t>
  </si>
  <si>
    <t>IMPUG.</t>
  </si>
  <si>
    <t>NOTA FINAL</t>
  </si>
  <si>
    <t>NOTA (1)</t>
  </si>
  <si>
    <t>NOTA (2)</t>
  </si>
  <si>
    <t>AVANCE KPI's DE LA UNIDAD DE ATENCIÓN AL CLIENTE</t>
  </si>
  <si>
    <t xml:space="preserve">98% - 100% </t>
  </si>
  <si>
    <t>101% - 105%</t>
  </si>
  <si>
    <t>106% - 110%</t>
  </si>
  <si>
    <t>111% - 115%</t>
  </si>
  <si>
    <t>G8</t>
  </si>
  <si>
    <t>G9-Piloto</t>
  </si>
  <si>
    <t>Etiquetas de fila</t>
  </si>
  <si>
    <t>Gina Camacho Villaizan</t>
  </si>
  <si>
    <t>Supervisor</t>
  </si>
  <si>
    <t>Jefe UAC</t>
  </si>
  <si>
    <t>PRODUCTIVIDAD</t>
  </si>
  <si>
    <t>Total Acumulado</t>
  </si>
  <si>
    <t>Promedio</t>
  </si>
  <si>
    <t>GRUPOS</t>
  </si>
  <si>
    <t>SLA</t>
  </si>
  <si>
    <t>Suma de Dentro de Plazo</t>
  </si>
  <si>
    <t>Suma de Total general</t>
  </si>
  <si>
    <t>Vilma Carrera</t>
  </si>
  <si>
    <t>Katherine Cabanillas</t>
  </si>
  <si>
    <t>Gladys Sivincha</t>
  </si>
  <si>
    <t>TOTAL COMISIÓN + PREMIO</t>
  </si>
  <si>
    <t>INICIO</t>
  </si>
  <si>
    <t>FIN</t>
  </si>
  <si>
    <t>Especialista UAC</t>
  </si>
  <si>
    <t>Apoyo UAC</t>
  </si>
  <si>
    <t>Especialista UAC Noche</t>
  </si>
  <si>
    <t>CASOS RESUELTOS - EQUIPO</t>
  </si>
  <si>
    <t>60% - 79%</t>
  </si>
  <si>
    <t>80% - 84%</t>
  </si>
  <si>
    <t>85% - 89%</t>
  </si>
  <si>
    <t>90% - 93%</t>
  </si>
  <si>
    <t>94% - 97%</t>
  </si>
  <si>
    <t>98% - 100%</t>
  </si>
  <si>
    <t>ESPECIALISTA</t>
  </si>
  <si>
    <t>90% - 92%</t>
  </si>
  <si>
    <t>93% - 94%</t>
  </si>
  <si>
    <t>95% - 97%</t>
  </si>
  <si>
    <t>98% - 99%</t>
  </si>
  <si>
    <t>Producción trimestre</t>
  </si>
  <si>
    <t>4° trimestre: Oct – Dic (pago enero)</t>
  </si>
  <si>
    <t>SLA POR TIPOLOGÍA - EQUIPO</t>
  </si>
  <si>
    <t>bono 300</t>
  </si>
  <si>
    <t>CODIGO</t>
  </si>
  <si>
    <t>DIAS LABORADOS</t>
  </si>
  <si>
    <t>CR</t>
  </si>
  <si>
    <t>CS</t>
  </si>
  <si>
    <t>CP</t>
  </si>
  <si>
    <t>OR</t>
  </si>
  <si>
    <t>VR</t>
  </si>
  <si>
    <t>MR</t>
  </si>
  <si>
    <t>SEMANA</t>
  </si>
  <si>
    <t>FECHA DE LA MUESTRA</t>
  </si>
  <si>
    <t>MES</t>
  </si>
  <si>
    <t>N° INCIDENTE</t>
  </si>
  <si>
    <t>NOMBRE DEL ESPECIALISTA</t>
  </si>
  <si>
    <t>PROCESO</t>
  </si>
  <si>
    <t>TIPO DE MONITOREO
N:NORMAL
A:ADICIONAL</t>
  </si>
  <si>
    <t>CD</t>
  </si>
  <si>
    <t>PF</t>
  </si>
  <si>
    <t>LG</t>
  </si>
  <si>
    <t>Nota</t>
  </si>
  <si>
    <t>Cumple con los estandares de Calidad</t>
  </si>
  <si>
    <t>Promedio de Nota</t>
  </si>
  <si>
    <t>COD EMPLEADO</t>
  </si>
  <si>
    <t>Maria Luisa</t>
  </si>
  <si>
    <t>ANGIE MERLY</t>
  </si>
  <si>
    <t>Jhonatan Saldaña</t>
  </si>
  <si>
    <t>Maria Rocio</t>
  </si>
  <si>
    <t>Enrique Gutierrez</t>
  </si>
  <si>
    <t>Cod Empleado</t>
  </si>
  <si>
    <t>NOMBRE GESCO</t>
  </si>
  <si>
    <t>PRODUCTIVIDAD SLA</t>
  </si>
  <si>
    <t>CALIDAR</t>
  </si>
  <si>
    <t>LOGRO TOTAL</t>
  </si>
  <si>
    <t>NOTA KPI</t>
  </si>
  <si>
    <t>SUMA PESOS</t>
  </si>
  <si>
    <t>NOTA (1+2)</t>
  </si>
  <si>
    <t>JEFE</t>
  </si>
  <si>
    <t>META Mes</t>
  </si>
  <si>
    <t>Suma de META Mes</t>
  </si>
  <si>
    <t>Abraham Flores H.</t>
  </si>
  <si>
    <t>Junior Villegas</t>
  </si>
  <si>
    <t>Diana Sanchez</t>
  </si>
  <si>
    <t>Masivos</t>
  </si>
  <si>
    <t>Descansos - Part Time</t>
  </si>
  <si>
    <t>NO</t>
  </si>
  <si>
    <t>SI</t>
  </si>
  <si>
    <t>PROMEDIO</t>
  </si>
  <si>
    <t>Contáctenos</t>
  </si>
  <si>
    <t>Meta Diaria</t>
  </si>
  <si>
    <t>Días  Asistidos</t>
  </si>
  <si>
    <t>Logro</t>
  </si>
  <si>
    <t xml:space="preserve"> Días  Asistidos</t>
  </si>
  <si>
    <t>Meta Dia</t>
  </si>
  <si>
    <t>VALIDACIÓN</t>
  </si>
  <si>
    <t>TOTAL</t>
  </si>
  <si>
    <t>SIN SLA</t>
  </si>
  <si>
    <t>Consumo No Reconocido</t>
  </si>
  <si>
    <t>VALIDACIÓN DE EXT</t>
  </si>
  <si>
    <t>REPORTES</t>
  </si>
  <si>
    <t>(en blanco)</t>
  </si>
  <si>
    <t>PRE POST</t>
  </si>
  <si>
    <t>Extorno</t>
  </si>
  <si>
    <t>Aprobados</t>
  </si>
  <si>
    <t>% Nota</t>
  </si>
  <si>
    <t>Indicador</t>
  </si>
  <si>
    <t>Consumo no reconocido</t>
  </si>
  <si>
    <t>SLA FEBRERO TOTAL</t>
  </si>
  <si>
    <t>Problemas en el Envío de Estado de Cuenta</t>
  </si>
  <si>
    <t>Extornos</t>
  </si>
  <si>
    <t>Del 01/05/2017 al 05/05/2017</t>
  </si>
  <si>
    <t>Del 08/05/2017 al 12/05/2017</t>
  </si>
  <si>
    <t>Del 15/05/2017 al 19/05/2017</t>
  </si>
  <si>
    <t>Del 22/05/2017 al 26/05/2017</t>
  </si>
  <si>
    <t>Del 29/05/2017 al 31/05/2017</t>
  </si>
  <si>
    <t>Explicación de Cuenta</t>
  </si>
  <si>
    <t>Pago no registrado</t>
  </si>
  <si>
    <t>Explicación de cuenta</t>
  </si>
  <si>
    <t>N</t>
  </si>
  <si>
    <t>Correcto</t>
  </si>
  <si>
    <t>Reporte Actualizado al 31 de Mayo 2017</t>
  </si>
  <si>
    <t>Abril</t>
  </si>
  <si>
    <t>Marzo</t>
  </si>
  <si>
    <t>Febrero</t>
  </si>
  <si>
    <t>Noviembre</t>
  </si>
  <si>
    <t>Diciembre</t>
  </si>
  <si>
    <t>Enero</t>
  </si>
  <si>
    <t>ABREGU GONZÁLEZ ADELMO CRISTY</t>
  </si>
  <si>
    <t>ABREU RODRÍGUEZ ADOLFO WALTER</t>
  </si>
  <si>
    <t>ADAMES GÓMEZ ADRIANO TERESA</t>
  </si>
  <si>
    <t>ADARO FERNÁNDEZ AILÍN FERNANDO</t>
  </si>
  <si>
    <t>ADAUTO LÓPEZ ALBERTO SONIA</t>
  </si>
  <si>
    <t>AGRADA DÍAZ ALEJANDRO ARLETH</t>
  </si>
  <si>
    <t>ALBURQUEQUE MARTÍNEZ ALFONSO MARITZA</t>
  </si>
  <si>
    <t>ALCABES PÉREZ ALFREDO ANGELA</t>
  </si>
  <si>
    <t>ALMEIDA GARCÍA ALVAREZ JAVIER</t>
  </si>
  <si>
    <t>ALMEYDA SÁNCHEZ ALVARO JOSE</t>
  </si>
  <si>
    <t>ALVARES ROMERO ANA CRISTINA</t>
  </si>
  <si>
    <t>ALVES SOSA ANDREA NORMA</t>
  </si>
  <si>
    <t>AMADO ÁLVAREZ ANDRÉS ELSA</t>
  </si>
  <si>
    <t>AMARAL TORRES ANGELO KRISTOFER</t>
  </si>
  <si>
    <t>ANGOBALDO RAMÍREZ ARIEL JAMES</t>
  </si>
  <si>
    <t>ANTUNES FLORES ARSENIO HINDRA</t>
  </si>
  <si>
    <t>BAES ACOSTA ARTURO TELLO</t>
  </si>
  <si>
    <t>BARBOZA BENÍTEZ BRAULIO FASABI</t>
  </si>
  <si>
    <t>BARDALES MEDINA CARLOS MARIA</t>
  </si>
  <si>
    <t>BARROSO SUÁREZ CRISTÓBAL NORIS</t>
  </si>
  <si>
    <t>BATISTA HERRERA DIEGO LUZ</t>
  </si>
  <si>
    <t>BRANCO AGUIRRE EDUARDO KEYKO</t>
  </si>
  <si>
    <t>CALIENES PEREYRA ESTEBAN MELISSA</t>
  </si>
  <si>
    <t>CARDOSO GUTIÉRREZ ESTEVAN ALEX</t>
  </si>
  <si>
    <t>CASAL GIMÉNEZ FERNANDO MARGOTH</t>
  </si>
  <si>
    <t>CERNADES MOLINA FORTUNATO AMARELIS</t>
  </si>
  <si>
    <t>CLIMACO SILVA GERARDO PIERO</t>
  </si>
  <si>
    <t>COELHO CASTRO HECTOR DIANA</t>
  </si>
  <si>
    <t>COIMBRA ROJAS HUENU LILIAN</t>
  </si>
  <si>
    <t>COSINGA ORTÍZ HUGO DE</t>
  </si>
  <si>
    <t>COSTA NÚÑEZ IGNACIO PAULA</t>
  </si>
  <si>
    <t>GONZÁLEZ  LUNA JAVIER CARMEN</t>
  </si>
  <si>
    <t>RODRÍGUEZ JUÁREZ JOAQUIN JANNINA</t>
  </si>
  <si>
    <t>PÉREZ CABRERA JORGE SUSANA</t>
  </si>
  <si>
    <t>HERNÁNDEZ RÍOS JOSÉ GLADYZ</t>
  </si>
  <si>
    <t>GARCÍA FERREYRA JUAN LINDERIKA</t>
  </si>
  <si>
    <t>MARTÍNEZ GODOY JULIAN MARINA</t>
  </si>
  <si>
    <t>SÁNCHEZ MORALES JULIO JORGE</t>
  </si>
  <si>
    <t>LÓPEZ DOMÍNGUEZ LEONARDO JORGE</t>
  </si>
  <si>
    <t>DÍAZ MORENO LICHUEN WIDSENIA</t>
  </si>
  <si>
    <t>ROJAS PERALTA LOLA URSULA</t>
  </si>
  <si>
    <t>RAMÍREZ VEGA LUCHO MIRIAM</t>
  </si>
  <si>
    <t>CASTILLO CARRIZO LUIS KATHERINE</t>
  </si>
  <si>
    <t>GÓMEZ QUIROGA MAITEN DENISE</t>
  </si>
  <si>
    <t>ROMERO CASTILLO MANQUE JOEL</t>
  </si>
  <si>
    <t>FERNANDEZ LEDESMA MANUEL HELMUD</t>
  </si>
  <si>
    <t>TORRES MUÑOZ MARCELO DENISSE</t>
  </si>
  <si>
    <t>MENDOZA OJEDA MARCO LUIS</t>
  </si>
  <si>
    <t>MEDINA PONCE MIGUEL DAVID</t>
  </si>
  <si>
    <t>MORENO VERA NAHUEL NEHUEN ANAVELA</t>
  </si>
  <si>
    <t>GUTIÉRREZ VÁZQUEZ NEYEN GRECIA</t>
  </si>
  <si>
    <t>DOCARMO VILLALBA NICOLAS LUYO</t>
  </si>
  <si>
    <t>DOMINGUES CARDOZO NULPI YEFERSON</t>
  </si>
  <si>
    <t>DORADOR NAVARRO PABLO HAROLD</t>
  </si>
  <si>
    <t>DORREGO RAMOS PATRÍCIO SANTOS</t>
  </si>
  <si>
    <t>DOS ARIAS PEDRO ELISA</t>
  </si>
  <si>
    <t>DOSANTOS CORONEL PEHUEN JESSENIA</t>
  </si>
  <si>
    <t>EVANGELISTA CÓRDOBA PICHI JANETH</t>
  </si>
  <si>
    <t>FARIA FIGUEROA RADHIKA FULVIA</t>
  </si>
  <si>
    <t>FAURA CORREA RAFAEL MARIANELA</t>
  </si>
  <si>
    <t>FERNANDES CÁCERES RAIQUEN KAREN</t>
  </si>
  <si>
    <t>FERREIRA VARGAS RAUL WILMER</t>
  </si>
  <si>
    <t>FERREYRA MALDONADO RICARDO MIRTHA</t>
  </si>
  <si>
    <t>FINO MANSILLA ROBERTO LILIA</t>
  </si>
  <si>
    <t>FREITAS FARÍAS RODOLFO MAYRA</t>
  </si>
  <si>
    <t>GOMES RIVERO ROLANDO CESIA</t>
  </si>
  <si>
    <t>GONCALVES PAZ SANTIAGO JORGE</t>
  </si>
  <si>
    <t>GUEDES MIRANDA SEBASTIAN ISAURA</t>
  </si>
  <si>
    <t>GUIMAREY ROLDÁN SERGIO DIANA</t>
  </si>
  <si>
    <t>JUNIOR MÉNDEZ VICENTE CANDY</t>
  </si>
  <si>
    <t>LEANDRO LUCERO VICTOR ROSA</t>
  </si>
  <si>
    <t>LEAO CRUZ XAVIER YACO YOEL</t>
  </si>
  <si>
    <t>LENCASTRE HERNÁNDEZ YAMAI ANGIE</t>
  </si>
  <si>
    <t>LOBATO AGÜERO YENIEN WILMER</t>
  </si>
  <si>
    <t>LOBO PÁEZ YERIMEN KELY</t>
  </si>
  <si>
    <t xml:space="preserve">LOPES BLANCO KATHERINE </t>
  </si>
  <si>
    <t xml:space="preserve">LUGO MENDOZA KERLY </t>
  </si>
  <si>
    <t xml:space="preserve">MAGALLANES BARRIOS YENNIFER </t>
  </si>
  <si>
    <t xml:space="preserve">MAQUEIRA ESCOBAR MARIA </t>
  </si>
  <si>
    <t xml:space="preserve">MARTOS ÁVILA KAYRO </t>
  </si>
  <si>
    <t xml:space="preserve">MAURO SORIA LORENA </t>
  </si>
  <si>
    <t xml:space="preserve">MEGO LEIVA NESTOR </t>
  </si>
  <si>
    <t xml:space="preserve">MELO ACUÑA JOSE </t>
  </si>
  <si>
    <t xml:space="preserve">MELLO MARTIN MILAGROS </t>
  </si>
  <si>
    <t xml:space="preserve">MENEJES MAIDANA LIZZET </t>
  </si>
  <si>
    <t xml:space="preserve">MERELLO MOYANO KATHERINE </t>
  </si>
  <si>
    <t xml:space="preserve">MERES CAMPOS ARIAGNA </t>
  </si>
  <si>
    <t xml:space="preserve">MIDEROS OLIVERA ROSA </t>
  </si>
  <si>
    <t xml:space="preserve">MINAURO DUARTE TREICY </t>
  </si>
  <si>
    <t xml:space="preserve">MIRELES SOTO CARLOS </t>
  </si>
  <si>
    <t xml:space="preserve">MIRES FRANCO LA </t>
  </si>
  <si>
    <t>ABREGU GONZÁLEZ</t>
  </si>
  <si>
    <t>ABREU RODRÍGUEZ</t>
  </si>
  <si>
    <t>ADARO FERNÁNDEZ</t>
  </si>
  <si>
    <t xml:space="preserve">ALMEIDA GARCÍA </t>
  </si>
  <si>
    <t>ALMEYDA SÁNCHEZ</t>
  </si>
  <si>
    <t xml:space="preserve">ALVARES ROMERO </t>
  </si>
  <si>
    <t xml:space="preserve">ANTUNES FLORES </t>
  </si>
  <si>
    <t>BARBOZA BENÍTEZ</t>
  </si>
  <si>
    <t>BARDALES MEDINA</t>
  </si>
  <si>
    <t xml:space="preserve">BARROSO SUÁREZ </t>
  </si>
  <si>
    <t>BATISTA HERRERA</t>
  </si>
  <si>
    <t xml:space="preserve">BRANCO AGUIRRE </t>
  </si>
  <si>
    <t>CERNADES MOLINA</t>
  </si>
  <si>
    <t xml:space="preserve">GONZÁLEZ  LUNA </t>
  </si>
  <si>
    <t xml:space="preserve">HERNÁNDEZ RÍOS </t>
  </si>
  <si>
    <t>GARCÍA FERREYRA</t>
  </si>
  <si>
    <t xml:space="preserve">MARTÍNEZ GODOY </t>
  </si>
  <si>
    <t>SÁNCHEZ MORALES</t>
  </si>
  <si>
    <t>LÓPEZ DOMÍNGUEZ</t>
  </si>
  <si>
    <t>ROMERO CASTILLO</t>
  </si>
  <si>
    <t>FERNANDEZ LEDES</t>
  </si>
  <si>
    <t>TORRES MUÑOZ MA</t>
  </si>
  <si>
    <t>MENDOZA OJEDA M</t>
  </si>
  <si>
    <t>MEDINA PONCE MI</t>
  </si>
  <si>
    <t>MORENO VERA NAH</t>
  </si>
  <si>
    <t>GUTIÉRREZ VÁZQU</t>
  </si>
  <si>
    <t>DOCARMO VILLALB</t>
  </si>
  <si>
    <t>DOMINGUES CARDO</t>
  </si>
  <si>
    <t>DORADOR NAVARRO</t>
  </si>
  <si>
    <t>DORREGO RAMOS P</t>
  </si>
  <si>
    <t>DOS ARIAS PEDRO</t>
  </si>
  <si>
    <t>DOSANTOS CORONE</t>
  </si>
  <si>
    <t>EVANGELISTA CÓR</t>
  </si>
  <si>
    <t xml:space="preserve">FARIA FIGUEROA </t>
  </si>
  <si>
    <t>FAURA CORREA RA</t>
  </si>
  <si>
    <t>FERNANDES CÁCER</t>
  </si>
  <si>
    <t>FERREIRA VARGAS</t>
  </si>
  <si>
    <t>FERREYRA MALDON</t>
  </si>
  <si>
    <t>FINO MANSILLA R</t>
  </si>
  <si>
    <t xml:space="preserve">FREITAS FARÍAS </t>
  </si>
  <si>
    <t>GOMES RIVERO RO</t>
  </si>
  <si>
    <t>GONCALVES PAZ S</t>
  </si>
  <si>
    <t xml:space="preserve">GUEDES MIRANDA </t>
  </si>
  <si>
    <t>GUIMAREY ROLDÁN</t>
  </si>
  <si>
    <t>JUNIOR MÉNDEZ V</t>
  </si>
  <si>
    <t xml:space="preserve">LEANDRO LUCERO </t>
  </si>
  <si>
    <t>LEAO CRUZ XAVIE</t>
  </si>
  <si>
    <t>LENCASTRE HERNÁ</t>
  </si>
  <si>
    <t>LOBATO AGÜERO Y</t>
  </si>
  <si>
    <t>LOBO PÁEZ YERIM</t>
  </si>
  <si>
    <t>LOPES BLANCO KA</t>
  </si>
  <si>
    <t>LUGO MENDOZA KE</t>
  </si>
  <si>
    <t>MAGALLANES BARR</t>
  </si>
  <si>
    <t>MAQUEIRA ESCOBA</t>
  </si>
  <si>
    <t>MARTOS ÁVILA KA</t>
  </si>
  <si>
    <t>MAURO SORIA LOR</t>
  </si>
  <si>
    <t>MEGO LEIVA NEST</t>
  </si>
  <si>
    <t>MELO ACUÑA JOSE</t>
  </si>
  <si>
    <t>MELLO MARTIN MI</t>
  </si>
  <si>
    <t>MENEJES MAIDANA</t>
  </si>
  <si>
    <t xml:space="preserve">MERELLO MOYANO </t>
  </si>
  <si>
    <t>MERES CAMPOS AR</t>
  </si>
  <si>
    <t>MIDEROS OLIVERA</t>
  </si>
  <si>
    <t xml:space="preserve">MINAURO DUARTE </t>
  </si>
  <si>
    <t>MIRELES SOTO CA</t>
  </si>
  <si>
    <t>MIRES FRANCO LA</t>
  </si>
  <si>
    <t xml:space="preserve">ADAMES GÓMEZ </t>
  </si>
  <si>
    <t xml:space="preserve">ADAUTO LÓPEZ </t>
  </si>
  <si>
    <t xml:space="preserve">AGRADA DÍAZ </t>
  </si>
  <si>
    <t xml:space="preserve">ALBURQUEQUE </t>
  </si>
  <si>
    <t xml:space="preserve">ALCABES PÉREZ </t>
  </si>
  <si>
    <t xml:space="preserve">ALVES SOSA </t>
  </si>
  <si>
    <t xml:space="preserve">AMADO ÁLVAREZ </t>
  </si>
  <si>
    <t xml:space="preserve">AMARAL TORRES </t>
  </si>
  <si>
    <t>ANGOBALDO RAMÍREZ</t>
  </si>
  <si>
    <t xml:space="preserve">BAES ACOSTA </t>
  </si>
  <si>
    <t>CALIENES PEREYRA</t>
  </si>
  <si>
    <t>CARDOSO GUTIÉRREZ</t>
  </si>
  <si>
    <t xml:space="preserve">CASAL GIMÉNEZ </t>
  </si>
  <si>
    <t xml:space="preserve">CLIMACO SILVA </t>
  </si>
  <si>
    <t xml:space="preserve">COELHO CASTRO </t>
  </si>
  <si>
    <t xml:space="preserve">COIMBRA ROJAS </t>
  </si>
  <si>
    <t xml:space="preserve">COSINGA ORTÍZ </t>
  </si>
  <si>
    <t xml:space="preserve">COSTA NÚÑEZ </t>
  </si>
  <si>
    <t>RODRÍGUEZ JUÁREZ</t>
  </si>
  <si>
    <t xml:space="preserve">PÉREZ CABRERA </t>
  </si>
  <si>
    <t xml:space="preserve">DÍAZ MORENO </t>
  </si>
  <si>
    <t xml:space="preserve">ROJAS PERALTA </t>
  </si>
  <si>
    <t xml:space="preserve">RAMÍREZ VEGA </t>
  </si>
  <si>
    <t>CASTILLO CARRIZO</t>
  </si>
  <si>
    <t xml:space="preserve">GÓMEZ QUIROGA </t>
  </si>
  <si>
    <t>Elka Mendoza</t>
  </si>
  <si>
    <t>Elka Mendoza Reategui</t>
  </si>
  <si>
    <t>MENDOZA REATEGUI ELKA PAOLA</t>
  </si>
  <si>
    <t>% CUMP2</t>
  </si>
  <si>
    <t>PEREZ DIAZ ROSA MARIA</t>
  </si>
  <si>
    <t xml:space="preserve"> </t>
  </si>
  <si>
    <t>CargoID</t>
  </si>
  <si>
    <t>G9P</t>
  </si>
  <si>
    <t>IMP</t>
  </si>
  <si>
    <t>AB</t>
  </si>
  <si>
    <t>MAS</t>
  </si>
  <si>
    <t>CON</t>
  </si>
  <si>
    <t>NULL</t>
  </si>
  <si>
    <t>MIDEROS OLIVERA ROSA</t>
  </si>
  <si>
    <t>MINAURO DUARTE TREICY</t>
  </si>
  <si>
    <t>MIRELES SOTO CARLOS</t>
  </si>
  <si>
    <t>Año</t>
  </si>
  <si>
    <t>Mes</t>
  </si>
  <si>
    <t>Id</t>
  </si>
  <si>
    <t>Grupo</t>
  </si>
  <si>
    <t>ResponsableId</t>
  </si>
  <si>
    <t>Responsable</t>
  </si>
  <si>
    <t>Cargo</t>
  </si>
  <si>
    <t>Comision</t>
  </si>
  <si>
    <t>Area</t>
  </si>
  <si>
    <t>Especialista</t>
  </si>
  <si>
    <t>Jefe</t>
  </si>
  <si>
    <t>IGrupo</t>
  </si>
  <si>
    <t>ICargoComision</t>
  </si>
  <si>
    <t>Productividad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</si>
</sst>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S/.&quot;\ #,##0;[Red]&quot;S/.&quot;\ \-#,##0"/>
    <numFmt numFmtId="165" formatCode="_ * #,##0.00_ ;_ * \-#,##0.00_ ;_ * &quot;-&quot;??_ ;_ @_ "/>
    <numFmt numFmtId="166" formatCode="0.0%"/>
    <numFmt numFmtId="167" formatCode="_ [$S/.-280A]\ * #,##0.00_ ;_ [$S/.-280A]\ * \-#,##0.00_ ;_ [$S/.-280A]\ * &quot;-&quot;??_ ;_ @_ "/>
    <numFmt numFmtId="168" formatCode="_ [$S/.-280A]\ * #,##0_ ;_ [$S/.-280A]\ * \-#,##0_ ;_ [$S/.-280A]\ * &quot;-&quot;??_ ;_ @_ "/>
    <numFmt numFmtId="169" formatCode="_ * #,##0_ ;_ * \-#,##0_ ;_ * &quot;-&quot;??_ ;_ @_ "/>
    <numFmt numFmtId="170" formatCode="&quot;S/.&quot;\ #,##0.00"/>
  </numFmts>
  <fonts count="6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rgb="FF30906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Calibri"/>
      <family val="2"/>
    </font>
    <font>
      <b/>
      <sz val="12"/>
      <color rgb="FF336699"/>
      <name val="Calibri"/>
      <family val="2"/>
      <scheme val="minor"/>
    </font>
    <font>
      <b/>
      <sz val="12"/>
      <color rgb="FF003366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FFFF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2B996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0906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FF5EA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D9E6F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6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hair">
        <color theme="0"/>
      </right>
      <top/>
      <bottom style="hair">
        <color theme="0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/>
      <top/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5"/>
      </top>
      <bottom style="thin">
        <color theme="5" tint="0.79998168889431442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 style="thick">
        <color theme="0"/>
      </right>
      <top/>
      <bottom style="hair">
        <color theme="0"/>
      </bottom>
      <diagonal/>
    </border>
    <border>
      <left style="thick">
        <color theme="0"/>
      </left>
      <right/>
      <top/>
      <bottom style="hair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theme="0"/>
      </bottom>
      <diagonal/>
    </border>
    <border>
      <left/>
      <right/>
      <top style="thin">
        <color theme="5" tint="0.79998168889431442"/>
      </top>
      <bottom style="thin">
        <color theme="5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8" fillId="0" borderId="0"/>
    <xf numFmtId="0" fontId="5" fillId="0" borderId="0"/>
    <xf numFmtId="0" fontId="9" fillId="0" borderId="0"/>
    <xf numFmtId="9" fontId="9" fillId="0" borderId="0" applyFont="0" applyFill="0" applyBorder="0" applyAlignment="0" applyProtection="0"/>
    <xf numFmtId="0" fontId="5" fillId="0" borderId="0"/>
    <xf numFmtId="0" fontId="5" fillId="0" borderId="0"/>
    <xf numFmtId="0" fontId="18" fillId="0" borderId="0"/>
    <xf numFmtId="165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30" applyNumberFormat="0" applyFill="0" applyAlignment="0" applyProtection="0"/>
    <xf numFmtId="0" fontId="26" fillId="0" borderId="31" applyNumberFormat="0" applyFill="0" applyAlignment="0" applyProtection="0"/>
    <xf numFmtId="0" fontId="27" fillId="0" borderId="32" applyNumberFormat="0" applyFill="0" applyAlignment="0" applyProtection="0"/>
    <xf numFmtId="0" fontId="27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9" fillId="23" borderId="0" applyNumberFormat="0" applyBorder="0" applyAlignment="0" applyProtection="0"/>
    <xf numFmtId="0" fontId="30" fillId="24" borderId="0" applyNumberFormat="0" applyBorder="0" applyAlignment="0" applyProtection="0"/>
    <xf numFmtId="0" fontId="31" fillId="25" borderId="33" applyNumberFormat="0" applyAlignment="0" applyProtection="0"/>
    <xf numFmtId="0" fontId="32" fillId="26" borderId="34" applyNumberFormat="0" applyAlignment="0" applyProtection="0"/>
    <xf numFmtId="0" fontId="33" fillId="26" borderId="33" applyNumberFormat="0" applyAlignment="0" applyProtection="0"/>
    <xf numFmtId="0" fontId="34" fillId="0" borderId="35" applyNumberFormat="0" applyFill="0" applyAlignment="0" applyProtection="0"/>
    <xf numFmtId="0" fontId="35" fillId="27" borderId="36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38" applyNumberFormat="0" applyFill="0" applyAlignment="0" applyProtection="0"/>
    <xf numFmtId="0" fontId="3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39" fillId="52" borderId="0" applyNumberFormat="0" applyBorder="0" applyAlignment="0" applyProtection="0"/>
    <xf numFmtId="0" fontId="1" fillId="0" borderId="0"/>
    <xf numFmtId="0" fontId="1" fillId="28" borderId="37" applyNumberFormat="0" applyFont="0" applyAlignment="0" applyProtection="0"/>
  </cellStyleXfs>
  <cellXfs count="286">
    <xf numFmtId="0" fontId="0" fillId="0" borderId="0" xfId="0"/>
    <xf numFmtId="0" fontId="0" fillId="0" borderId="0" xfId="0" pivotButton="1"/>
    <xf numFmtId="9" fontId="0" fillId="0" borderId="0" xfId="1" applyFont="1"/>
    <xf numFmtId="0" fontId="3" fillId="3" borderId="1" xfId="0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horizontal="center" vertical="center" wrapText="1" readingOrder="1"/>
    </xf>
    <xf numFmtId="9" fontId="4" fillId="4" borderId="2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9" fontId="4" fillId="4" borderId="3" xfId="0" applyNumberFormat="1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9" fontId="4" fillId="4" borderId="1" xfId="0" applyNumberFormat="1" applyFont="1" applyFill="1" applyBorder="1" applyAlignment="1">
      <alignment horizontal="center" vertical="center" wrapText="1" readingOrder="1"/>
    </xf>
    <xf numFmtId="0" fontId="0" fillId="0" borderId="0" xfId="0"/>
    <xf numFmtId="0" fontId="0" fillId="0" borderId="0" xfId="0" applyNumberFormat="1"/>
    <xf numFmtId="0" fontId="6" fillId="0" borderId="4" xfId="0" applyFont="1" applyFill="1" applyBorder="1" applyAlignment="1">
      <alignment horizontal="left"/>
    </xf>
    <xf numFmtId="0" fontId="0" fillId="0" borderId="0" xfId="0" applyBorder="1"/>
    <xf numFmtId="0" fontId="6" fillId="5" borderId="4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7" borderId="2" xfId="0" applyFont="1" applyFill="1" applyBorder="1" applyAlignment="1">
      <alignment horizontal="center" vertical="center" wrapText="1" readingOrder="1"/>
    </xf>
    <xf numFmtId="164" fontId="4" fillId="4" borderId="3" xfId="0" applyNumberFormat="1" applyFont="1" applyFill="1" applyBorder="1" applyAlignment="1">
      <alignment horizontal="center" vertical="center" wrapText="1" readingOrder="1"/>
    </xf>
    <xf numFmtId="164" fontId="4" fillId="4" borderId="1" xfId="0" applyNumberFormat="1" applyFont="1" applyFill="1" applyBorder="1" applyAlignment="1">
      <alignment horizontal="center" vertical="center" wrapText="1" readingOrder="1"/>
    </xf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 applyFill="1"/>
    <xf numFmtId="0" fontId="13" fillId="0" borderId="0" xfId="0" applyFont="1"/>
    <xf numFmtId="0" fontId="8" fillId="0" borderId="15" xfId="0" applyFont="1" applyBorder="1"/>
    <xf numFmtId="168" fontId="12" fillId="0" borderId="0" xfId="0" applyNumberFormat="1" applyFont="1" applyFill="1"/>
    <xf numFmtId="0" fontId="9" fillId="8" borderId="9" xfId="0" applyFont="1" applyFill="1" applyBorder="1"/>
    <xf numFmtId="169" fontId="9" fillId="0" borderId="0" xfId="2" applyNumberFormat="1" applyFont="1"/>
    <xf numFmtId="0" fontId="15" fillId="0" borderId="0" xfId="0" applyFont="1"/>
    <xf numFmtId="0" fontId="10" fillId="2" borderId="18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 vertical="center" wrapText="1"/>
    </xf>
    <xf numFmtId="9" fontId="16" fillId="9" borderId="13" xfId="0" applyNumberFormat="1" applyFont="1" applyFill="1" applyBorder="1" applyAlignment="1">
      <alignment horizontal="center" vertical="center"/>
    </xf>
    <xf numFmtId="9" fontId="17" fillId="12" borderId="17" xfId="0" applyNumberFormat="1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19" fillId="0" borderId="0" xfId="3" applyFont="1"/>
    <xf numFmtId="0" fontId="10" fillId="15" borderId="18" xfId="0" applyFont="1" applyFill="1" applyBorder="1" applyAlignment="1">
      <alignment horizontal="center" vertical="center" wrapText="1"/>
    </xf>
    <xf numFmtId="0" fontId="10" fillId="15" borderId="19" xfId="0" applyFont="1" applyFill="1" applyBorder="1" applyAlignment="1">
      <alignment horizontal="center" vertical="center" wrapText="1"/>
    </xf>
    <xf numFmtId="0" fontId="9" fillId="17" borderId="8" xfId="0" applyFont="1" applyFill="1" applyBorder="1"/>
    <xf numFmtId="0" fontId="9" fillId="17" borderId="9" xfId="0" applyFont="1" applyFill="1" applyBorder="1"/>
    <xf numFmtId="0" fontId="22" fillId="17" borderId="9" xfId="0" applyFont="1" applyFill="1" applyBorder="1"/>
    <xf numFmtId="0" fontId="9" fillId="17" borderId="9" xfId="0" applyNumberFormat="1" applyFont="1" applyFill="1" applyBorder="1"/>
    <xf numFmtId="9" fontId="9" fillId="17" borderId="9" xfId="1" applyNumberFormat="1" applyFont="1" applyFill="1" applyBorder="1"/>
    <xf numFmtId="0" fontId="9" fillId="17" borderId="20" xfId="0" applyNumberFormat="1" applyFont="1" applyFill="1" applyBorder="1"/>
    <xf numFmtId="166" fontId="9" fillId="17" borderId="10" xfId="1" applyNumberFormat="1" applyFont="1" applyFill="1" applyBorder="1"/>
    <xf numFmtId="9" fontId="9" fillId="17" borderId="11" xfId="0" applyNumberFormat="1" applyFont="1" applyFill="1" applyBorder="1"/>
    <xf numFmtId="9" fontId="9" fillId="17" borderId="10" xfId="1" applyFont="1" applyFill="1" applyBorder="1"/>
    <xf numFmtId="167" fontId="9" fillId="17" borderId="20" xfId="0" applyNumberFormat="1" applyFont="1" applyFill="1" applyBorder="1"/>
    <xf numFmtId="167" fontId="9" fillId="17" borderId="11" xfId="0" applyNumberFormat="1" applyFont="1" applyFill="1" applyBorder="1"/>
    <xf numFmtId="167" fontId="9" fillId="17" borderId="10" xfId="0" applyNumberFormat="1" applyFont="1" applyFill="1" applyBorder="1"/>
    <xf numFmtId="167" fontId="9" fillId="17" borderId="12" xfId="0" applyNumberFormat="1" applyFont="1" applyFill="1" applyBorder="1"/>
    <xf numFmtId="166" fontId="22" fillId="17" borderId="12" xfId="1" applyNumberFormat="1" applyFont="1" applyFill="1" applyBorder="1"/>
    <xf numFmtId="9" fontId="9" fillId="18" borderId="22" xfId="1" applyNumberFormat="1" applyFont="1" applyFill="1" applyBorder="1"/>
    <xf numFmtId="9" fontId="9" fillId="18" borderId="21" xfId="1" applyFont="1" applyFill="1" applyBorder="1"/>
    <xf numFmtId="0" fontId="6" fillId="0" borderId="0" xfId="0" applyFont="1" applyFill="1" applyBorder="1" applyAlignment="1">
      <alignment horizontal="left"/>
    </xf>
    <xf numFmtId="0" fontId="9" fillId="17" borderId="9" xfId="0" applyFont="1" applyFill="1" applyBorder="1" applyAlignment="1">
      <alignment horizontal="left"/>
    </xf>
    <xf numFmtId="0" fontId="8" fillId="19" borderId="23" xfId="0" applyFont="1" applyFill="1" applyBorder="1" applyAlignment="1">
      <alignment horizontal="center"/>
    </xf>
    <xf numFmtId="3" fontId="8" fillId="19" borderId="24" xfId="0" applyNumberFormat="1" applyFont="1" applyFill="1" applyBorder="1" applyAlignment="1">
      <alignment horizontal="center"/>
    </xf>
    <xf numFmtId="0" fontId="8" fillId="19" borderId="28" xfId="0" applyFont="1" applyFill="1" applyBorder="1" applyAlignment="1">
      <alignment horizontal="left"/>
    </xf>
    <xf numFmtId="3" fontId="0" fillId="0" borderId="0" xfId="0" applyNumberFormat="1"/>
    <xf numFmtId="0" fontId="8" fillId="19" borderId="26" xfId="0" applyFont="1" applyFill="1" applyBorder="1"/>
    <xf numFmtId="0" fontId="0" fillId="9" borderId="0" xfId="0" applyFill="1"/>
    <xf numFmtId="0" fontId="8" fillId="19" borderId="25" xfId="0" applyFont="1" applyFill="1" applyBorder="1"/>
    <xf numFmtId="0" fontId="23" fillId="20" borderId="0" xfId="0" applyFont="1" applyFill="1"/>
    <xf numFmtId="9" fontId="0" fillId="0" borderId="0" xfId="0" applyNumberFormat="1"/>
    <xf numFmtId="166" fontId="0" fillId="0" borderId="0" xfId="0" applyNumberFormat="1"/>
    <xf numFmtId="9" fontId="9" fillId="18" borderId="39" xfId="1" applyFont="1" applyFill="1" applyBorder="1"/>
    <xf numFmtId="9" fontId="9" fillId="17" borderId="39" xfId="1" applyFont="1" applyFill="1" applyBorder="1"/>
    <xf numFmtId="0" fontId="9" fillId="0" borderId="0" xfId="0" applyFont="1" applyAlignment="1">
      <alignment horizontal="center"/>
    </xf>
    <xf numFmtId="168" fontId="12" fillId="0" borderId="4" xfId="0" applyNumberFormat="1" applyFont="1" applyFill="1" applyBorder="1"/>
    <xf numFmtId="0" fontId="41" fillId="0" borderId="0" xfId="0" applyFont="1" applyBorder="1" applyAlignment="1">
      <alignment horizontal="center"/>
    </xf>
    <xf numFmtId="168" fontId="12" fillId="0" borderId="0" xfId="0" applyNumberFormat="1" applyFont="1" applyFill="1" applyBorder="1"/>
    <xf numFmtId="167" fontId="9" fillId="17" borderId="8" xfId="0" applyNumberFormat="1" applyFont="1" applyFill="1" applyBorder="1"/>
    <xf numFmtId="167" fontId="42" fillId="5" borderId="0" xfId="0" applyNumberFormat="1" applyFont="1" applyFill="1"/>
    <xf numFmtId="0" fontId="8" fillId="0" borderId="40" xfId="0" applyFont="1" applyBorder="1"/>
    <xf numFmtId="1" fontId="9" fillId="0" borderId="0" xfId="0" applyNumberFormat="1" applyFont="1"/>
    <xf numFmtId="3" fontId="9" fillId="17" borderId="9" xfId="0" applyNumberFormat="1" applyFont="1" applyFill="1" applyBorder="1"/>
    <xf numFmtId="3" fontId="9" fillId="0" borderId="0" xfId="0" applyNumberFormat="1" applyFont="1"/>
    <xf numFmtId="3" fontId="9" fillId="17" borderId="20" xfId="0" applyNumberFormat="1" applyFont="1" applyFill="1" applyBorder="1"/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/>
    <xf numFmtId="9" fontId="0" fillId="0" borderId="0" xfId="0" applyNumberFormat="1" applyBorder="1"/>
    <xf numFmtId="166" fontId="0" fillId="0" borderId="0" xfId="0" applyNumberFormat="1" applyBorder="1"/>
    <xf numFmtId="0" fontId="40" fillId="0" borderId="0" xfId="0" applyFont="1"/>
    <xf numFmtId="0" fontId="9" fillId="53" borderId="0" xfId="0" applyFont="1" applyFill="1"/>
    <xf numFmtId="1" fontId="9" fillId="53" borderId="0" xfId="0" applyNumberFormat="1" applyFont="1" applyFill="1"/>
    <xf numFmtId="0" fontId="9" fillId="53" borderId="0" xfId="0" applyFont="1" applyFill="1" applyAlignment="1">
      <alignment horizontal="center"/>
    </xf>
    <xf numFmtId="0" fontId="10" fillId="21" borderId="48" xfId="5" applyFont="1" applyFill="1" applyBorder="1" applyAlignment="1">
      <alignment horizontal="center" vertical="center" wrapText="1"/>
    </xf>
    <xf numFmtId="0" fontId="10" fillId="21" borderId="49" xfId="5" applyFont="1" applyFill="1" applyBorder="1" applyAlignment="1">
      <alignment horizontal="center" vertical="center" wrapText="1"/>
    </xf>
    <xf numFmtId="0" fontId="10" fillId="21" borderId="47" xfId="5" applyFont="1" applyFill="1" applyBorder="1" applyAlignment="1">
      <alignment horizontal="center" vertical="center" wrapText="1"/>
    </xf>
    <xf numFmtId="0" fontId="10" fillId="21" borderId="46" xfId="5" applyFont="1" applyFill="1" applyBorder="1" applyAlignment="1">
      <alignment horizontal="center" vertical="center" wrapText="1"/>
    </xf>
    <xf numFmtId="1" fontId="10" fillId="21" borderId="46" xfId="5" applyNumberFormat="1" applyFont="1" applyFill="1" applyBorder="1" applyAlignment="1">
      <alignment horizontal="center" vertical="center" wrapText="1"/>
    </xf>
    <xf numFmtId="0" fontId="43" fillId="54" borderId="50" xfId="5" applyFont="1" applyFill="1" applyBorder="1" applyAlignment="1">
      <alignment horizontal="center" vertical="center"/>
    </xf>
    <xf numFmtId="0" fontId="43" fillId="54" borderId="51" xfId="5" applyFont="1" applyFill="1" applyBorder="1" applyAlignment="1">
      <alignment horizontal="center" vertical="center"/>
    </xf>
    <xf numFmtId="0" fontId="43" fillId="55" borderId="49" xfId="5" applyFont="1" applyFill="1" applyBorder="1" applyAlignment="1">
      <alignment horizontal="center" vertical="center"/>
    </xf>
    <xf numFmtId="0" fontId="43" fillId="54" borderId="52" xfId="5" applyFont="1" applyFill="1" applyBorder="1" applyAlignment="1">
      <alignment horizontal="center" vertical="center"/>
    </xf>
    <xf numFmtId="0" fontId="43" fillId="54" borderId="46" xfId="5" applyFont="1" applyFill="1" applyBorder="1" applyAlignment="1">
      <alignment horizontal="center" vertical="center"/>
    </xf>
    <xf numFmtId="0" fontId="10" fillId="21" borderId="53" xfId="5" applyFont="1" applyFill="1" applyBorder="1" applyAlignment="1">
      <alignment horizontal="center" vertical="center" wrapText="1"/>
    </xf>
    <xf numFmtId="14" fontId="22" fillId="53" borderId="4" xfId="0" applyNumberFormat="1" applyFont="1" applyFill="1" applyBorder="1" applyAlignment="1">
      <alignment horizontal="center" vertical="center"/>
    </xf>
    <xf numFmtId="1" fontId="22" fillId="53" borderId="4" xfId="0" applyNumberFormat="1" applyFont="1" applyFill="1" applyBorder="1" applyAlignment="1">
      <alignment horizontal="center" vertical="center"/>
    </xf>
    <xf numFmtId="14" fontId="22" fillId="53" borderId="4" xfId="0" applyNumberFormat="1" applyFont="1" applyFill="1" applyBorder="1" applyAlignment="1">
      <alignment horizontal="left" vertical="center"/>
    </xf>
    <xf numFmtId="9" fontId="9" fillId="0" borderId="54" xfId="1" applyFont="1" applyBorder="1" applyAlignment="1">
      <alignment horizontal="center"/>
    </xf>
    <xf numFmtId="9" fontId="41" fillId="55" borderId="54" xfId="1" applyFont="1" applyFill="1" applyBorder="1" applyAlignment="1">
      <alignment horizontal="center"/>
    </xf>
    <xf numFmtId="9" fontId="40" fillId="0" borderId="54" xfId="1" applyFont="1" applyBorder="1" applyAlignment="1">
      <alignment horizontal="center"/>
    </xf>
    <xf numFmtId="9" fontId="43" fillId="55" borderId="54" xfId="1" applyFont="1" applyFill="1" applyBorder="1" applyAlignment="1">
      <alignment horizontal="center"/>
    </xf>
    <xf numFmtId="9" fontId="9" fillId="0" borderId="55" xfId="1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9" fillId="0" borderId="0" xfId="0" applyFont="1" applyBorder="1"/>
    <xf numFmtId="0" fontId="22" fillId="53" borderId="4" xfId="0" applyNumberFormat="1" applyFont="1" applyFill="1" applyBorder="1" applyAlignment="1">
      <alignment horizontal="left" vertical="center"/>
    </xf>
    <xf numFmtId="0" fontId="44" fillId="56" borderId="0" xfId="0" applyFont="1" applyFill="1" applyAlignment="1">
      <alignment horizontal="center"/>
    </xf>
    <xf numFmtId="0" fontId="44" fillId="56" borderId="0" xfId="0" applyFont="1" applyFill="1" applyBorder="1" applyAlignment="1">
      <alignment horizontal="center"/>
    </xf>
    <xf numFmtId="0" fontId="44" fillId="56" borderId="4" xfId="0" applyFont="1" applyFill="1" applyBorder="1" applyAlignment="1">
      <alignment horizontal="center"/>
    </xf>
    <xf numFmtId="0" fontId="0" fillId="0" borderId="27" xfId="0" applyFill="1" applyBorder="1" applyAlignment="1">
      <alignment horizontal="left" indent="1"/>
    </xf>
    <xf numFmtId="0" fontId="8" fillId="0" borderId="0" xfId="0" applyNumberFormat="1" applyFont="1" applyBorder="1" applyAlignment="1">
      <alignment horizontal="center"/>
    </xf>
    <xf numFmtId="0" fontId="8" fillId="57" borderId="0" xfId="0" applyNumberFormat="1" applyFont="1" applyFill="1" applyBorder="1" applyAlignment="1">
      <alignment horizontal="center"/>
    </xf>
    <xf numFmtId="0" fontId="45" fillId="10" borderId="14" xfId="0" applyFont="1" applyFill="1" applyBorder="1" applyAlignment="1">
      <alignment horizontal="center" vertical="center" wrapText="1"/>
    </xf>
    <xf numFmtId="9" fontId="13" fillId="0" borderId="0" xfId="0" applyNumberFormat="1" applyFont="1"/>
    <xf numFmtId="9" fontId="11" fillId="0" borderId="0" xfId="0" applyNumberFormat="1" applyFont="1"/>
    <xf numFmtId="9" fontId="9" fillId="18" borderId="39" xfId="1" applyNumberFormat="1" applyFont="1" applyFill="1" applyBorder="1"/>
    <xf numFmtId="166" fontId="9" fillId="18" borderId="39" xfId="1" applyNumberFormat="1" applyFont="1" applyFill="1" applyBorder="1"/>
    <xf numFmtId="166" fontId="9" fillId="18" borderId="22" xfId="1" applyNumberFormat="1" applyFont="1" applyFill="1" applyBorder="1"/>
    <xf numFmtId="0" fontId="10" fillId="56" borderId="18" xfId="0" applyFont="1" applyFill="1" applyBorder="1" applyAlignment="1">
      <alignment horizontal="center" vertical="center" wrapText="1"/>
    </xf>
    <xf numFmtId="0" fontId="10" fillId="56" borderId="14" xfId="0" applyFont="1" applyFill="1" applyBorder="1" applyAlignment="1">
      <alignment horizontal="center" vertical="center" wrapText="1"/>
    </xf>
    <xf numFmtId="0" fontId="10" fillId="56" borderId="19" xfId="0" applyFont="1" applyFill="1" applyBorder="1" applyAlignment="1">
      <alignment horizontal="center" vertical="center" wrapText="1"/>
    </xf>
    <xf numFmtId="0" fontId="10" fillId="10" borderId="0" xfId="0" applyFont="1" applyFill="1" applyBorder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 wrapText="1"/>
    </xf>
    <xf numFmtId="9" fontId="9" fillId="0" borderId="0" xfId="1" applyFont="1"/>
    <xf numFmtId="0" fontId="10" fillId="15" borderId="14" xfId="0" applyFont="1" applyFill="1" applyBorder="1" applyAlignment="1">
      <alignment horizontal="center" vertical="center" wrapText="1"/>
    </xf>
    <xf numFmtId="3" fontId="8" fillId="19" borderId="0" xfId="0" applyNumberFormat="1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46" fillId="5" borderId="49" xfId="5" applyFont="1" applyFill="1" applyBorder="1" applyAlignment="1">
      <alignment horizontal="center" vertical="center" wrapText="1"/>
    </xf>
    <xf numFmtId="0" fontId="0" fillId="5" borderId="0" xfId="0" applyFill="1"/>
    <xf numFmtId="0" fontId="47" fillId="0" borderId="4" xfId="0" applyFont="1" applyFill="1" applyBorder="1" applyAlignment="1">
      <alignment horizontal="left"/>
    </xf>
    <xf numFmtId="3" fontId="8" fillId="19" borderId="29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3" fontId="50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0" fillId="0" borderId="0" xfId="0" applyNumberFormat="1"/>
    <xf numFmtId="169" fontId="0" fillId="0" borderId="0" xfId="0" applyNumberFormat="1"/>
    <xf numFmtId="165" fontId="0" fillId="0" borderId="0" xfId="2" applyFont="1"/>
    <xf numFmtId="0" fontId="0" fillId="16" borderId="0" xfId="0" applyFill="1"/>
    <xf numFmtId="1" fontId="9" fillId="17" borderId="9" xfId="0" applyNumberFormat="1" applyFont="1" applyFill="1" applyBorder="1"/>
    <xf numFmtId="169" fontId="0" fillId="0" borderId="0" xfId="0" applyNumberFormat="1" applyFill="1"/>
    <xf numFmtId="3" fontId="0" fillId="0" borderId="0" xfId="0" applyNumberFormat="1" applyFill="1" applyAlignment="1">
      <alignment horizontal="center"/>
    </xf>
    <xf numFmtId="9" fontId="9" fillId="17" borderId="9" xfId="1" applyFont="1" applyFill="1" applyBorder="1"/>
    <xf numFmtId="169" fontId="9" fillId="8" borderId="9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0" xfId="0" applyFill="1" applyAlignment="1">
      <alignment horizontal="center"/>
    </xf>
    <xf numFmtId="3" fontId="0" fillId="9" borderId="0" xfId="0" applyNumberFormat="1" applyFill="1" applyAlignment="1">
      <alignment horizontal="center"/>
    </xf>
    <xf numFmtId="3" fontId="52" fillId="5" borderId="0" xfId="0" applyNumberFormat="1" applyFont="1" applyFill="1"/>
    <xf numFmtId="0" fontId="22" fillId="17" borderId="9" xfId="0" applyFont="1" applyFill="1" applyBorder="1" applyAlignment="1">
      <alignment horizontal="left"/>
    </xf>
    <xf numFmtId="9" fontId="0" fillId="0" borderId="41" xfId="1" applyFont="1" applyFill="1" applyBorder="1"/>
    <xf numFmtId="9" fontId="0" fillId="0" borderId="0" xfId="0" applyNumberFormat="1" applyFill="1"/>
    <xf numFmtId="0" fontId="0" fillId="0" borderId="0" xfId="0" applyFill="1"/>
    <xf numFmtId="169" fontId="53" fillId="21" borderId="54" xfId="2" applyNumberFormat="1" applyFont="1" applyFill="1" applyBorder="1" applyAlignment="1">
      <alignment horizontal="center"/>
    </xf>
    <xf numFmtId="169" fontId="53" fillId="56" borderId="54" xfId="2" applyNumberFormat="1" applyFont="1" applyFill="1" applyBorder="1" applyAlignment="1">
      <alignment horizontal="center"/>
    </xf>
    <xf numFmtId="0" fontId="53" fillId="59" borderId="4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9" fontId="10" fillId="21" borderId="4" xfId="6" applyFont="1" applyFill="1" applyBorder="1" applyAlignment="1">
      <alignment horizontal="center"/>
    </xf>
    <xf numFmtId="9" fontId="10" fillId="55" borderId="4" xfId="6" applyFont="1" applyFill="1" applyBorder="1" applyAlignment="1">
      <alignment horizontal="center"/>
    </xf>
    <xf numFmtId="0" fontId="53" fillId="21" borderId="4" xfId="0" applyFont="1" applyFill="1" applyBorder="1" applyAlignment="1">
      <alignment horizontal="center"/>
    </xf>
    <xf numFmtId="10" fontId="51" fillId="0" borderId="0" xfId="1" applyNumberFormat="1" applyFont="1" applyAlignment="1">
      <alignment horizontal="left"/>
    </xf>
    <xf numFmtId="167" fontId="9" fillId="0" borderId="0" xfId="0" applyNumberFormat="1" applyFont="1"/>
    <xf numFmtId="3" fontId="50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2" applyNumberFormat="1" applyFont="1"/>
    <xf numFmtId="0" fontId="53" fillId="59" borderId="55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53" fillId="21" borderId="54" xfId="0" applyFont="1" applyFill="1" applyBorder="1"/>
    <xf numFmtId="0" fontId="53" fillId="21" borderId="4" xfId="0" applyFont="1" applyFill="1" applyBorder="1"/>
    <xf numFmtId="3" fontId="55" fillId="5" borderId="0" xfId="0" applyNumberFormat="1" applyFont="1" applyFill="1"/>
    <xf numFmtId="3" fontId="55" fillId="5" borderId="0" xfId="0" applyNumberFormat="1" applyFont="1" applyFill="1" applyAlignment="1">
      <alignment horizontal="right"/>
    </xf>
    <xf numFmtId="169" fontId="9" fillId="0" borderId="0" xfId="0" applyNumberFormat="1" applyFont="1"/>
    <xf numFmtId="3" fontId="0" fillId="5" borderId="0" xfId="0" applyNumberFormat="1" applyFill="1" applyAlignment="1">
      <alignment horizontal="center"/>
    </xf>
    <xf numFmtId="0" fontId="56" fillId="0" borderId="0" xfId="0" applyFont="1" applyAlignment="1">
      <alignment horizontal="center"/>
    </xf>
    <xf numFmtId="9" fontId="1" fillId="0" borderId="0" xfId="1" applyFont="1" applyAlignment="1">
      <alignment horizontal="center"/>
    </xf>
    <xf numFmtId="9" fontId="1" fillId="0" borderId="0" xfId="1" applyFont="1" applyFill="1" applyAlignment="1">
      <alignment horizontal="center"/>
    </xf>
    <xf numFmtId="0" fontId="8" fillId="53" borderId="0" xfId="0" applyNumberFormat="1" applyFont="1" applyFill="1" applyBorder="1" applyAlignment="1">
      <alignment horizontal="center"/>
    </xf>
    <xf numFmtId="0" fontId="0" fillId="9" borderId="27" xfId="0" applyFill="1" applyBorder="1" applyAlignment="1">
      <alignment horizontal="left" indent="1"/>
    </xf>
    <xf numFmtId="3" fontId="50" fillId="9" borderId="0" xfId="0" applyNumberFormat="1" applyFont="1" applyFill="1" applyBorder="1" applyAlignment="1">
      <alignment horizontal="center"/>
    </xf>
    <xf numFmtId="0" fontId="57" fillId="0" borderId="0" xfId="0" applyFont="1"/>
    <xf numFmtId="0" fontId="9" fillId="0" borderId="0" xfId="0" applyNumberFormat="1" applyFont="1"/>
    <xf numFmtId="3" fontId="8" fillId="6" borderId="0" xfId="0" applyNumberFormat="1" applyFont="1" applyFill="1" applyBorder="1" applyAlignment="1">
      <alignment horizontal="center"/>
    </xf>
    <xf numFmtId="0" fontId="22" fillId="17" borderId="0" xfId="0" applyFont="1" applyFill="1" applyBorder="1"/>
    <xf numFmtId="3" fontId="9" fillId="17" borderId="0" xfId="0" applyNumberFormat="1" applyFont="1" applyFill="1" applyBorder="1"/>
    <xf numFmtId="9" fontId="9" fillId="17" borderId="0" xfId="1" applyNumberFormat="1" applyFont="1" applyFill="1" applyBorder="1"/>
    <xf numFmtId="166" fontId="22" fillId="17" borderId="0" xfId="1" applyNumberFormat="1" applyFont="1" applyFill="1" applyBorder="1"/>
    <xf numFmtId="166" fontId="9" fillId="17" borderId="0" xfId="1" applyNumberFormat="1" applyFont="1" applyFill="1" applyBorder="1"/>
    <xf numFmtId="9" fontId="9" fillId="18" borderId="0" xfId="1" applyNumberFormat="1" applyFont="1" applyFill="1" applyBorder="1"/>
    <xf numFmtId="166" fontId="9" fillId="18" borderId="0" xfId="1" applyNumberFormat="1" applyFont="1" applyFill="1" applyBorder="1"/>
    <xf numFmtId="9" fontId="9" fillId="18" borderId="0" xfId="1" applyFont="1" applyFill="1" applyBorder="1"/>
    <xf numFmtId="9" fontId="9" fillId="17" borderId="0" xfId="0" applyNumberFormat="1" applyFont="1" applyFill="1" applyBorder="1"/>
    <xf numFmtId="9" fontId="9" fillId="17" borderId="0" xfId="1" applyFont="1" applyFill="1" applyBorder="1"/>
    <xf numFmtId="167" fontId="9" fillId="17" borderId="0" xfId="0" applyNumberFormat="1" applyFont="1" applyFill="1" applyBorder="1"/>
    <xf numFmtId="0" fontId="0" fillId="53" borderId="0" xfId="0" applyFill="1" applyAlignment="1">
      <alignment horizontal="left"/>
    </xf>
    <xf numFmtId="169" fontId="0" fillId="53" borderId="0" xfId="0" applyNumberFormat="1" applyFill="1"/>
    <xf numFmtId="9" fontId="0" fillId="53" borderId="41" xfId="1" applyFont="1" applyFill="1" applyBorder="1"/>
    <xf numFmtId="0" fontId="0" fillId="60" borderId="0" xfId="0" applyFill="1"/>
    <xf numFmtId="0" fontId="0" fillId="61" borderId="0" xfId="0" applyFill="1"/>
    <xf numFmtId="0" fontId="0" fillId="0" borderId="4" xfId="0" applyBorder="1"/>
    <xf numFmtId="0" fontId="22" fillId="17" borderId="4" xfId="0" applyFont="1" applyFill="1" applyBorder="1" applyAlignment="1">
      <alignment horizontal="left"/>
    </xf>
    <xf numFmtId="0" fontId="22" fillId="17" borderId="4" xfId="0" applyFont="1" applyFill="1" applyBorder="1"/>
    <xf numFmtId="0" fontId="0" fillId="0" borderId="4" xfId="0" applyBorder="1" applyAlignment="1">
      <alignment horizontal="center" vertical="center"/>
    </xf>
    <xf numFmtId="170" fontId="0" fillId="0" borderId="4" xfId="0" applyNumberFormat="1" applyBorder="1"/>
    <xf numFmtId="170" fontId="0" fillId="0" borderId="0" xfId="0" applyNumberFormat="1"/>
    <xf numFmtId="0" fontId="0" fillId="62" borderId="0" xfId="0" applyFill="1"/>
    <xf numFmtId="0" fontId="0" fillId="62" borderId="27" xfId="0" applyFill="1" applyBorder="1" applyAlignment="1">
      <alignment horizontal="left" indent="1"/>
    </xf>
    <xf numFmtId="0" fontId="22" fillId="53" borderId="4" xfId="0" applyFont="1" applyFill="1" applyBorder="1" applyAlignment="1">
      <alignment horizontal="left"/>
    </xf>
    <xf numFmtId="0" fontId="0" fillId="0" borderId="0" xfId="0" applyFill="1" applyBorder="1"/>
    <xf numFmtId="0" fontId="22" fillId="5" borderId="4" xfId="0" applyFont="1" applyFill="1" applyBorder="1" applyAlignment="1">
      <alignment horizontal="left"/>
    </xf>
    <xf numFmtId="0" fontId="22" fillId="5" borderId="4" xfId="0" applyFont="1" applyFill="1" applyBorder="1"/>
    <xf numFmtId="0" fontId="57" fillId="53" borderId="0" xfId="0" applyFont="1" applyFill="1"/>
    <xf numFmtId="3" fontId="57" fillId="53" borderId="0" xfId="0" applyNumberFormat="1" applyFont="1" applyFill="1" applyAlignment="1">
      <alignment horizontal="center"/>
    </xf>
    <xf numFmtId="1" fontId="58" fillId="53" borderId="0" xfId="0" applyNumberFormat="1" applyFont="1" applyFill="1" applyBorder="1" applyAlignment="1">
      <alignment horizontal="center"/>
    </xf>
    <xf numFmtId="1" fontId="57" fillId="53" borderId="0" xfId="0" applyNumberFormat="1" applyFont="1" applyFill="1" applyAlignment="1">
      <alignment horizontal="center"/>
    </xf>
    <xf numFmtId="3" fontId="58" fillId="53" borderId="0" xfId="0" applyNumberFormat="1" applyFont="1" applyFill="1" applyBorder="1" applyAlignment="1">
      <alignment horizontal="center"/>
    </xf>
    <xf numFmtId="0" fontId="57" fillId="53" borderId="0" xfId="0" applyFont="1" applyFill="1" applyBorder="1"/>
    <xf numFmtId="0" fontId="59" fillId="53" borderId="0" xfId="0" applyFont="1" applyFill="1" applyBorder="1"/>
    <xf numFmtId="3" fontId="57" fillId="53" borderId="0" xfId="0" applyNumberFormat="1" applyFont="1" applyFill="1" applyBorder="1" applyAlignment="1">
      <alignment horizontal="center"/>
    </xf>
    <xf numFmtId="9" fontId="57" fillId="53" borderId="0" xfId="0" applyNumberFormat="1" applyFont="1" applyFill="1" applyBorder="1"/>
    <xf numFmtId="3" fontId="50" fillId="53" borderId="0" xfId="0" applyNumberFormat="1" applyFont="1" applyFill="1" applyBorder="1"/>
    <xf numFmtId="0" fontId="3" fillId="5" borderId="2" xfId="0" applyFont="1" applyFill="1" applyBorder="1" applyAlignment="1">
      <alignment horizontal="left" vertical="center" wrapText="1" readingOrder="1"/>
    </xf>
    <xf numFmtId="0" fontId="4" fillId="5" borderId="5" xfId="0" applyFont="1" applyFill="1" applyBorder="1" applyAlignment="1">
      <alignment horizontal="left" vertical="center" wrapText="1" indent="2" readingOrder="1"/>
    </xf>
    <xf numFmtId="0" fontId="4" fillId="5" borderId="6" xfId="0" applyFont="1" applyFill="1" applyBorder="1" applyAlignment="1">
      <alignment horizontal="left" vertical="center" wrapText="1" indent="2" readingOrder="1"/>
    </xf>
    <xf numFmtId="0" fontId="4" fillId="5" borderId="7" xfId="0" applyFont="1" applyFill="1" applyBorder="1" applyAlignment="1">
      <alignment horizontal="left" vertical="center" wrapText="1" indent="2" readingOrder="1"/>
    </xf>
    <xf numFmtId="0" fontId="0" fillId="0" borderId="0" xfId="0" applyAlignment="1">
      <alignment vertical="center" wrapText="1"/>
    </xf>
    <xf numFmtId="9" fontId="0" fillId="53" borderId="0" xfId="0" applyNumberFormat="1" applyFill="1"/>
    <xf numFmtId="9" fontId="4" fillId="53" borderId="0" xfId="0" applyNumberFormat="1" applyFont="1" applyFill="1" applyBorder="1" applyAlignment="1">
      <alignment horizontal="center" vertical="center" wrapText="1" readingOrder="1"/>
    </xf>
    <xf numFmtId="0" fontId="0" fillId="53" borderId="0" xfId="0" applyFill="1"/>
    <xf numFmtId="9" fontId="0" fillId="53" borderId="0" xfId="0" applyNumberFormat="1" applyFill="1" applyBorder="1"/>
    <xf numFmtId="0" fontId="0" fillId="53" borderId="0" xfId="0" applyFill="1" applyBorder="1"/>
    <xf numFmtId="0" fontId="41" fillId="0" borderId="4" xfId="0" applyFont="1" applyBorder="1" applyAlignment="1"/>
    <xf numFmtId="0" fontId="0" fillId="0" borderId="0" xfId="0" applyAlignment="1"/>
    <xf numFmtId="0" fontId="0" fillId="0" borderId="4" xfId="0" applyBorder="1" applyAlignment="1">
      <alignment vertical="center" wrapText="1"/>
    </xf>
    <xf numFmtId="0" fontId="0" fillId="0" borderId="43" xfId="0" applyBorder="1"/>
    <xf numFmtId="0" fontId="0" fillId="0" borderId="42" xfId="0" applyBorder="1" applyAlignment="1">
      <alignment vertical="center"/>
    </xf>
    <xf numFmtId="0" fontId="0" fillId="0" borderId="56" xfId="0" applyBorder="1"/>
    <xf numFmtId="0" fontId="0" fillId="0" borderId="54" xfId="0" applyBorder="1"/>
    <xf numFmtId="0" fontId="0" fillId="0" borderId="57" xfId="0" applyBorder="1"/>
    <xf numFmtId="0" fontId="0" fillId="0" borderId="58" xfId="0" applyBorder="1"/>
    <xf numFmtId="0" fontId="0" fillId="0" borderId="58" xfId="0" applyBorder="1" applyAlignment="1">
      <alignment vertical="center" wrapText="1"/>
    </xf>
    <xf numFmtId="0" fontId="0" fillId="0" borderId="59" xfId="0" applyBorder="1" applyAlignment="1">
      <alignment vertical="center"/>
    </xf>
    <xf numFmtId="0" fontId="0" fillId="0" borderId="54" xfId="0" applyFill="1" applyBorder="1"/>
    <xf numFmtId="0" fontId="0" fillId="0" borderId="55" xfId="0" applyFill="1" applyBorder="1" applyAlignment="1"/>
    <xf numFmtId="0" fontId="41" fillId="0" borderId="58" xfId="0" applyFont="1" applyBorder="1" applyAlignment="1"/>
    <xf numFmtId="168" fontId="12" fillId="0" borderId="58" xfId="0" applyNumberFormat="1" applyFont="1" applyFill="1" applyBorder="1"/>
    <xf numFmtId="0" fontId="41" fillId="0" borderId="4" xfId="0" applyFont="1" applyBorder="1" applyAlignment="1">
      <alignment horizontal="center"/>
    </xf>
    <xf numFmtId="0" fontId="17" fillId="12" borderId="1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21" fillId="9" borderId="16" xfId="0" applyFont="1" applyFill="1" applyBorder="1" applyAlignment="1">
      <alignment horizontal="center" vertical="center"/>
    </xf>
    <xf numFmtId="0" fontId="21" fillId="9" borderId="13" xfId="0" applyFont="1" applyFill="1" applyBorder="1" applyAlignment="1">
      <alignment horizontal="center" vertical="center"/>
    </xf>
    <xf numFmtId="9" fontId="20" fillId="58" borderId="16" xfId="0" applyNumberFormat="1" applyFont="1" applyFill="1" applyBorder="1" applyAlignment="1">
      <alignment horizontal="center" vertical="center"/>
    </xf>
    <xf numFmtId="9" fontId="20" fillId="58" borderId="13" xfId="0" applyNumberFormat="1" applyFont="1" applyFill="1" applyBorder="1" applyAlignment="1">
      <alignment horizontal="center" vertical="center"/>
    </xf>
    <xf numFmtId="9" fontId="20" fillId="58" borderId="17" xfId="0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9" fontId="20" fillId="16" borderId="16" xfId="0" applyNumberFormat="1" applyFont="1" applyFill="1" applyBorder="1" applyAlignment="1">
      <alignment horizontal="center" vertical="center"/>
    </xf>
    <xf numFmtId="9" fontId="20" fillId="16" borderId="13" xfId="0" applyNumberFormat="1" applyFont="1" applyFill="1" applyBorder="1" applyAlignment="1">
      <alignment horizontal="center" vertical="center"/>
    </xf>
    <xf numFmtId="9" fontId="20" fillId="16" borderId="17" xfId="0" applyNumberFormat="1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/>
    </xf>
    <xf numFmtId="0" fontId="40" fillId="0" borderId="43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3" xfId="0" applyBorder="1" applyAlignment="1">
      <alignment horizontal="center"/>
    </xf>
    <xf numFmtId="9" fontId="4" fillId="4" borderId="5" xfId="0" applyNumberFormat="1" applyFont="1" applyFill="1" applyBorder="1" applyAlignment="1">
      <alignment horizontal="center" vertical="center" wrapText="1" readingOrder="1"/>
    </xf>
    <xf numFmtId="9" fontId="4" fillId="4" borderId="6" xfId="0" applyNumberFormat="1" applyFont="1" applyFill="1" applyBorder="1" applyAlignment="1">
      <alignment horizontal="center" vertical="center" wrapText="1" readingOrder="1"/>
    </xf>
    <xf numFmtId="9" fontId="4" fillId="4" borderId="7" xfId="0" applyNumberFormat="1" applyFont="1" applyFill="1" applyBorder="1" applyAlignment="1">
      <alignment horizontal="center" vertical="center" wrapText="1" readingOrder="1"/>
    </xf>
    <xf numFmtId="0" fontId="8" fillId="5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5" borderId="0" xfId="0" applyNumberFormat="1" applyFill="1"/>
    <xf numFmtId="0" fontId="0" fillId="5" borderId="0" xfId="0" applyNumberFormat="1" applyFill="1"/>
    <xf numFmtId="3" fontId="8" fillId="5" borderId="0" xfId="0" applyNumberFormat="1" applyFont="1" applyFill="1" applyBorder="1" applyAlignment="1">
      <alignment horizontal="center"/>
    </xf>
  </cellXfs>
  <cellStyles count="53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6" builtinId="26" customBuiltin="1"/>
    <cellStyle name="Cálculo" xfId="21" builtinId="22" customBuiltin="1"/>
    <cellStyle name="Celda de comprobación" xfId="23" builtinId="23" customBuiltin="1"/>
    <cellStyle name="Celda vinculada" xfId="22" builtinId="24" customBuiltin="1"/>
    <cellStyle name="Encabezado 1" xfId="12" builtinId="16" customBuiltin="1"/>
    <cellStyle name="Encabezado 4" xfId="15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9" builtinId="20" customBuiltin="1"/>
    <cellStyle name="Incorrecto" xfId="17" builtinId="27" customBuiltin="1"/>
    <cellStyle name="Millares" xfId="2" builtinId="3"/>
    <cellStyle name="Millares 2" xfId="10"/>
    <cellStyle name="Neutral" xfId="18" builtinId="28" customBuiltin="1"/>
    <cellStyle name="Normal" xfId="0" builtinId="0"/>
    <cellStyle name="Normal 2" xfId="7"/>
    <cellStyle name="Normal 2 2" xfId="8"/>
    <cellStyle name="Normal 3" xfId="5"/>
    <cellStyle name="Normal 4" xfId="9"/>
    <cellStyle name="Normal 5" xfId="4"/>
    <cellStyle name="Normal 6" xfId="51"/>
    <cellStyle name="Normal_Avance de Tarjetas - MAESTRO" xfId="3"/>
    <cellStyle name="Notas 2" xfId="52"/>
    <cellStyle name="Porcentaje" xfId="1" builtinId="5"/>
    <cellStyle name="Porcentual 2" xfId="6"/>
    <cellStyle name="Salida" xfId="20" builtinId="21" customBuiltin="1"/>
    <cellStyle name="Texto de advertencia" xfId="24" builtinId="11" customBuiltin="1"/>
    <cellStyle name="Texto explicativo" xfId="25" builtinId="53" customBuiltin="1"/>
    <cellStyle name="Título" xfId="11" builtinId="15" customBuiltin="1"/>
    <cellStyle name="Título 2" xfId="13" builtinId="17" customBuiltin="1"/>
    <cellStyle name="Título 3" xfId="14" builtinId="18" customBuiltin="1"/>
    <cellStyle name="Total" xfId="26" builtinId="25" customBuiltin="1"/>
  </cellStyles>
  <dxfs count="51">
    <dxf>
      <fill>
        <patternFill patternType="solid">
          <bgColor rgb="FFFFFF0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_ [$S/.-280A]\ * #,##0_ ;_ [$S/.-280A]\ * \-#,##0_ ;_ [$S/.-280A]\ * &quot;-&quot;??_ ;_ @_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bgColor rgb="FF00B050"/>
        </patternFill>
      </fill>
    </dxf>
    <dxf>
      <fill>
        <patternFill patternType="solid">
          <bgColor theme="1" tint="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9" formatCode="_ * #,##0_ ;_ * \-#,##0_ ;_ * &quot;-&quot;??_ ;_ @_ "/>
    </dxf>
    <dxf>
      <numFmt numFmtId="169" formatCode="_ * #,##0_ ;_ * \-#,##0_ ;_ * &quot;-&quot;??_ ;_ @_ "/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D1FFFF"/>
      <color rgb="FF309060"/>
      <color rgb="FFD9E6F3"/>
      <color rgb="FF336699"/>
      <color rgb="FF008080"/>
      <color rgb="FFB2B2B2"/>
      <color rgb="FFDDDDDD"/>
      <color rgb="FF003366"/>
      <color rgb="FFDFF5EA"/>
      <color rgb="FF0062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ispe Dante" refreshedDate="42901.707399305553" createdVersion="5" refreshedVersion="4" minRefreshableVersion="3" recordCount="31">
  <cacheSource type="worksheet">
    <worksheetSource ref="A2:AI51" sheet="CALIDAD"/>
  </cacheSource>
  <cacheFields count="35">
    <cacheField name="SEMANA" numFmtId="0">
      <sharedItems containsBlank="1"/>
    </cacheField>
    <cacheField name="FECHA DE LA MUESTRA" numFmtId="0">
      <sharedItems containsNonDate="0" containsDate="1" containsString="0" containsBlank="1" minDate="2017-05-05T00:00:00" maxDate="2017-05-31T00:00:00"/>
    </cacheField>
    <cacheField name="MES" numFmtId="1">
      <sharedItems containsString="0" containsBlank="1" containsNumber="1" containsInteger="1" minValue="5" maxValue="5"/>
    </cacheField>
    <cacheField name="N° INCIDENTE" numFmtId="1">
      <sharedItems containsString="0" containsBlank="1" containsNumber="1" containsInteger="1" minValue="1850406" maxValue="2036786"/>
    </cacheField>
    <cacheField name="NOMBRE DEL ESPECIALISTA" numFmtId="0">
      <sharedItems containsBlank="1" count="71">
        <s v="Vilma Carrera"/>
        <s v="Alexandra Quispe"/>
        <s v="ANGIE MERLY"/>
        <s v="Maria Luisa"/>
        <s v="Carmen Salas"/>
        <s v="Hamilton Madueño"/>
        <s v="Mario Huamanchumo"/>
        <s v="Alis Villanueva"/>
        <s v="Gladys Sivincha"/>
        <s v="Jhonatan Saldaña"/>
        <s v="Maria Rocio"/>
        <s v="Sasha Asmat"/>
        <s v="Vanessa Alvarado"/>
        <s v="Angel Yamunaque"/>
        <s v="Enrique Gutierrez"/>
        <s v="Junior Villegas"/>
        <s v="Katherine Cabanillas"/>
        <s v="Britt Loayza"/>
        <s v="Abraham Flores H."/>
        <s v="Diana Sanchez"/>
        <m/>
        <s v="Jessica Palomino" u="1"/>
        <s v="Juan Zorrilla" u="1"/>
        <s v="Alan Tarrillo R." u="1"/>
        <s v="Fernando Chumbes" u="1"/>
        <s v="Jonathan Saldaña " u="1"/>
        <s v="Vilma Carrera " u="1"/>
        <s v="Maria Paniagua" u="1"/>
        <s v="Victor Saavedra" u="1"/>
        <s v="Silvana Bocardo" u="1"/>
        <s v="Yajahira Aguirre" u="1"/>
        <s v="Manuel Luciano" u="1"/>
        <s v="Aleida Cárdenas" u="1"/>
        <s v="Julia Patricia" u="1"/>
        <s v="Jose Fiestas D." u="1"/>
        <s v="Giovanny Ramos" u="1"/>
        <s v="Luz Oblitas" u="1"/>
        <s v="Angie Suarez" u="1"/>
        <s v="Ermes Villavicencio T." u="1"/>
        <s v="Giancarlos Giron" u="1"/>
        <s v="Vanessa Alvarado " u="1"/>
        <s v="Jonathan Saldaña P." u="1"/>
        <s v="Maria del" u="1"/>
        <s v="Jenny Sanchez R." u="1"/>
        <s v="Yahaira Aguirre" u="1"/>
        <s v="FERNANDO ALEXIS" u="1"/>
        <s v="Erika Mauricio" u="1"/>
        <s v="Gloria Alor" u="1"/>
        <s v="Magdalena Vicente" u="1"/>
        <s v="Yissel Huaman" u="1"/>
        <s v="Sharon Reyes" u="1"/>
        <s v="Ketty Berrospi" u="1"/>
        <s v="Diana Espinal" u="1"/>
        <s v="Abraham José" u="1"/>
        <s v="Aleida Cardenas" u="1"/>
        <s v="Luzmila Valiente" u="1"/>
        <s v="Juan Carlos" u="1"/>
        <s v="Marialuisa Cienfuegos" u="1"/>
        <s v="Fiorella Valdiviezo" u="1"/>
        <s v="Jessica Colomer" u="1"/>
        <s v="Miguel Gayoso" u="1"/>
        <s v="Marco Zuñiga" u="1"/>
        <s v="Alan Tarrillo" u="1"/>
        <s v="Christian Rengifo" u="1"/>
        <s v="Richard Rodas" u="1"/>
        <s v="Giovanni Ramos" u="1"/>
        <s v="Vilma Bocanegra" u="1"/>
        <s v="Jonathan Saldaña" u="1"/>
        <s v="Julio César" u="1"/>
        <s v="Luis Alberto" u="1"/>
        <s v="Yajahira Aguirre " u="1"/>
      </sharedItems>
    </cacheField>
    <cacheField name="COD EMPLEADO" numFmtId="0">
      <sharedItems containsString="0" containsBlank="1" containsNumber="1" containsInteger="1" minValue="7001746" maxValue="50101039" count="56">
        <n v="50015007"/>
        <n v="50067909"/>
        <n v="7051709"/>
        <n v="7019961"/>
        <n v="50036060"/>
        <n v="50028026"/>
        <n v="7032030"/>
        <n v="50050962"/>
        <n v="50019405"/>
        <n v="50050491"/>
        <n v="50030022"/>
        <n v="50016385"/>
        <n v="50071349"/>
        <n v="50006402"/>
        <n v="7024375"/>
        <n v="50003136"/>
        <n v="50097914"/>
        <n v="50075738"/>
        <n v="7019425"/>
        <n v="7002736"/>
        <m/>
        <n v="50021989" u="1"/>
        <n v="7021785" u="1"/>
        <n v="50062066" u="1"/>
        <n v="7017353" u="1"/>
        <n v="50046341" u="1"/>
        <n v="7007842" u="1"/>
        <n v="50097856" u="1"/>
        <n v="7051170" u="1"/>
        <n v="7052384" u="1"/>
        <n v="50101039" u="1"/>
        <n v="50100924" u="1"/>
        <n v="7021751" u="1"/>
        <n v="7030422" u="1"/>
        <n v="7032287" u="1"/>
        <n v="7052616" u="1"/>
        <n v="7010952" u="1"/>
        <n v="50018993" u="1"/>
        <n v="50032846" u="1"/>
        <n v="7015480" u="1"/>
        <n v="50044239" u="1"/>
        <n v="50083096" u="1"/>
        <n v="7017148" u="1"/>
        <n v="50033117" u="1"/>
        <n v="50100965" u="1"/>
        <n v="7029903" u="1"/>
        <n v="7003932" u="1"/>
        <n v="7028749" u="1"/>
        <n v="7031487" u="1"/>
        <n v="50094929" u="1"/>
        <n v="7051956" u="1"/>
        <n v="7041528" u="1"/>
        <n v="7017700" u="1"/>
        <n v="50022466" u="1"/>
        <n v="50023969" u="1"/>
        <n v="7001746" u="1"/>
      </sharedItems>
    </cacheField>
    <cacheField name="PROCESO" numFmtId="0">
      <sharedItems containsBlank="1" containsMixedTypes="1" containsNumber="1" containsInteger="1" minValue="25" maxValue="25"/>
    </cacheField>
    <cacheField name="TIPO DE MONITOREO_x000a_N:NORMAL_x000a_A:ADICIONAL" numFmtId="0">
      <sharedItems containsBlank="1"/>
    </cacheField>
    <cacheField name="1" numFmtId="0">
      <sharedItems containsString="0" containsBlank="1" containsNumber="1" minValue="0" maxValue="23"/>
    </cacheField>
    <cacheField name="2" numFmtId="0">
      <sharedItems containsString="0" containsBlank="1" containsNumber="1" minValue="0" maxValue="22"/>
    </cacheField>
    <cacheField name="3" numFmtId="0">
      <sharedItems containsString="0" containsBlank="1" containsNumber="1" minValue="0.1" maxValue="25"/>
    </cacheField>
    <cacheField name="4" numFmtId="0">
      <sharedItems containsString="0" containsBlank="1" containsNumber="1" minValue="0.08" maxValue="25"/>
    </cacheField>
    <cacheField name="5" numFmtId="0">
      <sharedItems containsString="0" containsBlank="1" containsNumber="1" minValue="0.05" maxValue="25"/>
    </cacheField>
    <cacheField name="6" numFmtId="0">
      <sharedItems containsString="0" containsBlank="1" containsNumber="1" minValue="0.05" maxValue="25"/>
    </cacheField>
    <cacheField name="7" numFmtId="0">
      <sharedItems containsString="0" containsBlank="1" containsNumber="1" minValue="0.05" maxValue="25"/>
    </cacheField>
    <cacheField name="CR" numFmtId="0">
      <sharedItems containsString="0" containsBlank="1" containsNumber="1" minValue="0.38" maxValue="20"/>
    </cacheField>
    <cacheField name="8" numFmtId="0">
      <sharedItems containsString="0" containsBlank="1" containsNumber="1" minValue="0.05" maxValue="25"/>
    </cacheField>
    <cacheField name="9" numFmtId="0">
      <sharedItems containsString="0" containsBlank="1" containsNumber="1" minValue="0.03" maxValue="25"/>
    </cacheField>
    <cacheField name="CD" numFmtId="0">
      <sharedItems containsString="0" containsBlank="1" containsNumber="1" minValue="0.08" maxValue="25"/>
    </cacheField>
    <cacheField name="10" numFmtId="0">
      <sharedItems containsString="0" containsBlank="1" containsNumber="1" minValue="0.04" maxValue="25"/>
    </cacheField>
    <cacheField name="CP" numFmtId="0">
      <sharedItems containsString="0" containsBlank="1" containsNumber="1" minValue="0.04" maxValue="25"/>
    </cacheField>
    <cacheField name="11" numFmtId="0">
      <sharedItems containsString="0" containsBlank="1" containsNumber="1" minValue="0.08" maxValue="25"/>
    </cacheField>
    <cacheField name="12" numFmtId="0">
      <sharedItems containsString="0" containsBlank="1" containsNumber="1" minValue="0.06" maxValue="25"/>
    </cacheField>
    <cacheField name="OR" numFmtId="0">
      <sharedItems containsString="0" containsBlank="1" containsNumber="1" minValue="0.14000000000000001" maxValue="25"/>
    </cacheField>
    <cacheField name="13" numFmtId="0">
      <sharedItems containsString="0" containsBlank="1" containsNumber="1" minValue="0.05" maxValue="25"/>
    </cacheField>
    <cacheField name="14" numFmtId="0">
      <sharedItems containsString="0" containsBlank="1" containsNumber="1" minValue="0" maxValue="23"/>
    </cacheField>
    <cacheField name="15" numFmtId="0">
      <sharedItems containsString="0" containsBlank="1" containsNumber="1" minValue="0" maxValue="22"/>
    </cacheField>
    <cacheField name="16" numFmtId="0">
      <sharedItems containsString="0" containsBlank="1" containsNumber="1" minValue="0" maxValue="24"/>
    </cacheField>
    <cacheField name="PF" numFmtId="0">
      <sharedItems containsString="0" containsBlank="1" containsNumber="1" minValue="0.11" maxValue="20"/>
    </cacheField>
    <cacheField name="17" numFmtId="0">
      <sharedItems containsString="0" containsBlank="1" containsNumber="1" containsInteger="1" minValue="0" maxValue="17"/>
    </cacheField>
    <cacheField name="18" numFmtId="0">
      <sharedItems containsString="0" containsBlank="1" containsNumber="1" containsInteger="1" minValue="0" maxValue="18"/>
    </cacheField>
    <cacheField name="19" numFmtId="0">
      <sharedItems containsString="0" containsBlank="1" containsNumber="1" containsInteger="1" minValue="0" maxValue="19"/>
    </cacheField>
    <cacheField name="LG" numFmtId="0">
      <sharedItems containsString="0" containsBlank="1" containsNumber="1" containsInteger="1" minValue="0" maxValue="2"/>
    </cacheField>
    <cacheField name="Nota" numFmtId="0">
      <sharedItems containsString="0" containsBlank="1" containsNumber="1" minValue="0" maxValue="2"/>
    </cacheField>
    <cacheField name="Cumple con los estandares de Calida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Quispe Dante" refreshedDate="42922.489070138887" createdVersion="3" refreshedVersion="4" minRefreshableVersion="3" recordCount="62">
  <cacheSource type="worksheet">
    <worksheetSource ref="A7:N1048576" sheet="ESPECIALISTA"/>
  </cacheSource>
  <cacheFields count="14">
    <cacheField name="GRUPO" numFmtId="0">
      <sharedItems containsBlank="1" containsMixedTypes="1" containsNumber="1" containsInteger="1" minValue="0" maxValue="0" count="13">
        <s v="G5"/>
        <s v="G9"/>
        <s v="G1"/>
        <s v="G2"/>
        <s v="G7"/>
        <s v="Impugnaciones"/>
        <s v="G3"/>
        <s v="G4"/>
        <s v="G8"/>
        <s v="Alo Banco"/>
        <s v="Masivos"/>
        <m/>
        <n v="0" u="1"/>
      </sharedItems>
    </cacheField>
    <cacheField name="SUPERVISOR" numFmtId="0">
      <sharedItems containsBlank="1"/>
    </cacheField>
    <cacheField name="CÓDIGO EMPLEADO" numFmtId="0">
      <sharedItems containsString="0" containsBlank="1" containsNumber="1" containsInteger="1" minValue="12896534" maxValue="12896605"/>
    </cacheField>
    <cacheField name="NOMBRE" numFmtId="0">
      <sharedItems containsBlank="1"/>
    </cacheField>
    <cacheField name="CARGO" numFmtId="0">
      <sharedItems containsBlank="1"/>
    </cacheField>
    <cacheField name="DIAS LABORADOS" numFmtId="0">
      <sharedItems containsString="0" containsBlank="1" containsNumber="1" containsInteger="1" minValue="7" maxValue="30"/>
    </cacheField>
    <cacheField name="META TOTAL" numFmtId="0">
      <sharedItems containsString="0" containsBlank="1" containsNumber="1" minValue="0" maxValue="570"/>
    </cacheField>
    <cacheField name="N° CASOS CERRADOS" numFmtId="0">
      <sharedItems containsString="0" containsBlank="1" containsNumber="1" containsInteger="1" minValue="0" maxValue="526"/>
    </cacheField>
    <cacheField name="% CUMP" numFmtId="0">
      <sharedItems containsString="0" containsBlank="1" containsNumber="1" minValue="0" maxValue="1.8333333333333333"/>
    </cacheField>
    <cacheField name="NOTA (1)" numFmtId="0">
      <sharedItems containsString="0" containsBlank="1" containsNumber="1" minValue="0" maxValue="0.91666666666666663"/>
    </cacheField>
    <cacheField name="TOTAL SLA" numFmtId="0">
      <sharedItems containsString="0" containsBlank="1" containsNumber="1" containsInteger="1" minValue="0" maxValue="526"/>
    </cacheField>
    <cacheField name="N° CASOS SLA" numFmtId="0">
      <sharedItems containsString="0" containsBlank="1" containsNumber="1" containsInteger="1" minValue="0" maxValue="494"/>
    </cacheField>
    <cacheField name="% CUMP2" numFmtId="0">
      <sharedItems containsString="0" containsBlank="1" containsNumber="1" minValue="0" maxValue="1"/>
    </cacheField>
    <cacheField name="NOTA (2)" numFmtId="0">
      <sharedItems containsString="0" containsBlank="1" containsNumber="1" minValue="0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Quispe Dante" refreshedDate="42922.527139004633" createdVersion="4" refreshedVersion="4" minRefreshableVersion="3" recordCount="63">
  <cacheSource type="worksheet">
    <worksheetSource ref="B20:I83" sheet="PRODUCTIVIDAD UAC"/>
  </cacheSource>
  <cacheFields count="8">
    <cacheField name="Etiquetas de fila" numFmtId="0">
      <sharedItems/>
    </cacheField>
    <cacheField name="Días  Asistidos" numFmtId="0">
      <sharedItems containsString="0" containsBlank="1" containsNumber="1" minValue="5" maxValue="872.875"/>
    </cacheField>
    <cacheField name="Total Acumulado" numFmtId="0">
      <sharedItems containsString="0" containsBlank="1" containsNumber="1" containsInteger="1" minValue="31" maxValue="8987"/>
    </cacheField>
    <cacheField name="Logro" numFmtId="0">
      <sharedItems containsString="0" containsBlank="1" containsNumber="1" minValue="3.8" maxValue="31.878787878787879"/>
    </cacheField>
    <cacheField name="Meta Diaria" numFmtId="0">
      <sharedItems containsString="0" containsBlank="1" containsNumber="1" minValue="5" maxValue="650.44444444444446"/>
    </cacheField>
    <cacheField name="META Mes" numFmtId="3">
      <sharedItems containsSemiMixedTypes="0" containsString="0" containsNumber="1" minValue="0" maxValue="10408.152777777779"/>
    </cacheField>
    <cacheField name="CODIGO" numFmtId="0">
      <sharedItems containsString="0" containsBlank="1" containsNumber="1" containsInteger="1" minValue="7001746" maxValue="50097914" count="123">
        <n v="12896534"/>
        <n v="12896535"/>
        <n v="12896536"/>
        <n v="12896537"/>
        <n v="12896538"/>
        <n v="12896539"/>
        <n v="12896540"/>
        <n v="12896541"/>
        <n v="12896542"/>
        <n v="12896543"/>
        <n v="12896544"/>
        <n v="12896545"/>
        <n v="12896546"/>
        <n v="12896547"/>
        <n v="12896548"/>
        <n v="12896549"/>
        <n v="12896550"/>
        <n v="12896551"/>
        <n v="12896552"/>
        <n v="12896553"/>
        <n v="12896554"/>
        <n v="12896555"/>
        <n v="12896556"/>
        <n v="12896557"/>
        <n v="12896558"/>
        <n v="12896559"/>
        <n v="12896560"/>
        <n v="12896561"/>
        <n v="12896562"/>
        <n v="12896563"/>
        <n v="12896564"/>
        <n v="12896565"/>
        <n v="12896566"/>
        <n v="12896567"/>
        <n v="12896568"/>
        <n v="12896569"/>
        <n v="12896570"/>
        <n v="12896571"/>
        <n v="12896572"/>
        <n v="12896573"/>
        <n v="12896574"/>
        <n v="12896575"/>
        <n v="12896576"/>
        <n v="12896577"/>
        <n v="12896578"/>
        <n v="12896579"/>
        <n v="12896580"/>
        <n v="12896581"/>
        <n v="12896582"/>
        <n v="12896583"/>
        <n v="12896584"/>
        <n v="12896585"/>
        <n v="12896586"/>
        <n v="12896587"/>
        <n v="12896588"/>
        <n v="12896589"/>
        <n v="12896590"/>
        <n v="12896591"/>
        <m/>
        <n v="12896592"/>
        <n v="12896593"/>
        <n v="12896594"/>
        <n v="12896595"/>
        <n v="50016617" u="1"/>
        <n v="7017700" u="1"/>
        <n v="7047319" u="1"/>
        <n v="7032030" u="1"/>
        <n v="7051709" u="1"/>
        <n v="7017148" u="1"/>
        <n v="7017353" u="1"/>
        <n v="7032287" u="1"/>
        <n v="7034689" u="1"/>
        <n v="7052384" u="1"/>
        <n v="50083096" u="1"/>
        <n v="7028749" u="1"/>
        <n v="7016991" u="1"/>
        <n v="7024375" u="1"/>
        <n v="7010952" u="1"/>
        <n v="7019961" u="1"/>
        <n v="50003136" u="1"/>
        <n v="7031487" u="1"/>
        <n v="50030022" u="1"/>
        <n v="7002736" u="1"/>
        <n v="50008739" u="1"/>
        <n v="50018993" u="1"/>
        <n v="50054337" u="1"/>
        <n v="7019425" u="1"/>
        <n v="7030422" u="1"/>
        <n v="50019405" u="1"/>
        <n v="50044239" u="1"/>
        <n v="7001746" u="1"/>
        <n v="7014400" u="1"/>
        <n v="50050491" u="1"/>
        <n v="7051170" u="1"/>
        <n v="7009426" u="1"/>
        <n v="50034651" u="1"/>
        <n v="50067909" u="1"/>
        <n v="7054026" u="1"/>
        <n v="7048713" u="1"/>
        <n v="50071349" u="1"/>
        <n v="7003932" u="1"/>
        <n v="50094481" u="1"/>
        <n v="50036060" u="1"/>
        <n v="50016385" u="1"/>
        <n v="7051956" u="1"/>
        <n v="7021785" u="1"/>
        <n v="7029903" u="1"/>
        <n v="50097914" u="1"/>
        <n v="50006402" u="1"/>
        <n v="50062066" u="1"/>
        <n v="50022466" u="1"/>
        <n v="50033117" u="1"/>
        <n v="7007842" u="1"/>
        <n v="7058852" u="1"/>
        <n v="50008507" u="1"/>
        <n v="50015007" u="1"/>
        <n v="50050962" u="1"/>
        <n v="50046341" u="1"/>
        <n v="50097856" u="1"/>
        <n v="7052616" u="1"/>
        <n v="50023969" u="1"/>
        <n v="50028026" u="1"/>
        <n v="50075738" u="1"/>
      </sharedItems>
    </cacheField>
    <cacheField name="GRUP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Quispe Dante" refreshedDate="42922.532166898149" createdVersion="4" refreshedVersion="4" minRefreshableVersion="3" recordCount="62">
  <cacheSource type="worksheet">
    <worksheetSource ref="A3:E65" sheet="SLA UAC"/>
  </cacheSource>
  <cacheFields count="5">
    <cacheField name="Etiquetas de fila" numFmtId="0">
      <sharedItems/>
    </cacheField>
    <cacheField name="Dentro de Plazo" numFmtId="3">
      <sharedItems containsString="0" containsBlank="1" containsNumber="1" containsInteger="1" minValue="6" maxValue="494"/>
    </cacheField>
    <cacheField name="Fuera de Plazo" numFmtId="3">
      <sharedItems containsString="0" containsBlank="1" containsNumber="1" containsInteger="1" minValue="0" maxValue="347"/>
    </cacheField>
    <cacheField name="Total general" numFmtId="3">
      <sharedItems containsString="0" containsBlank="1" containsNumber="1" containsInteger="1" minValue="6" maxValue="526"/>
    </cacheField>
    <cacheField name="CODIGO" numFmtId="0">
      <sharedItems containsSemiMixedTypes="0" containsString="0" containsNumber="1" containsInteger="1" minValue="7001746" maxValue="50097914" count="122">
        <n v="12896534"/>
        <n v="12896535"/>
        <n v="12896536"/>
        <n v="12896537"/>
        <n v="12896538"/>
        <n v="12896539"/>
        <n v="12896540"/>
        <n v="12896541"/>
        <n v="12896542"/>
        <n v="12896543"/>
        <n v="12896544"/>
        <n v="12896545"/>
        <n v="12896546"/>
        <n v="12896547"/>
        <n v="12896548"/>
        <n v="12896549"/>
        <n v="12896550"/>
        <n v="12896551"/>
        <n v="12896552"/>
        <n v="12896553"/>
        <n v="12896554"/>
        <n v="12896555"/>
        <n v="12896556"/>
        <n v="12896557"/>
        <n v="12896558"/>
        <n v="12896559"/>
        <n v="12896560"/>
        <n v="12896561"/>
        <n v="12896562"/>
        <n v="12896563"/>
        <n v="12896564"/>
        <n v="12896565"/>
        <n v="12896566"/>
        <n v="12896567"/>
        <n v="12896568"/>
        <n v="12896569"/>
        <n v="12896570"/>
        <n v="12896571"/>
        <n v="12896572"/>
        <n v="12896573"/>
        <n v="12896574"/>
        <n v="12896575"/>
        <n v="12896576"/>
        <n v="12896577"/>
        <n v="12896578"/>
        <n v="12896579"/>
        <n v="12896580"/>
        <n v="12896581"/>
        <n v="12896582"/>
        <n v="12896583"/>
        <n v="12896584"/>
        <n v="12896585"/>
        <n v="12896586"/>
        <n v="12896587"/>
        <n v="12896588"/>
        <n v="12896589"/>
        <n v="12896590"/>
        <n v="12896591"/>
        <n v="12896592"/>
        <n v="12896593"/>
        <n v="12896594"/>
        <n v="12896595"/>
        <n v="50016617" u="1"/>
        <n v="7017700" u="1"/>
        <n v="7047319" u="1"/>
        <n v="7032030" u="1"/>
        <n v="7051709" u="1"/>
        <n v="7017148" u="1"/>
        <n v="7017353" u="1"/>
        <n v="7032287" u="1"/>
        <n v="7034689" u="1"/>
        <n v="7052384" u="1"/>
        <n v="50083096" u="1"/>
        <n v="7028749" u="1"/>
        <n v="7016991" u="1"/>
        <n v="7024375" u="1"/>
        <n v="7010952" u="1"/>
        <n v="7019961" u="1"/>
        <n v="50003136" u="1"/>
        <n v="7031487" u="1"/>
        <n v="50030022" u="1"/>
        <n v="7002736" u="1"/>
        <n v="50008739" u="1"/>
        <n v="50018993" u="1"/>
        <n v="50054337" u="1"/>
        <n v="7019425" u="1"/>
        <n v="7030422" u="1"/>
        <n v="50019405" u="1"/>
        <n v="50044239" u="1"/>
        <n v="7001746" u="1"/>
        <n v="7014400" u="1"/>
        <n v="50050491" u="1"/>
        <n v="7051170" u="1"/>
        <n v="7009426" u="1"/>
        <n v="50034651" u="1"/>
        <n v="50067909" u="1"/>
        <n v="7054026" u="1"/>
        <n v="7048713" u="1"/>
        <n v="50071349" u="1"/>
        <n v="7003932" u="1"/>
        <n v="50094481" u="1"/>
        <n v="50036060" u="1"/>
        <n v="50016385" u="1"/>
        <n v="7051956" u="1"/>
        <n v="7021785" u="1"/>
        <n v="7029903" u="1"/>
        <n v="50097914" u="1"/>
        <n v="50006402" u="1"/>
        <n v="50062066" u="1"/>
        <n v="50022466" u="1"/>
        <n v="50033117" u="1"/>
        <n v="7007842" u="1"/>
        <n v="7058852" u="1"/>
        <n v="50008507" u="1"/>
        <n v="50015007" u="1"/>
        <n v="50050962" u="1"/>
        <n v="50046341" u="1"/>
        <n v="50097856" u="1"/>
        <n v="7052616" u="1"/>
        <n v="50023969" u="1"/>
        <n v="50028026" u="1"/>
        <n v="5007573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Del 01/05/2017 al 05/05/2017"/>
    <d v="2017-05-05T00:00:00"/>
    <n v="5"/>
    <n v="1993106"/>
    <x v="0"/>
    <x v="0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01/05/2017 al 05/05/2017"/>
    <d v="2017-05-05T00:00:00"/>
    <n v="5"/>
    <n v="2000638"/>
    <x v="1"/>
    <x v="1"/>
    <s v="Extornos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"/>
    <n v="0.06"/>
    <n v="0.16999999999999998"/>
    <n v="0"/>
    <n v="0"/>
    <n v="0"/>
    <n v="0"/>
    <n v="0.96000000000000019"/>
    <s v="NO"/>
  </r>
  <r>
    <s v="Del 01/05/2017 al 05/05/2017"/>
    <d v="2017-05-05T00:00:00"/>
    <n v="5"/>
    <n v="1936822"/>
    <x v="2"/>
    <x v="2"/>
    <s v="Extornos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08/05/2017 al 12/05/2017"/>
    <d v="2017-05-12T00:00:00"/>
    <n v="5"/>
    <n v="1952066"/>
    <x v="3"/>
    <x v="3"/>
    <s v="Consumo No Reconocido"/>
    <s v="N"/>
    <n v="0.15"/>
    <n v="0"/>
    <n v="0.1"/>
    <n v="0.08"/>
    <n v="0.05"/>
    <n v="0.05"/>
    <n v="0.05"/>
    <n v="0.48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0.95000000000000018"/>
    <s v="NO"/>
  </r>
  <r>
    <s v="Del 08/05/2017 al 12/05/2017"/>
    <d v="2017-05-12T00:00:00"/>
    <n v="5"/>
    <n v="1891128"/>
    <x v="4"/>
    <x v="4"/>
    <s v="Explicación de Cuenta"/>
    <s v="N"/>
    <n v="0"/>
    <n v="0.05"/>
    <n v="0.1"/>
    <n v="0.08"/>
    <n v="0.05"/>
    <n v="0.05"/>
    <n v="0.05"/>
    <n v="0.38"/>
    <n v="0.05"/>
    <n v="0.03"/>
    <n v="0.08"/>
    <n v="0.04"/>
    <n v="0.04"/>
    <n v="0.08"/>
    <n v="0.06"/>
    <n v="0.14000000000000001"/>
    <n v="0.05"/>
    <n v="0.06"/>
    <n v="0.04"/>
    <n v="0.06"/>
    <n v="0.21"/>
    <n v="0"/>
    <n v="1"/>
    <n v="0"/>
    <n v="1"/>
    <n v="0"/>
    <s v="NO"/>
  </r>
  <r>
    <s v="Del 08/05/2017 al 12/05/2017"/>
    <d v="2017-05-12T00:00:00"/>
    <n v="5"/>
    <n v="2001726"/>
    <x v="5"/>
    <x v="5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15/05/2017 al 19/05/2017"/>
    <d v="2017-05-19T00:00:00"/>
    <n v="5"/>
    <n v="1992350"/>
    <x v="6"/>
    <x v="6"/>
    <s v="Extornos"/>
    <s v="N"/>
    <n v="0.15"/>
    <n v="0"/>
    <n v="0.1"/>
    <n v="0.08"/>
    <n v="0.05"/>
    <n v="0.05"/>
    <n v="0.05"/>
    <n v="0.48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0.95000000000000018"/>
    <s v="NO"/>
  </r>
  <r>
    <s v="Del 15/05/2017 al 19/05/2017"/>
    <d v="2017-05-19T00:00:00"/>
    <n v="5"/>
    <n v="1850406"/>
    <x v="7"/>
    <x v="7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15/05/2017 al 19/05/2017"/>
    <d v="2017-05-19T00:00:00"/>
    <n v="5"/>
    <n v="1915622"/>
    <x v="8"/>
    <x v="8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2/05/2017 al 26/05/2017"/>
    <d v="2017-05-26T00:00:00"/>
    <n v="5"/>
    <n v="1955669"/>
    <x v="9"/>
    <x v="9"/>
    <s v="Extornos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2/05/2017 al 26/05/2017"/>
    <d v="2017-05-26T00:00:00"/>
    <n v="5"/>
    <n v="2008918"/>
    <x v="10"/>
    <x v="10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2/05/2017 al 26/05/2017"/>
    <d v="2017-05-26T00:00:00"/>
    <n v="5"/>
    <n v="1980269"/>
    <x v="11"/>
    <x v="11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2/05/2017 al 26/05/2017"/>
    <d v="2017-05-26T00:00:00"/>
    <n v="5"/>
    <n v="2031889"/>
    <x v="4"/>
    <x v="4"/>
    <s v="Explicación de Cuenta"/>
    <s v="N"/>
    <n v="0"/>
    <n v="0.05"/>
    <n v="0.1"/>
    <n v="0.08"/>
    <n v="0.05"/>
    <n v="0.05"/>
    <n v="0.05"/>
    <n v="0.38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0.85000000000000009"/>
    <s v="NO"/>
  </r>
  <r>
    <s v="Del 15/05/2017 al 19/05/2017"/>
    <d v="2017-05-18T00:00:00"/>
    <n v="5"/>
    <n v="2033419"/>
    <x v="12"/>
    <x v="12"/>
    <s v="Extorno"/>
    <s v="N"/>
    <n v="0.15"/>
    <n v="0"/>
    <n v="0.1"/>
    <n v="0.08"/>
    <n v="0.05"/>
    <n v="0.05"/>
    <n v="0.05"/>
    <n v="0.48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0.95000000000000018"/>
    <s v="NO"/>
  </r>
  <r>
    <s v="Del 29/05/2017 al 31/05/2017"/>
    <d v="2017-05-29T00:00:00"/>
    <n v="5"/>
    <n v="2029863"/>
    <x v="13"/>
    <x v="13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"/>
    <n v="0.06"/>
    <n v="0.16999999999999998"/>
    <n v="0"/>
    <n v="0"/>
    <n v="0"/>
    <n v="0"/>
    <n v="0.96000000000000019"/>
    <s v="NO"/>
  </r>
  <r>
    <s v="Del 08/05/2017 al 12/05/2017"/>
    <d v="2017-05-08T00:00:00"/>
    <n v="5"/>
    <n v="2005186"/>
    <x v="14"/>
    <x v="14"/>
    <s v="Pago no registra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1"/>
    <n v="1"/>
    <n v="0"/>
    <s v="NO"/>
  </r>
  <r>
    <s v="Del 15/05/2017 al 19/05/2017"/>
    <d v="2017-05-19T00:00:00"/>
    <n v="5"/>
    <n v="1967597"/>
    <x v="7"/>
    <x v="7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"/>
    <n v="0.04"/>
    <n v="0.06"/>
    <n v="0.15"/>
    <n v="0"/>
    <n v="0"/>
    <n v="0"/>
    <n v="0"/>
    <n v="0.94000000000000017"/>
    <s v="NO"/>
  </r>
  <r>
    <s v="Del 22/05/2017 al 26/05/2017"/>
    <d v="2017-05-22T00:00:00"/>
    <n v="5"/>
    <n v="1953588"/>
    <x v="15"/>
    <x v="15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2/05/2017 al 26/05/2017"/>
    <d v="2017-05-24T00:00:00"/>
    <n v="5"/>
    <n v="2026994"/>
    <x v="16"/>
    <x v="16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9/05/2017 al 31/05/2017"/>
    <d v="2017-05-29T00:00:00"/>
    <n v="5"/>
    <n v="2036786"/>
    <x v="17"/>
    <x v="17"/>
    <s v="Problemas en el Envío de Estado de Cuenta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"/>
    <n v="0.04"/>
    <n v="0.06"/>
    <n v="0.15"/>
    <n v="0"/>
    <n v="0"/>
    <n v="0"/>
    <n v="0"/>
    <n v="0.94000000000000017"/>
    <s v="NO"/>
  </r>
  <r>
    <s v="Del 29/05/2017 al 31/05/2017"/>
    <d v="2017-05-30T00:00:00"/>
    <n v="5"/>
    <n v="1925738"/>
    <x v="4"/>
    <x v="4"/>
    <s v="Explicación de Cuenta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9/05/2017 al 31/05/2017"/>
    <d v="2017-05-30T00:00:00"/>
    <n v="5"/>
    <n v="2014502"/>
    <x v="0"/>
    <x v="0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"/>
    <n v="0"/>
    <n v="0.11"/>
    <n v="0"/>
    <n v="0"/>
    <n v="0"/>
    <n v="0"/>
    <n v="0.90000000000000013"/>
    <s v="NO"/>
  </r>
  <r>
    <s v="Del 29/05/2017 al 31/05/2017"/>
    <d v="2017-05-30T00:00:00"/>
    <n v="5"/>
    <n v="2028926"/>
    <x v="8"/>
    <x v="8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9/05/2017 al 31/05/2017"/>
    <d v="2017-05-30T00:00:00"/>
    <n v="5"/>
    <n v="1942805"/>
    <x v="18"/>
    <x v="18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9/05/2017 al 31/05/2017"/>
    <d v="2017-05-30T00:00:00"/>
    <n v="5"/>
    <n v="1934145"/>
    <x v="19"/>
    <x v="19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m/>
    <m/>
    <m/>
    <m/>
    <x v="20"/>
    <x v="20"/>
    <n v="25"/>
    <s v="Aprobados"/>
    <n v="23"/>
    <n v="22"/>
    <n v="25"/>
    <n v="25"/>
    <n v="25"/>
    <n v="25"/>
    <n v="25"/>
    <n v="20"/>
    <n v="25"/>
    <n v="25"/>
    <n v="25"/>
    <n v="25"/>
    <n v="25"/>
    <n v="25"/>
    <n v="25"/>
    <n v="25"/>
    <n v="25"/>
    <n v="23"/>
    <n v="22"/>
    <n v="24"/>
    <n v="20"/>
    <n v="0"/>
    <n v="1"/>
    <n v="1"/>
    <n v="2"/>
    <n v="2"/>
    <m/>
  </r>
  <r>
    <m/>
    <m/>
    <m/>
    <m/>
    <x v="20"/>
    <x v="20"/>
    <m/>
    <s v="% Nota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1"/>
    <n v="1"/>
    <n v="1"/>
    <n v="1"/>
    <m/>
    <m/>
  </r>
  <r>
    <m/>
    <m/>
    <m/>
    <m/>
    <x v="20"/>
    <x v="20"/>
    <m/>
    <s v="Indicador"/>
    <n v="1"/>
    <n v="2"/>
    <n v="3"/>
    <n v="4"/>
    <n v="5"/>
    <n v="6"/>
    <n v="7"/>
    <m/>
    <n v="8"/>
    <n v="9"/>
    <m/>
    <n v="10"/>
    <m/>
    <n v="11"/>
    <n v="12"/>
    <m/>
    <n v="13"/>
    <n v="14"/>
    <n v="15"/>
    <n v="16"/>
    <m/>
    <n v="17"/>
    <n v="18"/>
    <n v="19"/>
    <m/>
    <m/>
    <m/>
  </r>
  <r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">
  <r>
    <x v="0"/>
    <s v="GALARZA GALARRETA MARIA TERESA"/>
    <n v="12896534"/>
    <s v="ABREGU GONZÁLEZ ADELMO CRISTY"/>
    <s v="Apoyo UAC"/>
    <n v="30"/>
    <n v="167.625"/>
    <n v="140"/>
    <n v="0.83519761372110368"/>
    <n v="0.41759880686055184"/>
    <n v="120"/>
    <n v="57"/>
    <n v="0.47499999999999998"/>
    <n v="0.23749999999999999"/>
  </r>
  <r>
    <x v="1"/>
    <s v="GALARZA GALARRETA MARIA TERESA"/>
    <n v="12896535"/>
    <s v="ABREU RODRÍGUEZ ADOLFO WALTER"/>
    <s v="Especialista UAC"/>
    <n v="30"/>
    <n v="180"/>
    <n v="226"/>
    <n v="1.2555555555555555"/>
    <n v="0.62777777777777777"/>
    <n v="6"/>
    <n v="6"/>
    <n v="1"/>
    <n v="0.5"/>
  </r>
  <r>
    <x v="1"/>
    <s v="GALARZA GALARRETA MARIA TERESA"/>
    <n v="12896536"/>
    <s v="ADAMES GÓMEZ ADRIANO TERESA"/>
    <s v="Especialista UAC"/>
    <n v="30"/>
    <n v="180"/>
    <n v="171"/>
    <n v="0.95"/>
    <n v="0.47499999999999998"/>
    <n v="98"/>
    <n v="77"/>
    <n v="0.7857142857142857"/>
    <n v="0.39285714285714285"/>
  </r>
  <r>
    <x v="1"/>
    <s v="GALARZA GALARRETA MARIA TERESA"/>
    <n v="12896537"/>
    <s v="ADARO FERNÁNDEZ AILÍN FERNANDO"/>
    <s v="Apoyo UAC"/>
    <n v="23"/>
    <n v="176.25"/>
    <n v="167"/>
    <n v="0.94751773049645394"/>
    <n v="0.47375886524822697"/>
    <n v="0"/>
    <n v="0"/>
    <n v="0"/>
    <n v="0"/>
  </r>
  <r>
    <x v="1"/>
    <s v="GALARZA GALARRETA MARIA TERESA"/>
    <n v="12896538"/>
    <s v="ADAUTO LÓPEZ ALBERTO SONIA"/>
    <s v="Apoyo UAC"/>
    <n v="30"/>
    <n v="180"/>
    <n v="154"/>
    <n v="0.85555555555555551"/>
    <n v="0.42777777777777776"/>
    <n v="102"/>
    <n v="96"/>
    <n v="0.94117647058823528"/>
    <n v="0.47058823529411764"/>
  </r>
  <r>
    <x v="1"/>
    <s v="GALARZA GALARRETA MARIA TERESA"/>
    <n v="12896539"/>
    <s v="AGRADA DÍAZ ALEJANDRO ARLETH"/>
    <s v="Apoyo UAC"/>
    <n v="30"/>
    <n v="176.25"/>
    <n v="151"/>
    <n v="0.85673758865248228"/>
    <n v="0.42836879432624114"/>
    <n v="24"/>
    <n v="22"/>
    <n v="0.91666666666666663"/>
    <n v="0.45833333333333331"/>
  </r>
  <r>
    <x v="1"/>
    <s v="GALARZA GALARRETA MARIA TERESA"/>
    <n v="12896540"/>
    <s v="ALBURQUEQUE MARTÍNEZ ALFONSO MARITZA"/>
    <s v="Especialista UAC"/>
    <n v="29"/>
    <n v="180"/>
    <n v="146"/>
    <n v="0.81111111111111112"/>
    <n v="0.40555555555555556"/>
    <n v="0"/>
    <n v="0"/>
    <n v="0"/>
    <n v="0"/>
  </r>
  <r>
    <x v="1"/>
    <s v="GALARZA GALARRETA MARIA TERESA"/>
    <n v="12896541"/>
    <s v="ALCABES PÉREZ ALFREDO ANGELA"/>
    <s v="Especialista UAC"/>
    <n v="29"/>
    <n v="156.666666666667"/>
    <n v="135"/>
    <n v="0.86170212765957266"/>
    <n v="0.43085106382978633"/>
    <n v="0"/>
    <n v="0"/>
    <n v="0"/>
    <n v="0"/>
  </r>
  <r>
    <x v="1"/>
    <s v="GALARZA GALARRETA MARIA TERESA"/>
    <n v="12896542"/>
    <s v="ALMEIDA GARCÍA ALVAREZ JAVIER"/>
    <s v="Apoyo UAC"/>
    <n v="30"/>
    <n v="180"/>
    <n v="132"/>
    <n v="0.73333333333333328"/>
    <n v="0.36666666666666664"/>
    <n v="0"/>
    <n v="0"/>
    <n v="0"/>
    <n v="0"/>
  </r>
  <r>
    <x v="1"/>
    <s v="GALARZA GALARRETA MARIA TERESA"/>
    <n v="12896543"/>
    <s v="ALMEYDA SÁNCHEZ ALVARO JOSE"/>
    <s v="Apoyo UAC"/>
    <n v="15"/>
    <n v="154.44444444444477"/>
    <n v="131"/>
    <n v="0.84820143884891908"/>
    <n v="0.42410071942445954"/>
    <n v="0"/>
    <n v="0"/>
    <n v="0"/>
    <n v="0"/>
  </r>
  <r>
    <x v="1"/>
    <s v="GALARZA GALARRETA MARIA TERESA"/>
    <n v="12896544"/>
    <s v="ALVARES ROMERO ANA CRISTINA"/>
    <s v="Apoyo UAC"/>
    <n v="30"/>
    <n v="180"/>
    <n v="129"/>
    <n v="0.71666666666666667"/>
    <n v="0.35833333333333334"/>
    <n v="0"/>
    <n v="0"/>
    <n v="0"/>
    <n v="0"/>
  </r>
  <r>
    <x v="1"/>
    <s v="GALARZA GALARRETA MARIA TERESA"/>
    <n v="12896545"/>
    <s v="ALVES SOSA ANDREA NORMA"/>
    <s v="Apoyo UAC"/>
    <n v="30"/>
    <n v="150"/>
    <n v="116"/>
    <n v="0.77333333333333332"/>
    <n v="0.38666666666666666"/>
    <n v="216"/>
    <n v="190"/>
    <n v="0.87962962962962965"/>
    <n v="0.43981481481481483"/>
  </r>
  <r>
    <x v="1"/>
    <s v="GALARZA GALARRETA MARIA TERESA"/>
    <n v="12896546"/>
    <s v="AMADO ÁLVAREZ ANDRÉS ELSA"/>
    <s v="Apoyo UAC"/>
    <n v="30"/>
    <n v="147.77777777777808"/>
    <n v="114"/>
    <n v="0.7714285714285698"/>
    <n v="0.3857142857142849"/>
    <n v="0"/>
    <n v="0"/>
    <n v="0"/>
    <n v="0"/>
  </r>
  <r>
    <x v="1"/>
    <s v="GALARZA GALARRETA MARIA TERESA"/>
    <n v="12896547"/>
    <s v="AMARAL TORRES ANGELO KRISTOFER"/>
    <s v="Apoyo UAC"/>
    <n v="30"/>
    <n v="70"/>
    <n v="98"/>
    <n v="1.4"/>
    <n v="0.7"/>
    <n v="141"/>
    <n v="134"/>
    <n v="0.95035460992907805"/>
    <n v="0.47517730496453903"/>
  </r>
  <r>
    <x v="1"/>
    <s v="GALARZA GALARRETA MARIA TERESA"/>
    <n v="12896548"/>
    <s v="ANGOBALDO RAMÍREZ ARIEL JAMES"/>
    <s v="Apoyo UAC"/>
    <n v="30"/>
    <n v="60"/>
    <n v="77"/>
    <n v="1.2833333333333334"/>
    <n v="0.64166666666666672"/>
    <n v="36"/>
    <n v="29"/>
    <n v="0.80555555555555558"/>
    <n v="0.40277777777777779"/>
  </r>
  <r>
    <x v="1"/>
    <s v="GALARZA GALARRETA MARIA TERESA"/>
    <n v="12896549"/>
    <s v="ANTUNES FLORES ARSENIO HINDRA"/>
    <s v="Especialista UAC"/>
    <n v="7"/>
    <n v="100"/>
    <n v="69"/>
    <n v="0.69"/>
    <n v="0.34499999999999997"/>
    <n v="114"/>
    <n v="111"/>
    <n v="0.97368421052631582"/>
    <n v="0.48684210526315791"/>
  </r>
  <r>
    <x v="1"/>
    <s v="GALARZA GALARRETA MARIA TERESA"/>
    <n v="12896550"/>
    <s v="BAES ACOSTA ARTURO TELLO"/>
    <s v="Especialista UAC"/>
    <n v="30"/>
    <n v="60"/>
    <n v="60"/>
    <n v="1"/>
    <n v="0.5"/>
    <n v="128"/>
    <n v="92"/>
    <n v="0.71875"/>
    <n v="0.359375"/>
  </r>
  <r>
    <x v="1"/>
    <s v="GALARZA GALARRETA MARIA TERESA"/>
    <n v="12896551"/>
    <s v="BARBOZA BENÍTEZ BRAULIO FASABI"/>
    <s v="Especialista UAC"/>
    <n v="30"/>
    <n v="0"/>
    <n v="0"/>
    <n v="0"/>
    <n v="0"/>
    <n v="69"/>
    <n v="68"/>
    <n v="0.98550724637681164"/>
    <n v="0.49275362318840582"/>
  </r>
  <r>
    <x v="1"/>
    <s v="GALARZA GALARRETA MARIA TERESA"/>
    <n v="12896552"/>
    <s v="BARDALES MEDINA CARLOS MARIA"/>
    <s v="Especialista UAC"/>
    <n v="30"/>
    <n v="100"/>
    <n v="38"/>
    <n v="0.38"/>
    <n v="0.19"/>
    <n v="135"/>
    <n v="105"/>
    <n v="0.77777777777777779"/>
    <n v="0.3888888888888889"/>
  </r>
  <r>
    <x v="1"/>
    <s v="GALARZA GALARRETA MARIA TERESA"/>
    <n v="12896553"/>
    <s v="BARROSO SUÁREZ CRISTÓBAL NORIS"/>
    <s v="Especialista UAC"/>
    <n v="30"/>
    <n v="0"/>
    <n v="0"/>
    <n v="0"/>
    <n v="0"/>
    <n v="138"/>
    <n v="113"/>
    <n v="0.8188405797101449"/>
    <n v="0.40942028985507245"/>
  </r>
  <r>
    <x v="2"/>
    <s v="PEREZ DIAZ ROSA MARIA"/>
    <n v="12896554"/>
    <s v="BATISTA HERRERA DIEGO LUZ"/>
    <s v="Especialista UAC"/>
    <n v="30"/>
    <n v="558.75"/>
    <n v="522"/>
    <n v="0.93422818791946305"/>
    <n v="0.46711409395973152"/>
    <n v="0"/>
    <n v="0"/>
    <n v="0"/>
    <n v="0"/>
  </r>
  <r>
    <x v="2"/>
    <s v="PEREZ DIAZ ROSA MARIA"/>
    <n v="12896555"/>
    <s v="BRANCO AGUIRRE EDUARDO KEYKO"/>
    <s v="Apoyo UAC"/>
    <n v="30"/>
    <n v="570"/>
    <n v="440"/>
    <n v="0.77192982456140347"/>
    <n v="0.38596491228070173"/>
    <n v="0"/>
    <n v="0"/>
    <n v="0"/>
    <n v="0"/>
  </r>
  <r>
    <x v="2"/>
    <s v="PEREZ DIAZ ROSA MARIA"/>
    <n v="12896556"/>
    <s v="CALIENES PEREYRA ESTEBAN MELISSA"/>
    <s v="Especialista UAC"/>
    <n v="11"/>
    <n v="570"/>
    <n v="401"/>
    <n v="0.70350877192982453"/>
    <n v="0.35175438596491226"/>
    <n v="0"/>
    <n v="0"/>
    <n v="0"/>
    <n v="0"/>
  </r>
  <r>
    <x v="2"/>
    <s v="PEREZ DIAZ ROSA MARIA"/>
    <n v="12896557"/>
    <s v="CARDOSO GUTIÉRREZ ESTEVAN ALEX"/>
    <s v="Apoyo UAC"/>
    <n v="30"/>
    <n v="570"/>
    <n v="306"/>
    <n v="0.5368421052631579"/>
    <n v="0.26842105263157895"/>
    <n v="0"/>
    <n v="0"/>
    <n v="0"/>
    <n v="0"/>
  </r>
  <r>
    <x v="2"/>
    <s v="PEREZ DIAZ ROSA MARIA"/>
    <n v="12896558"/>
    <s v="CASAL GIMÉNEZ FERNANDO MARGOTH"/>
    <s v="Especialista UAC"/>
    <n v="30"/>
    <n v="480"/>
    <n v="222"/>
    <n v="0.46250000000000002"/>
    <n v="0.23125000000000001"/>
    <n v="0"/>
    <n v="0"/>
    <n v="0"/>
    <n v="0"/>
  </r>
  <r>
    <x v="2"/>
    <s v="PEREZ DIAZ ROSA MARIA"/>
    <n v="12896559"/>
    <s v="CERNADES MOLINA FORTUNATO AMARELIS"/>
    <s v="Especialista UAC"/>
    <n v="30"/>
    <n v="348.75"/>
    <n v="193"/>
    <n v="0.55340501792114694"/>
    <n v="0.27670250896057347"/>
    <n v="0"/>
    <n v="0"/>
    <n v="0"/>
    <n v="0"/>
  </r>
  <r>
    <x v="3"/>
    <s v="PEREZ DIAZ ROSA MARIA"/>
    <n v="12896560"/>
    <s v="CLIMACO SILVA GERARDO PIERO"/>
    <s v="Especialista UAC"/>
    <n v="15"/>
    <n v="495"/>
    <n v="526"/>
    <n v="1.0626262626262626"/>
    <n v="0.53131313131313129"/>
    <n v="0"/>
    <n v="0"/>
    <n v="0"/>
    <n v="0"/>
  </r>
  <r>
    <x v="3"/>
    <s v="PEREZ DIAZ ROSA MARIA"/>
    <n v="12896561"/>
    <s v="COELHO CASTRO HECTOR DIANA"/>
    <s v="Especialista UAC"/>
    <n v="30"/>
    <n v="510"/>
    <n v="353"/>
    <n v="0.69215686274509802"/>
    <n v="0.34607843137254901"/>
    <n v="0"/>
    <n v="0"/>
    <n v="0"/>
    <n v="0"/>
  </r>
  <r>
    <x v="4"/>
    <s v="PEREZ DIAZ ROSA MARIA"/>
    <n v="12896562"/>
    <s v="COIMBRA ROJAS HUENU LILIAN"/>
    <s v="Especialista UAC"/>
    <n v="30"/>
    <n v="152"/>
    <n v="168"/>
    <n v="1.1052631578947369"/>
    <n v="0.55263157894736847"/>
    <n v="0"/>
    <n v="0"/>
    <n v="0"/>
    <n v="0"/>
  </r>
  <r>
    <x v="4"/>
    <s v="PEREZ DIAZ ROSA MARIA"/>
    <n v="12896563"/>
    <s v="COSINGA ORTÍZ HUGO DE"/>
    <s v="Apoyo UAC"/>
    <n v="30"/>
    <n v="152"/>
    <n v="156"/>
    <n v="1.0263157894736843"/>
    <n v="0.51315789473684215"/>
    <n v="0"/>
    <n v="0"/>
    <n v="0"/>
    <n v="0"/>
  </r>
  <r>
    <x v="4"/>
    <s v="PEREZ DIAZ ROSA MARIA"/>
    <n v="12896564"/>
    <s v="COSTA NÚÑEZ IGNACIO PAULA"/>
    <s v="Apoyo UAC"/>
    <n v="15"/>
    <n v="152"/>
    <n v="154"/>
    <n v="1.013157894736842"/>
    <n v="0.50657894736842102"/>
    <n v="0"/>
    <n v="0"/>
    <n v="0"/>
    <n v="0"/>
  </r>
  <r>
    <x v="4"/>
    <s v="PEREZ DIAZ ROSA MARIA"/>
    <n v="12896565"/>
    <s v="GONZÁLEZ  LUNA JAVIER CARMEN"/>
    <s v="Especialista UAC"/>
    <n v="30"/>
    <n v="64"/>
    <n v="42"/>
    <n v="0.65625"/>
    <n v="0.328125"/>
    <n v="0"/>
    <n v="0"/>
    <n v="0"/>
    <n v="0"/>
  </r>
  <r>
    <x v="5"/>
    <s v="PEREZ DIAZ ROSA MARIA"/>
    <n v="12896566"/>
    <s v="RODRÍGUEZ JUÁREZ JOAQUIN JANNINA"/>
    <s v="Apoyo UAC"/>
    <n v="15"/>
    <n v="152"/>
    <n v="124"/>
    <n v="0.81578947368421051"/>
    <n v="0.40789473684210525"/>
    <n v="227"/>
    <n v="199"/>
    <n v="0.87665198237885467"/>
    <n v="0.43832599118942733"/>
  </r>
  <r>
    <x v="5"/>
    <s v="PEREZ DIAZ ROSA MARIA"/>
    <n v="12896567"/>
    <s v="PÉREZ CABRERA JORGE SUSANA"/>
    <s v="Especialista UAC"/>
    <n v="30"/>
    <n v="152"/>
    <n v="106"/>
    <n v="0.69736842105263153"/>
    <n v="0.34868421052631576"/>
    <n v="0"/>
    <n v="0"/>
    <n v="0"/>
    <n v="0"/>
  </r>
  <r>
    <x v="5"/>
    <s v="PEREZ DIAZ ROSA MARIA"/>
    <n v="12896568"/>
    <s v="HERNÁNDEZ RÍOS JOSÉ GLADYZ"/>
    <s v="Especialista UAC"/>
    <n v="30"/>
    <n v="48"/>
    <n v="35"/>
    <n v="0.72916666666666663"/>
    <n v="0.36458333333333331"/>
    <n v="0"/>
    <n v="0"/>
    <n v="0"/>
    <n v="0"/>
  </r>
  <r>
    <x v="5"/>
    <s v="PEREZ DIAZ ROSA MARIA"/>
    <n v="12896569"/>
    <s v="GARCÍA FERREYRA JUAN LINDERIKA"/>
    <s v="Especialista UAC"/>
    <n v="28"/>
    <n v="40"/>
    <n v="31"/>
    <n v="0.77500000000000002"/>
    <n v="0.38750000000000001"/>
    <n v="0"/>
    <n v="0"/>
    <n v="0"/>
    <n v="0"/>
  </r>
  <r>
    <x v="6"/>
    <s v="PONCE ENCISO PABLO FERNANDO"/>
    <n v="12896570"/>
    <s v="MARTÍNEZ GODOY JULIAN MARINA"/>
    <s v="Apoyo UAC"/>
    <n v="30"/>
    <n v="152"/>
    <n v="212"/>
    <n v="1.3947368421052631"/>
    <n v="0.69736842105263153"/>
    <n v="0"/>
    <n v="0"/>
    <n v="0"/>
    <n v="0"/>
  </r>
  <r>
    <x v="6"/>
    <s v="PONCE ENCISO PABLO FERNANDO"/>
    <n v="12896571"/>
    <s v="SÁNCHEZ MORALES JULIO JORGE"/>
    <s v="Apoyo UAC"/>
    <n v="30"/>
    <n v="152"/>
    <n v="155"/>
    <n v="1.0197368421052631"/>
    <n v="0.50986842105263153"/>
    <n v="0"/>
    <n v="0"/>
    <n v="0"/>
    <n v="0"/>
  </r>
  <r>
    <x v="6"/>
    <s v="PONCE ENCISO PABLO FERNANDO"/>
    <n v="12896572"/>
    <s v="LÓPEZ DOMÍNGUEZ LEONARDO JORGE"/>
    <s v="Apoyo UAC"/>
    <n v="28"/>
    <n v="149"/>
    <n v="153"/>
    <n v="1.0268456375838926"/>
    <n v="0.51342281879194629"/>
    <n v="0"/>
    <n v="0"/>
    <n v="0"/>
    <n v="0"/>
  </r>
  <r>
    <x v="6"/>
    <s v="PONCE ENCISO PABLO FERNANDO"/>
    <n v="12896573"/>
    <s v="DÍAZ MORENO LICHUEN WIDSENIA"/>
    <s v="Apoyo UAC"/>
    <n v="30"/>
    <n v="149"/>
    <n v="148"/>
    <n v="0.99328859060402686"/>
    <n v="0.49664429530201343"/>
    <n v="376"/>
    <n v="29"/>
    <n v="7.7127659574468085E-2"/>
    <n v="3.8563829787234043E-2"/>
  </r>
  <r>
    <x v="6"/>
    <s v="PONCE ENCISO PABLO FERNANDO"/>
    <n v="12896574"/>
    <s v="ROJAS PERALTA LOLA URSULA"/>
    <s v="Especialista UAC"/>
    <n v="30"/>
    <n v="152"/>
    <n v="141"/>
    <n v="0.92763157894736847"/>
    <n v="0.46381578947368424"/>
    <n v="506"/>
    <n v="332"/>
    <n v="0.65612648221343872"/>
    <n v="0.32806324110671936"/>
  </r>
  <r>
    <x v="6"/>
    <s v="PONCE ENCISO PABLO FERNANDO"/>
    <n v="12896575"/>
    <s v="RAMÍREZ VEGA LUCHO MIRIAM"/>
    <s v="Apoyo UAC"/>
    <n v="23"/>
    <n v="149"/>
    <n v="119"/>
    <n v="0.79865771812080533"/>
    <n v="0.39932885906040266"/>
    <n v="189"/>
    <n v="126"/>
    <n v="0.66666666666666663"/>
    <n v="0.33333333333333331"/>
  </r>
  <r>
    <x v="6"/>
    <s v="PONCE ENCISO PABLO FERNANDO"/>
    <n v="12896576"/>
    <s v="CASTILLO CARRIZO LUIS KATHERINE"/>
    <s v="Apoyo UAC"/>
    <n v="29"/>
    <n v="152"/>
    <n v="109"/>
    <n v="0.71710526315789469"/>
    <n v="0.35855263157894735"/>
    <n v="222"/>
    <n v="136"/>
    <n v="0.61261261261261257"/>
    <n v="0.30630630630630629"/>
  </r>
  <r>
    <x v="6"/>
    <s v="PONCE ENCISO PABLO FERNANDO"/>
    <n v="12896577"/>
    <s v="GÓMEZ QUIROGA MAITEN DENISE"/>
    <s v="Apoyo UAC"/>
    <n v="24"/>
    <n v="109"/>
    <n v="94"/>
    <n v="0.86238532110091748"/>
    <n v="0.43119266055045874"/>
    <n v="305"/>
    <n v="60"/>
    <n v="0.19672131147540983"/>
    <n v="9.8360655737704916E-2"/>
  </r>
  <r>
    <x v="6"/>
    <s v="PONCE ENCISO PABLO FERNANDO"/>
    <n v="12896578"/>
    <s v="ROMERO CASTILLO MANQUE JOEL"/>
    <s v="Apoyo UAC"/>
    <n v="30"/>
    <n v="118.222222222222"/>
    <n v="89"/>
    <n v="0.75281954887218183"/>
    <n v="0.37640977443609092"/>
    <n v="438"/>
    <n v="279"/>
    <n v="0.63698630136986301"/>
    <n v="0.3184931506849315"/>
  </r>
  <r>
    <x v="6"/>
    <s v="PONCE ENCISO PABLO FERNANDO"/>
    <n v="12896579"/>
    <s v="FERNANDEZ LEDESMA MANUEL HELMUD"/>
    <s v="Especialista UAC"/>
    <n v="30"/>
    <n v="152"/>
    <n v="78"/>
    <n v="0.51315789473684215"/>
    <n v="0.25657894736842107"/>
    <n v="526"/>
    <n v="494"/>
    <n v="0.93916349809885935"/>
    <n v="0.46958174904942968"/>
  </r>
  <r>
    <x v="6"/>
    <s v="PONCE ENCISO PABLO FERNANDO"/>
    <n v="12896580"/>
    <s v="TORRES MUÑOZ MARCELO DENISSE"/>
    <s v="Apoyo UAC"/>
    <n v="30"/>
    <n v="56"/>
    <n v="68"/>
    <n v="1.2142857142857142"/>
    <n v="0.6071428571428571"/>
    <n v="353"/>
    <n v="289"/>
    <n v="0.81869688385269124"/>
    <n v="0.40934844192634562"/>
  </r>
  <r>
    <x v="6"/>
    <s v="PONCE ENCISO PABLO FERNANDO"/>
    <n v="12896581"/>
    <s v="MENDOZA OJEDA MARCO LUIS"/>
    <s v="Apoyo UAC"/>
    <n v="30"/>
    <n v="40"/>
    <n v="34"/>
    <n v="0.85"/>
    <n v="0.42499999999999999"/>
    <n v="0"/>
    <n v="0"/>
    <n v="0"/>
    <n v="0"/>
  </r>
  <r>
    <x v="7"/>
    <s v="PONCE ENCISO PABLO FERNANDO"/>
    <n v="12896582"/>
    <s v="MEDINA PONCE MIGUEL DAVID"/>
    <s v="Apoyo UAC"/>
    <n v="30"/>
    <n v="198.66666666666666"/>
    <n v="228"/>
    <n v="1.1476510067114094"/>
    <n v="0.5738255033557047"/>
    <n v="0"/>
    <n v="0"/>
    <n v="0"/>
    <n v="0"/>
  </r>
  <r>
    <x v="8"/>
    <s v="PONCE ENCISO PABLO FERNANDO"/>
    <n v="12896583"/>
    <s v="MORENO VERA NAHUEL NEHUEN ANAVELA"/>
    <s v="Especialista UAC"/>
    <n v="28"/>
    <n v="149"/>
    <n v="220"/>
    <n v="1.476510067114094"/>
    <n v="0.73825503355704702"/>
    <n v="0"/>
    <n v="0"/>
    <n v="0"/>
    <n v="0"/>
  </r>
  <r>
    <x v="8"/>
    <s v="PONCE ENCISO PABLO FERNANDO"/>
    <n v="12896584"/>
    <s v="GUTIÉRREZ VÁZQUEZ NEYEN GRECIA"/>
    <s v="Especialista UAC"/>
    <n v="30"/>
    <n v="152"/>
    <n v="211"/>
    <n v="1.388157894736842"/>
    <n v="0.69407894736842102"/>
    <n v="0"/>
    <n v="0"/>
    <n v="0"/>
    <n v="0"/>
  </r>
  <r>
    <x v="8"/>
    <s v="PONCE ENCISO PABLO FERNANDO"/>
    <n v="12896585"/>
    <s v="DOCARMO VILLALBA NICOLAS LUYO"/>
    <s v="Especialista UAC"/>
    <n v="27"/>
    <n v="152"/>
    <n v="202"/>
    <n v="1.3289473684210527"/>
    <n v="0.66447368421052633"/>
    <n v="28"/>
    <n v="18"/>
    <n v="0.6428571428571429"/>
    <n v="0.32142857142857145"/>
  </r>
  <r>
    <x v="8"/>
    <s v="PONCE ENCISO PABLO FERNANDO"/>
    <n v="12896586"/>
    <s v="DOMINGUES CARDOZO NULPI YEFERSON"/>
    <s v="Apoyo UAC"/>
    <n v="30"/>
    <n v="136"/>
    <n v="162"/>
    <n v="1.1911764705882353"/>
    <n v="0.59558823529411764"/>
    <n v="124"/>
    <n v="124"/>
    <n v="1"/>
    <n v="0.5"/>
  </r>
  <r>
    <x v="8"/>
    <s v="PONCE ENCISO PABLO FERNANDO"/>
    <n v="12896587"/>
    <s v="DORADOR NAVARRO PABLO HAROLD"/>
    <s v="Apoyo UAC"/>
    <n v="30"/>
    <n v="152"/>
    <n v="146"/>
    <n v="0.96052631578947367"/>
    <n v="0.48026315789473684"/>
    <n v="84"/>
    <n v="84"/>
    <n v="1"/>
    <n v="0.5"/>
  </r>
  <r>
    <x v="8"/>
    <s v="PONCE ENCISO PABLO FERNANDO"/>
    <n v="12896588"/>
    <s v="DORREGO RAMOS PATRÍCIO SANTOS"/>
    <s v="Apoyo UAC"/>
    <n v="22"/>
    <n v="141"/>
    <n v="143"/>
    <n v="1.0141843971631206"/>
    <n v="0.50709219858156029"/>
    <n v="26"/>
    <n v="23"/>
    <n v="0.88461538461538458"/>
    <n v="0.44230769230769229"/>
  </r>
  <r>
    <x v="9"/>
    <s v="GINA CAMACHO"/>
    <n v="12896589"/>
    <s v="DOS ARIAS PEDRO ELISA"/>
    <s v="Apoyo UAC"/>
    <n v="21"/>
    <n v="90"/>
    <n v="87"/>
    <n v="0.96666666666666667"/>
    <n v="0.48333333333333334"/>
    <n v="85"/>
    <n v="63"/>
    <n v="0.74117647058823533"/>
    <n v="0.37058823529411766"/>
  </r>
  <r>
    <x v="9"/>
    <s v="GINA CAMACHO"/>
    <n v="12896590"/>
    <s v="DOSANTOS CORONEL PEHUEN JESSENIA"/>
    <s v="Apoyo UAC"/>
    <n v="15"/>
    <n v="33.75"/>
    <n v="45"/>
    <n v="1.3333333333333333"/>
    <n v="0.66666666666666663"/>
    <n v="39"/>
    <n v="31"/>
    <n v="0.79487179487179482"/>
    <n v="0.39743589743589741"/>
  </r>
  <r>
    <x v="10"/>
    <s v="GINA CAMACHO"/>
    <n v="12896591"/>
    <s v="EVANGELISTA CÓRDOBA PICHI JANETH"/>
    <s v="Especialista UAC"/>
    <n v="27"/>
    <n v="60"/>
    <n v="110"/>
    <n v="1.8333333333333333"/>
    <n v="0.91666666666666663"/>
    <n v="93"/>
    <n v="73"/>
    <n v="0.78494623655913975"/>
    <n v="0.39247311827956988"/>
  </r>
  <r>
    <x v="11"/>
    <m/>
    <n v="12896603"/>
    <s v="JUNIOR MÉNDEZ VICENTE CANDY"/>
    <s v="Apoyo UAC"/>
    <n v="27"/>
    <m/>
    <m/>
    <m/>
    <m/>
    <m/>
    <m/>
    <m/>
    <m/>
  </r>
  <r>
    <x v="11"/>
    <m/>
    <n v="12896604"/>
    <s v="LEANDRO LUCERO VICTOR ROSA"/>
    <s v="Apoyo UAC"/>
    <n v="15"/>
    <m/>
    <m/>
    <m/>
    <m/>
    <m/>
    <m/>
    <m/>
    <m/>
  </r>
  <r>
    <x v="11"/>
    <m/>
    <n v="12896605"/>
    <s v="LEAO CRUZ XAVIER YACO YOEL"/>
    <s v="Apoyo UAC"/>
    <n v="30"/>
    <m/>
    <m/>
    <m/>
    <m/>
    <m/>
    <m/>
    <m/>
    <m/>
  </r>
  <r>
    <x v="11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3">
  <r>
    <s v="ABREGU GONZÁLEZ ADELMO CRISTY"/>
    <n v="18.625"/>
    <n v="140"/>
    <n v="7.5167785234899327"/>
    <n v="9"/>
    <n v="167.625"/>
    <x v="0"/>
    <s v="G5"/>
  </r>
  <r>
    <s v="ABREU RODRÍGUEZ ADOLFO WALTER"/>
    <n v="18"/>
    <n v="226"/>
    <n v="12.555555555555555"/>
    <n v="10"/>
    <n v="180"/>
    <x v="1"/>
    <s v="G9"/>
  </r>
  <r>
    <s v="ADAMES GÓMEZ ADRIANO TERESA"/>
    <n v="18"/>
    <n v="171"/>
    <n v="9.5"/>
    <n v="10"/>
    <n v="180"/>
    <x v="2"/>
    <s v="G9"/>
  </r>
  <r>
    <s v="ADARO FERNÁNDEZ AILÍN FERNANDO"/>
    <n v="17.625"/>
    <n v="167"/>
    <n v="9.4751773049645394"/>
    <n v="10"/>
    <n v="176.25"/>
    <x v="3"/>
    <s v="G9"/>
  </r>
  <r>
    <s v="ADAUTO LÓPEZ ALBERTO SONIA"/>
    <n v="18"/>
    <n v="154"/>
    <n v="8.5555555555555554"/>
    <n v="10"/>
    <n v="180"/>
    <x v="4"/>
    <s v="G9"/>
  </r>
  <r>
    <s v="AGRADA DÍAZ ALEJANDRO ARLETH"/>
    <n v="17.625"/>
    <n v="151"/>
    <n v="8.5673758865248235"/>
    <n v="10"/>
    <n v="176.25"/>
    <x v="5"/>
    <s v="G9"/>
  </r>
  <r>
    <s v="ALBURQUEQUE MARTÍNEZ ALFONSO MARITZA"/>
    <n v="18"/>
    <n v="146"/>
    <n v="8.1111111111111107"/>
    <n v="10"/>
    <n v="180"/>
    <x v="6"/>
    <s v="G9"/>
  </r>
  <r>
    <s v="ALCABES PÉREZ ALFREDO ANGELA"/>
    <n v="17.625"/>
    <n v="135"/>
    <n v="7.6595744680851068"/>
    <n v="8.888888888888907"/>
    <n v="156.666666666667"/>
    <x v="7"/>
    <s v="G9"/>
  </r>
  <r>
    <s v="ALMEIDA GARCÍA ALVAREZ JAVIER"/>
    <n v="18"/>
    <n v="132"/>
    <n v="7.333333333333333"/>
    <n v="10"/>
    <n v="180"/>
    <x v="8"/>
    <s v="G9"/>
  </r>
  <r>
    <s v="ALMEYDA SÁNCHEZ ALVARO JOSE"/>
    <n v="17.375"/>
    <n v="131"/>
    <n v="7.5395683453237412"/>
    <n v="8.888888888888907"/>
    <n v="154.44444444444477"/>
    <x v="9"/>
    <s v="G9"/>
  </r>
  <r>
    <s v="ALVARES ROMERO ANA CRISTINA"/>
    <n v="18"/>
    <n v="129"/>
    <n v="7.166666666666667"/>
    <n v="10"/>
    <n v="180"/>
    <x v="10"/>
    <s v="G9"/>
  </r>
  <r>
    <s v="ALVES SOSA ANDREA NORMA"/>
    <n v="15"/>
    <n v="116"/>
    <n v="7.7333333333333334"/>
    <n v="10"/>
    <n v="150"/>
    <x v="11"/>
    <s v="G9"/>
  </r>
  <r>
    <s v="AMADO ÁLVAREZ ANDRÉS ELSA"/>
    <n v="16.625"/>
    <n v="114"/>
    <n v="6.8571428571428568"/>
    <n v="8.888888888888907"/>
    <n v="147.77777777777808"/>
    <x v="12"/>
    <s v="G9"/>
  </r>
  <r>
    <s v="AMARAL TORRES ANGELO KRISTOFER"/>
    <n v="7"/>
    <n v="98"/>
    <n v="14"/>
    <n v="10"/>
    <n v="70"/>
    <x v="13"/>
    <s v="G9"/>
  </r>
  <r>
    <s v="ANGOBALDO RAMÍREZ ARIEL JAMES"/>
    <n v="6"/>
    <n v="77"/>
    <n v="12.833333333333334"/>
    <n v="10"/>
    <n v="60"/>
    <x v="14"/>
    <s v="G9"/>
  </r>
  <r>
    <s v="ANTUNES FLORES ARSENIO HINDRA"/>
    <n v="10"/>
    <n v="69"/>
    <n v="6.9"/>
    <n v="10"/>
    <n v="100"/>
    <x v="15"/>
    <s v="G9"/>
  </r>
  <r>
    <s v="BAES ACOSTA ARTURO TELLO"/>
    <n v="6"/>
    <n v="60"/>
    <n v="10"/>
    <n v="10"/>
    <n v="60"/>
    <x v="16"/>
    <s v="G9"/>
  </r>
  <r>
    <s v="BARBOZA BENÍTEZ BRAULIO FASABI"/>
    <m/>
    <m/>
    <m/>
    <m/>
    <n v="0"/>
    <x v="17"/>
    <s v="G9"/>
  </r>
  <r>
    <s v="BARDALES MEDINA CARLOS MARIA"/>
    <n v="10"/>
    <n v="38"/>
    <n v="3.8"/>
    <n v="10"/>
    <n v="100"/>
    <x v="18"/>
    <s v="G9"/>
  </r>
  <r>
    <s v="BARROSO SUÁREZ CRISTÓBAL NORIS"/>
    <m/>
    <m/>
    <m/>
    <m/>
    <n v="0"/>
    <x v="19"/>
    <s v="G9"/>
  </r>
  <r>
    <s v="BATISTA HERRERA DIEGO LUZ"/>
    <n v="18.625"/>
    <n v="522"/>
    <n v="28.026845637583893"/>
    <n v="30"/>
    <n v="558.75"/>
    <x v="20"/>
    <s v="G1"/>
  </r>
  <r>
    <s v="BRANCO AGUIRRE EDUARDO KEYKO"/>
    <n v="19"/>
    <n v="440"/>
    <n v="23.157894736842106"/>
    <n v="30"/>
    <n v="570"/>
    <x v="21"/>
    <s v="G1"/>
  </r>
  <r>
    <s v="CALIENES PEREYRA ESTEBAN MELISSA"/>
    <n v="19"/>
    <n v="401"/>
    <n v="21.105263157894736"/>
    <n v="30"/>
    <n v="570"/>
    <x v="22"/>
    <s v="G1"/>
  </r>
  <r>
    <s v="CARDOSO GUTIÉRREZ ESTEVAN ALEX"/>
    <n v="19"/>
    <n v="306"/>
    <n v="16.105263157894736"/>
    <n v="30"/>
    <n v="570"/>
    <x v="23"/>
    <s v="G1"/>
  </r>
  <r>
    <s v="CASAL GIMÉNEZ FERNANDO MARGOTH"/>
    <n v="16"/>
    <n v="222"/>
    <n v="13.875"/>
    <n v="30"/>
    <n v="480"/>
    <x v="24"/>
    <s v="G1"/>
  </r>
  <r>
    <s v="CERNADES MOLINA FORTUNATO AMARELIS"/>
    <n v="11.625"/>
    <n v="193"/>
    <n v="16.602150537634408"/>
    <n v="30"/>
    <n v="348.75"/>
    <x v="25"/>
    <s v="G1"/>
  </r>
  <r>
    <s v="CLIMACO SILVA GERARDO PIERO"/>
    <n v="16.5"/>
    <n v="526"/>
    <n v="31.878787878787879"/>
    <n v="30"/>
    <n v="495"/>
    <x v="26"/>
    <s v="G2"/>
  </r>
  <r>
    <s v="COELHO CASTRO HECTOR DIANA"/>
    <n v="17"/>
    <n v="353"/>
    <n v="20.764705882352942"/>
    <n v="30"/>
    <n v="510"/>
    <x v="27"/>
    <s v="G2"/>
  </r>
  <r>
    <s v="COIMBRA ROJAS HUENU LILIAN"/>
    <n v="19"/>
    <n v="168"/>
    <n v="8.8421052631578956"/>
    <n v="8"/>
    <n v="152"/>
    <x v="28"/>
    <s v="G7"/>
  </r>
  <r>
    <s v="COSINGA ORTÍZ HUGO DE"/>
    <n v="19"/>
    <n v="156"/>
    <n v="8.2105263157894743"/>
    <n v="8"/>
    <n v="152"/>
    <x v="29"/>
    <s v="G7"/>
  </r>
  <r>
    <s v="COSTA NÚÑEZ IGNACIO PAULA"/>
    <n v="19"/>
    <n v="154"/>
    <n v="8.1052631578947363"/>
    <n v="8"/>
    <n v="152"/>
    <x v="30"/>
    <s v="G7"/>
  </r>
  <r>
    <s v="GONZÁLEZ  LUNA JAVIER CARMEN"/>
    <n v="8"/>
    <n v="42"/>
    <n v="5.25"/>
    <n v="8"/>
    <n v="64"/>
    <x v="31"/>
    <s v="G7"/>
  </r>
  <r>
    <s v="RODRÍGUEZ JUÁREZ JOAQUIN JANNINA"/>
    <n v="19"/>
    <n v="124"/>
    <n v="6.5263157894736841"/>
    <n v="8"/>
    <n v="152"/>
    <x v="32"/>
    <s v="Impugnaciones"/>
  </r>
  <r>
    <s v="PÉREZ CABRERA JORGE SUSANA"/>
    <n v="19"/>
    <n v="106"/>
    <n v="5.5789473684210522"/>
    <n v="8"/>
    <n v="152"/>
    <x v="33"/>
    <s v="Impugnaciones"/>
  </r>
  <r>
    <s v="HERNÁNDEZ RÍOS JOSÉ GLADYZ"/>
    <n v="6"/>
    <n v="35"/>
    <n v="5.833333333333333"/>
    <n v="8"/>
    <n v="48"/>
    <x v="34"/>
    <s v="Impugnaciones"/>
  </r>
  <r>
    <s v="GARCÍA FERREYRA JUAN LINDERIKA"/>
    <n v="5"/>
    <n v="31"/>
    <n v="6.2"/>
    <n v="8"/>
    <n v="40"/>
    <x v="35"/>
    <s v="Impugnaciones"/>
  </r>
  <r>
    <s v="MARTÍNEZ GODOY JULIAN MARINA"/>
    <n v="19"/>
    <n v="212"/>
    <n v="11.157894736842104"/>
    <n v="8"/>
    <n v="152"/>
    <x v="36"/>
    <s v="G3"/>
  </r>
  <r>
    <s v="SÁNCHEZ MORALES JULIO JORGE"/>
    <n v="19"/>
    <n v="155"/>
    <n v="8.1578947368421044"/>
    <n v="8"/>
    <n v="152"/>
    <x v="37"/>
    <s v="G3"/>
  </r>
  <r>
    <s v="LÓPEZ DOMÍNGUEZ LEONARDO JORGE"/>
    <n v="18.625"/>
    <n v="153"/>
    <n v="8.2147651006711406"/>
    <n v="8"/>
    <n v="149"/>
    <x v="38"/>
    <s v="G3"/>
  </r>
  <r>
    <s v="DÍAZ MORENO LICHUEN WIDSENIA"/>
    <n v="18.625"/>
    <n v="148"/>
    <n v="7.9463087248322148"/>
    <n v="8"/>
    <n v="149"/>
    <x v="39"/>
    <s v="G3"/>
  </r>
  <r>
    <s v="ROJAS PERALTA LOLA URSULA"/>
    <n v="19"/>
    <n v="141"/>
    <n v="7.4210526315789478"/>
    <n v="8"/>
    <n v="152"/>
    <x v="40"/>
    <s v="G3"/>
  </r>
  <r>
    <s v="RAMÍREZ VEGA LUCHO MIRIAM"/>
    <n v="18.625"/>
    <n v="119"/>
    <n v="6.3892617449664426"/>
    <n v="8"/>
    <n v="149"/>
    <x v="41"/>
    <s v="G3"/>
  </r>
  <r>
    <s v="CASTILLO CARRIZO LUIS KATHERINE"/>
    <n v="19"/>
    <n v="109"/>
    <n v="5.7368421052631575"/>
    <n v="8"/>
    <n v="152"/>
    <x v="42"/>
    <s v="G3"/>
  </r>
  <r>
    <s v="GÓMEZ QUIROGA MAITEN DENISE"/>
    <n v="13.625"/>
    <n v="94"/>
    <n v="6.8990825688073398"/>
    <n v="8"/>
    <n v="109"/>
    <x v="43"/>
    <s v="G3"/>
  </r>
  <r>
    <s v="ROMERO CASTILLO MANQUE JOEL"/>
    <n v="16.625"/>
    <n v="89"/>
    <n v="5.3533834586466167"/>
    <n v="7.1111111111110974"/>
    <n v="118.222222222222"/>
    <x v="44"/>
    <s v="G3"/>
  </r>
  <r>
    <s v="FERNANDEZ LEDESMA MANUEL HELMUD"/>
    <n v="19"/>
    <n v="78"/>
    <n v="4.1052631578947372"/>
    <n v="8"/>
    <n v="152"/>
    <x v="45"/>
    <s v="G3"/>
  </r>
  <r>
    <s v="TORRES MUÑOZ MARCELO DENISSE"/>
    <n v="7"/>
    <n v="68"/>
    <n v="9.7142857142857135"/>
    <n v="8"/>
    <n v="56"/>
    <x v="46"/>
    <s v="G3"/>
  </r>
  <r>
    <s v="MENDOZA OJEDA MARCO LUIS"/>
    <n v="5"/>
    <n v="34"/>
    <n v="6.8"/>
    <n v="8"/>
    <n v="40"/>
    <x v="47"/>
    <s v="G3"/>
  </r>
  <r>
    <s v="MEDINA PONCE MIGUEL DAVID"/>
    <n v="18.625"/>
    <n v="228"/>
    <n v="12.241610738255034"/>
    <n v="10.666666666666666"/>
    <n v="198.66666666666666"/>
    <x v="48"/>
    <s v="G4"/>
  </r>
  <r>
    <s v="MORENO VERA NAHUEL NEHUEN ANAVELA"/>
    <n v="18.625"/>
    <n v="220"/>
    <n v="11.812080536912752"/>
    <n v="8"/>
    <n v="149"/>
    <x v="49"/>
    <s v="G8"/>
  </r>
  <r>
    <s v="GUTIÉRREZ VÁZQUEZ NEYEN GRECIA"/>
    <n v="19"/>
    <n v="211"/>
    <n v="11.105263157894736"/>
    <n v="8"/>
    <n v="152"/>
    <x v="50"/>
    <s v="G8"/>
  </r>
  <r>
    <s v="DOCARMO VILLALBA NICOLAS LUYO"/>
    <n v="19"/>
    <n v="202"/>
    <n v="10.631578947368421"/>
    <n v="8"/>
    <n v="152"/>
    <x v="51"/>
    <s v="G8"/>
  </r>
  <r>
    <s v="DOMINGUES CARDOZO NULPI YEFERSON"/>
    <n v="17"/>
    <n v="162"/>
    <n v="9.5294117647058822"/>
    <n v="8"/>
    <n v="136"/>
    <x v="52"/>
    <s v="G8"/>
  </r>
  <r>
    <s v="DORADOR NAVARRO PABLO HAROLD"/>
    <n v="19"/>
    <n v="146"/>
    <n v="7.6842105263157894"/>
    <n v="8"/>
    <n v="152"/>
    <x v="53"/>
    <s v="G8"/>
  </r>
  <r>
    <s v="DORREGO RAMOS PATRÍCIO SANTOS"/>
    <n v="17.625"/>
    <n v="143"/>
    <n v="8.1134751773049647"/>
    <n v="8"/>
    <n v="141"/>
    <x v="54"/>
    <s v="G8"/>
  </r>
  <r>
    <s v="DOS ARIAS PEDRO ELISA"/>
    <n v="15"/>
    <n v="87"/>
    <n v="5.8"/>
    <n v="6"/>
    <n v="90"/>
    <x v="55"/>
    <s v="Alo Banco"/>
  </r>
  <r>
    <s v="DOSANTOS CORONEL PEHUEN JESSENIA"/>
    <n v="5.625"/>
    <n v="45"/>
    <n v="8"/>
    <n v="6"/>
    <n v="33.75"/>
    <x v="56"/>
    <s v="Alo Banco"/>
  </r>
  <r>
    <s v="EVANGELISTA CÓRDOBA PICHI JANETH"/>
    <n v="12"/>
    <n v="110"/>
    <n v="9.1666666666666661"/>
    <n v="5"/>
    <n v="60"/>
    <x v="57"/>
    <s v="Masivos"/>
  </r>
  <r>
    <s v="Total general"/>
    <n v="872.875"/>
    <n v="8987"/>
    <n v="10.29586137763139"/>
    <n v="650.44444444444446"/>
    <n v="10408.152777777779"/>
    <x v="58"/>
    <m/>
  </r>
  <r>
    <s v="FARIA FIGUEROA RADHIKA FULVIA"/>
    <n v="13"/>
    <n v="321"/>
    <m/>
    <n v="20"/>
    <n v="260"/>
    <x v="59"/>
    <s v="Contáctenos"/>
  </r>
  <r>
    <s v="FAURA CORREA RAFAEL MARIANELA"/>
    <n v="12"/>
    <n v="470"/>
    <m/>
    <n v="20"/>
    <n v="240"/>
    <x v="60"/>
    <s v="Contáctenos"/>
  </r>
  <r>
    <s v="FERNANDES CÁCERES RAIQUEN KAREN"/>
    <n v="9"/>
    <n v="163"/>
    <m/>
    <n v="20"/>
    <n v="180"/>
    <x v="61"/>
    <s v="Contáctenos"/>
  </r>
  <r>
    <s v="FERREIRA VARGAS RAUL WILMER"/>
    <n v="19"/>
    <n v="510"/>
    <m/>
    <n v="20"/>
    <n v="380"/>
    <x v="62"/>
    <s v="Contácteno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2">
  <r>
    <s v="ABREGU GONZÁLEZ ADELMO CRISTY"/>
    <n v="57"/>
    <n v="63"/>
    <n v="120"/>
    <x v="0"/>
  </r>
  <r>
    <s v="ABREU RODRÍGUEZ ADOLFO WALTER"/>
    <n v="6"/>
    <n v="0"/>
    <n v="6"/>
    <x v="1"/>
  </r>
  <r>
    <s v="ADAMES GÓMEZ ADRIANO TERESA"/>
    <n v="77"/>
    <n v="21"/>
    <n v="98"/>
    <x v="2"/>
  </r>
  <r>
    <s v="ADARO FERNÁNDEZ AILÍN FERNANDO"/>
    <m/>
    <m/>
    <m/>
    <x v="3"/>
  </r>
  <r>
    <s v="ADAUTO LÓPEZ ALBERTO SONIA"/>
    <n v="96"/>
    <n v="6"/>
    <n v="102"/>
    <x v="4"/>
  </r>
  <r>
    <s v="AGRADA DÍAZ ALEJANDRO ARLETH"/>
    <n v="22"/>
    <n v="2"/>
    <n v="24"/>
    <x v="5"/>
  </r>
  <r>
    <s v="ALBURQUEQUE MARTÍNEZ ALFONSO MARITZA"/>
    <m/>
    <m/>
    <m/>
    <x v="6"/>
  </r>
  <r>
    <s v="ALCABES PÉREZ ALFREDO ANGELA"/>
    <m/>
    <m/>
    <m/>
    <x v="7"/>
  </r>
  <r>
    <s v="ALMEIDA GARCÍA ALVAREZ JAVIER"/>
    <m/>
    <m/>
    <m/>
    <x v="8"/>
  </r>
  <r>
    <s v="ALMEYDA SÁNCHEZ ALVARO JOSE"/>
    <m/>
    <m/>
    <m/>
    <x v="9"/>
  </r>
  <r>
    <s v="ALVARES ROMERO ANA CRISTINA"/>
    <m/>
    <m/>
    <m/>
    <x v="10"/>
  </r>
  <r>
    <s v="ALVES SOSA ANDREA NORMA"/>
    <n v="190"/>
    <n v="26"/>
    <n v="216"/>
    <x v="11"/>
  </r>
  <r>
    <s v="AMADO ÁLVAREZ ANDRÉS ELSA"/>
    <m/>
    <m/>
    <m/>
    <x v="12"/>
  </r>
  <r>
    <s v="AMARAL TORRES ANGELO KRISTOFER"/>
    <n v="134"/>
    <n v="7"/>
    <n v="141"/>
    <x v="13"/>
  </r>
  <r>
    <s v="ANGOBALDO RAMÍREZ ARIEL JAMES"/>
    <n v="29"/>
    <n v="7"/>
    <n v="36"/>
    <x v="14"/>
  </r>
  <r>
    <s v="ANTUNES FLORES ARSENIO HINDRA"/>
    <n v="111"/>
    <n v="3"/>
    <n v="114"/>
    <x v="15"/>
  </r>
  <r>
    <s v="BAES ACOSTA ARTURO TELLO"/>
    <n v="92"/>
    <n v="36"/>
    <n v="128"/>
    <x v="16"/>
  </r>
  <r>
    <s v="BARBOZA BENÍTEZ BRAULIO FASABI"/>
    <n v="68"/>
    <n v="1"/>
    <n v="69"/>
    <x v="17"/>
  </r>
  <r>
    <s v="BARDALES MEDINA CARLOS MARIA"/>
    <n v="105"/>
    <n v="30"/>
    <n v="135"/>
    <x v="18"/>
  </r>
  <r>
    <s v="BARROSO SUÁREZ CRISTÓBAL NORIS"/>
    <n v="113"/>
    <n v="25"/>
    <n v="138"/>
    <x v="19"/>
  </r>
  <r>
    <s v="BATISTA HERRERA DIEGO LUZ"/>
    <m/>
    <m/>
    <m/>
    <x v="20"/>
  </r>
  <r>
    <s v="BRANCO AGUIRRE EDUARDO KEYKO"/>
    <m/>
    <m/>
    <m/>
    <x v="21"/>
  </r>
  <r>
    <s v="CALIENES PEREYRA ESTEBAN MELISSA"/>
    <m/>
    <m/>
    <m/>
    <x v="22"/>
  </r>
  <r>
    <s v="CARDOSO GUTIÉRREZ ESTEVAN ALEX"/>
    <m/>
    <m/>
    <m/>
    <x v="23"/>
  </r>
  <r>
    <s v="CASAL GIMÉNEZ FERNANDO MARGOTH"/>
    <m/>
    <m/>
    <m/>
    <x v="24"/>
  </r>
  <r>
    <s v="CERNADES MOLINA FORTUNATO AMARELIS"/>
    <m/>
    <m/>
    <m/>
    <x v="25"/>
  </r>
  <r>
    <s v="CLIMACO SILVA GERARDO PIERO"/>
    <m/>
    <m/>
    <m/>
    <x v="26"/>
  </r>
  <r>
    <s v="COELHO CASTRO HECTOR DIANA"/>
    <m/>
    <m/>
    <m/>
    <x v="27"/>
  </r>
  <r>
    <s v="COIMBRA ROJAS HUENU LILIAN"/>
    <m/>
    <m/>
    <m/>
    <x v="28"/>
  </r>
  <r>
    <s v="COSINGA ORTÍZ HUGO DE"/>
    <m/>
    <m/>
    <m/>
    <x v="29"/>
  </r>
  <r>
    <s v="COSTA NÚÑEZ IGNACIO PAULA"/>
    <m/>
    <m/>
    <m/>
    <x v="30"/>
  </r>
  <r>
    <s v="GONZÁLEZ  LUNA JAVIER CARMEN"/>
    <m/>
    <m/>
    <m/>
    <x v="31"/>
  </r>
  <r>
    <s v="RODRÍGUEZ JUÁREZ JOAQUIN JANNINA"/>
    <n v="199"/>
    <n v="28"/>
    <n v="227"/>
    <x v="32"/>
  </r>
  <r>
    <s v="PÉREZ CABRERA JORGE SUSANA"/>
    <m/>
    <m/>
    <m/>
    <x v="33"/>
  </r>
  <r>
    <s v="HERNÁNDEZ RÍOS JOSÉ GLADYZ"/>
    <m/>
    <m/>
    <m/>
    <x v="34"/>
  </r>
  <r>
    <s v="GARCÍA FERREYRA JUAN LINDERIKA"/>
    <m/>
    <m/>
    <m/>
    <x v="35"/>
  </r>
  <r>
    <s v="MARTÍNEZ GODOY JULIAN MARINA"/>
    <m/>
    <m/>
    <m/>
    <x v="36"/>
  </r>
  <r>
    <s v="SÁNCHEZ MORALES JULIO JORGE"/>
    <m/>
    <m/>
    <m/>
    <x v="37"/>
  </r>
  <r>
    <s v="LÓPEZ DOMÍNGUEZ LEONARDO JORGE"/>
    <m/>
    <m/>
    <m/>
    <x v="38"/>
  </r>
  <r>
    <s v="DÍAZ MORENO LICHUEN WIDSENIA"/>
    <n v="29"/>
    <n v="347"/>
    <n v="376"/>
    <x v="39"/>
  </r>
  <r>
    <s v="ROJAS PERALTA LOLA URSULA"/>
    <n v="332"/>
    <n v="174"/>
    <n v="506"/>
    <x v="40"/>
  </r>
  <r>
    <s v="RAMÍREZ VEGA LUCHO MIRIAM"/>
    <n v="126"/>
    <n v="63"/>
    <n v="189"/>
    <x v="41"/>
  </r>
  <r>
    <s v="CASTILLO CARRIZO LUIS KATHERINE"/>
    <n v="136"/>
    <n v="86"/>
    <n v="222"/>
    <x v="42"/>
  </r>
  <r>
    <s v="GÓMEZ QUIROGA MAITEN DENISE"/>
    <n v="60"/>
    <n v="245"/>
    <n v="305"/>
    <x v="43"/>
  </r>
  <r>
    <s v="ROMERO CASTILLO MANQUE JOEL"/>
    <n v="279"/>
    <n v="159"/>
    <n v="438"/>
    <x v="44"/>
  </r>
  <r>
    <s v="FERNANDEZ LEDESMA MANUEL HELMUD"/>
    <n v="494"/>
    <n v="32"/>
    <n v="526"/>
    <x v="45"/>
  </r>
  <r>
    <s v="TORRES MUÑOZ MARCELO DENISSE"/>
    <n v="289"/>
    <n v="64"/>
    <n v="353"/>
    <x v="46"/>
  </r>
  <r>
    <s v="MENDOZA OJEDA MARCO LUIS"/>
    <m/>
    <m/>
    <m/>
    <x v="47"/>
  </r>
  <r>
    <s v="MEDINA PONCE MIGUEL DAVID"/>
    <m/>
    <m/>
    <m/>
    <x v="48"/>
  </r>
  <r>
    <s v="MORENO VERA NAHUEL NEHUEN ANAVELA"/>
    <m/>
    <m/>
    <m/>
    <x v="49"/>
  </r>
  <r>
    <s v="GUTIÉRREZ VÁZQUEZ NEYEN GRECIA"/>
    <m/>
    <m/>
    <m/>
    <x v="50"/>
  </r>
  <r>
    <s v="DOCARMO VILLALBA NICOLAS LUYO"/>
    <n v="18"/>
    <n v="10"/>
    <n v="28"/>
    <x v="51"/>
  </r>
  <r>
    <s v="DOMINGUES CARDOZO NULPI YEFERSON"/>
    <n v="124"/>
    <n v="0"/>
    <n v="124"/>
    <x v="52"/>
  </r>
  <r>
    <s v="DORADOR NAVARRO PABLO HAROLD"/>
    <n v="84"/>
    <n v="0"/>
    <n v="84"/>
    <x v="53"/>
  </r>
  <r>
    <s v="DORREGO RAMOS PATRÍCIO SANTOS"/>
    <n v="23"/>
    <n v="3"/>
    <n v="26"/>
    <x v="54"/>
  </r>
  <r>
    <s v="DOS ARIAS PEDRO ELISA"/>
    <n v="63"/>
    <n v="22"/>
    <n v="85"/>
    <x v="55"/>
  </r>
  <r>
    <s v="DOSANTOS CORONEL PEHUEN JESSENIA"/>
    <n v="31"/>
    <n v="8"/>
    <n v="39"/>
    <x v="56"/>
  </r>
  <r>
    <s v="EVANGELISTA CÓRDOBA PICHI JANETH"/>
    <n v="73"/>
    <n v="20"/>
    <n v="93"/>
    <x v="57"/>
  </r>
  <r>
    <s v="FARIA FIGUEROA RADHIKA FULVIA"/>
    <n v="252"/>
    <n v="28"/>
    <n v="280"/>
    <x v="58"/>
  </r>
  <r>
    <s v="FAURA CORREA RAFAEL MARIANELA"/>
    <n v="419"/>
    <m/>
    <n v="419"/>
    <x v="59"/>
  </r>
  <r>
    <s v="FERNANDES CÁCERES RAIQUEN KAREN"/>
    <n v="162"/>
    <n v="1"/>
    <n v="163"/>
    <x v="60"/>
  </r>
  <r>
    <s v="FERREIRA VARGAS RAUL WILMER"/>
    <n v="471"/>
    <n v="26"/>
    <n v="497"/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B4:D17" firstHeaderRow="1" firstDataRow="2" firstDataCol="1"/>
  <pivotFields count="14">
    <pivotField axis="axisRow" showAll="0">
      <items count="14">
        <item x="9"/>
        <item x="2"/>
        <item x="3"/>
        <item x="6"/>
        <item x="7"/>
        <item x="4"/>
        <item x="1"/>
        <item x="5"/>
        <item m="1" x="12"/>
        <item x="8"/>
        <item h="1" x="11"/>
        <item x="0"/>
        <item x="10"/>
        <item t="default"/>
      </items>
    </pivotField>
    <pivotField showAll="0" defaultSubtotal="0"/>
    <pivotField showAll="0"/>
    <pivotField showAll="0"/>
    <pivotField showAll="0" defaultSubtotal="0"/>
    <pivotField showAll="0" defaultSubtotal="0"/>
    <pivotField dataField="1" showAl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META TOTAL" fld="6" baseField="0" baseItem="0"/>
    <dataField name="Suma de N° CASOS CERRADOS" fld="7" baseField="0" baseItem="0"/>
  </dataFields>
  <formats count="18">
    <format dxfId="50">
      <pivotArea dataOnly="0" fieldPosition="0">
        <references count="1">
          <reference field="0" count="1">
            <x v="9"/>
          </reference>
        </references>
      </pivotArea>
    </format>
    <format dxfId="49">
      <pivotArea dataOnly="0" fieldPosition="0">
        <references count="1">
          <reference field="0" count="1">
            <x v="2"/>
          </reference>
        </references>
      </pivotArea>
    </format>
    <format dxfId="48">
      <pivotArea dataOnly="0" fieldPosition="0">
        <references count="1">
          <reference field="0" count="1">
            <x v="4"/>
          </reference>
        </references>
      </pivotArea>
    </format>
    <format dxfId="47">
      <pivotArea collapsedLevelsAreSubtotals="1" fieldPosition="0">
        <references count="1">
          <reference field="0" count="3">
            <x v="2"/>
            <x v="3"/>
            <x v="4"/>
          </reference>
        </references>
      </pivotArea>
    </format>
    <format dxfId="46">
      <pivotArea collapsedLevelsAreSubtotals="1" fieldPosition="0">
        <references count="1">
          <reference field="0" count="0"/>
        </references>
      </pivotArea>
    </format>
    <format dxfId="45">
      <pivotArea grandRow="1" outline="0" collapsedLevelsAreSubtotals="1" fieldPosition="0"/>
    </format>
    <format dxfId="44">
      <pivotArea collapsedLevelsAreSubtotals="1" fieldPosition="0">
        <references count="1">
          <reference field="0" count="0"/>
        </references>
      </pivotArea>
    </format>
    <format dxfId="43">
      <pivotArea dataOnly="0" labelOnly="1" fieldPosition="0">
        <references count="1">
          <reference field="0" count="0"/>
        </references>
      </pivotArea>
    </format>
    <format dxfId="42">
      <pivotArea collapsedLevelsAreSubtotals="1" fieldPosition="0">
        <references count="1">
          <reference field="0" count="1">
            <x v="0"/>
          </reference>
        </references>
      </pivotArea>
    </format>
    <format dxfId="41">
      <pivotArea dataOnly="0" labelOnly="1" fieldPosition="0">
        <references count="1">
          <reference field="0" count="1">
            <x v="0"/>
          </reference>
        </references>
      </pivotArea>
    </format>
    <format dxfId="40">
      <pivotArea collapsedLevelsAreSubtotals="1" fieldPosition="0">
        <references count="1">
          <reference field="0" count="1">
            <x v="2"/>
          </reference>
        </references>
      </pivotArea>
    </format>
    <format dxfId="39">
      <pivotArea dataOnly="0" labelOnly="1" fieldPosition="0">
        <references count="1">
          <reference field="0" count="1">
            <x v="2"/>
          </reference>
        </references>
      </pivotArea>
    </format>
    <format dxfId="38">
      <pivotArea collapsedLevelsAreSubtotals="1" fieldPosition="0">
        <references count="1">
          <reference field="0" count="2">
            <x v="5"/>
            <x v="6"/>
          </reference>
        </references>
      </pivotArea>
    </format>
    <format dxfId="37">
      <pivotArea dataOnly="0" labelOnly="1" fieldPosition="0">
        <references count="1">
          <reference field="0" count="2">
            <x v="5"/>
            <x v="6"/>
          </reference>
        </references>
      </pivotArea>
    </format>
    <format dxfId="36">
      <pivotArea collapsedLevelsAreSubtotals="1" fieldPosition="0">
        <references count="1">
          <reference field="0" count="1">
            <x v="12"/>
          </reference>
        </references>
      </pivotArea>
    </format>
    <format dxfId="35">
      <pivotArea dataOnly="0" labelOnly="1" fieldPosition="0">
        <references count="1">
          <reference field="0" count="1">
            <x v="12"/>
          </reference>
        </references>
      </pivotArea>
    </format>
    <format dxfId="34">
      <pivotArea collapsedLevelsAreSubtotals="1" fieldPosition="0">
        <references count="1">
          <reference field="0" count="7">
            <x v="0"/>
            <x v="1"/>
            <x v="2"/>
            <x v="3"/>
            <x v="4"/>
            <x v="5"/>
            <x v="6"/>
          </reference>
        </references>
      </pivotArea>
    </format>
    <format dxfId="33">
      <pivotArea dataOnly="0" labelOnly="1" fieldPosition="0">
        <references count="1">
          <reference field="0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4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K20:O84" firstHeaderRow="0" firstDataRow="1" firstDataCol="1"/>
  <pivotFields count="8">
    <pivotField showAll="0"/>
    <pivotField dataField="1" showAll="0" defaultSubtotal="0"/>
    <pivotField dataField="1" showAll="0"/>
    <pivotField showAll="0" defaultSubtotal="0"/>
    <pivotField dataField="1" showAll="0" defaultSubtotal="0"/>
    <pivotField dataField="1" showAll="0" defaultSubtotal="0"/>
    <pivotField axis="axisRow" showAll="0" defaultSubtotal="0">
      <items count="123">
        <item m="1" x="90"/>
        <item m="1" x="82"/>
        <item m="1" x="100"/>
        <item m="1" x="112"/>
        <item m="1" x="77"/>
        <item m="1" x="91"/>
        <item m="1" x="68"/>
        <item m="1" x="69"/>
        <item m="1" x="86"/>
        <item m="1" x="78"/>
        <item m="1" x="105"/>
        <item m="1" x="74"/>
        <item m="1" x="106"/>
        <item m="1" x="80"/>
        <item m="1" x="65"/>
        <item m="1" x="98"/>
        <item m="1" x="93"/>
        <item m="1" x="67"/>
        <item m="1" x="104"/>
        <item m="1" x="72"/>
        <item m="1" x="119"/>
        <item m="1" x="79"/>
        <item m="1" x="108"/>
        <item m="1" x="114"/>
        <item m="1" x="115"/>
        <item m="1" x="103"/>
        <item m="1" x="84"/>
        <item m="1" x="88"/>
        <item m="1" x="110"/>
        <item m="1" x="120"/>
        <item m="1" x="121"/>
        <item m="1" x="81"/>
        <item m="1" x="111"/>
        <item m="1" x="95"/>
        <item m="1" x="102"/>
        <item m="1" x="89"/>
        <item m="1" x="117"/>
        <item m="1" x="92"/>
        <item m="1" x="116"/>
        <item m="1" x="99"/>
        <item m="1" x="122"/>
        <item m="1" x="73"/>
        <item m="1" x="118"/>
        <item m="1" x="63"/>
        <item m="1" x="76"/>
        <item m="1" x="70"/>
        <item m="1" x="87"/>
        <item x="58"/>
        <item m="1" x="75"/>
        <item m="1" x="97"/>
        <item m="1" x="83"/>
        <item m="1" x="109"/>
        <item m="1" x="64"/>
        <item m="1" x="85"/>
        <item m="1" x="101"/>
        <item m="1" x="94"/>
        <item m="1" x="113"/>
        <item m="1" x="66"/>
        <item m="1" x="96"/>
        <item m="1" x="71"/>
        <item m="1"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</items>
    </pivotField>
    <pivotField showAll="0"/>
  </pivotFields>
  <rowFields count="1">
    <field x="6"/>
  </rowFields>
  <rowItems count="64">
    <i>
      <x v="47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Días  Asistidos" fld="1" baseField="6" baseItem="13"/>
    <dataField name="Meta Dia" fld="4" baseField="0" baseItem="0" numFmtId="169"/>
    <dataField name="Suma de META Mes" fld="5" baseField="6" baseItem="7" numFmtId="1"/>
    <dataField name="LOGRO TOTAL" fld="2" baseField="5" baseItem="0"/>
  </dataFields>
  <formats count="12">
    <format dxfId="3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">
      <pivotArea field="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8">
      <pivotArea field="6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7">
      <pivotArea field="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6">
      <pivotArea collapsedLevelsAreSubtotals="1" fieldPosition="0">
        <references count="1">
          <reference field="6" count="1">
            <x v="23"/>
          </reference>
        </references>
      </pivotArea>
    </format>
    <format dxfId="25">
      <pivotArea dataOnly="0" labelOnly="1" fieldPosition="0">
        <references count="1">
          <reference field="6" count="1">
            <x v="23"/>
          </reference>
        </references>
      </pivotArea>
    </format>
    <format dxfId="24">
      <pivotArea collapsedLevelsAreSubtotals="1" fieldPosition="0">
        <references count="1">
          <reference field="6" count="2">
            <x v="34"/>
            <x v="35"/>
          </reference>
        </references>
      </pivotArea>
    </format>
    <format dxfId="23">
      <pivotArea dataOnly="0" labelOnly="1" fieldPosition="0">
        <references count="1">
          <reference field="6" count="2">
            <x v="34"/>
            <x v="35"/>
          </reference>
        </references>
      </pivotArea>
    </format>
    <format dxfId="22">
      <pivotArea dataOnly="0" labelOnly="1" fieldPosition="0">
        <references count="1">
          <reference field="6" count="1">
            <x v="5"/>
          </reference>
        </references>
      </pivotArea>
    </format>
    <format dxfId="21">
      <pivotArea dataOnly="0" labelOnly="1" fieldPosition="0">
        <references count="1">
          <reference field="6" count="1">
            <x v="58"/>
          </reference>
        </references>
      </pivotArea>
    </format>
    <format dxfId="0">
      <pivotArea collapsedLevelsAreSubtotals="1" fieldPosition="0">
        <references count="2">
          <reference field="4294967294" count="2" selected="0">
            <x v="2"/>
            <x v="3"/>
          </reference>
          <reference field="6" count="1">
            <x v="6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5" indent="0" outline="1" outlineData="1" multipleFieldFilters="0">
  <location ref="G3:I66" firstHeaderRow="0" firstDataRow="1" firstDataCol="1"/>
  <pivotFields count="5">
    <pivotField showAll="0"/>
    <pivotField dataField="1" showAll="0"/>
    <pivotField showAll="0"/>
    <pivotField dataField="1" numFmtId="3" showAll="0"/>
    <pivotField axis="axisRow" showAll="0" defaultSubtotal="0">
      <items count="122">
        <item m="1" x="89"/>
        <item m="1" x="81"/>
        <item m="1" x="99"/>
        <item m="1" x="111"/>
        <item m="1" x="76"/>
        <item m="1" x="90"/>
        <item m="1" x="67"/>
        <item m="1" x="85"/>
        <item m="1" x="77"/>
        <item m="1" x="104"/>
        <item m="1" x="73"/>
        <item m="1" x="105"/>
        <item m="1" x="86"/>
        <item m="1" x="79"/>
        <item m="1" x="64"/>
        <item m="1" x="97"/>
        <item m="1" x="92"/>
        <item m="1" x="66"/>
        <item m="1" x="103"/>
        <item m="1" x="71"/>
        <item m="1" x="118"/>
        <item m="1" x="78"/>
        <item m="1" x="107"/>
        <item m="1" x="113"/>
        <item m="1" x="114"/>
        <item m="1" x="102"/>
        <item m="1" x="87"/>
        <item m="1" x="109"/>
        <item m="1" x="119"/>
        <item m="1" x="120"/>
        <item m="1" x="110"/>
        <item m="1" x="94"/>
        <item m="1" x="101"/>
        <item m="1" x="88"/>
        <item m="1" x="116"/>
        <item m="1" x="91"/>
        <item m="1" x="115"/>
        <item m="1" x="98"/>
        <item m="1" x="121"/>
        <item m="1" x="117"/>
        <item m="1" x="62"/>
        <item m="1" x="75"/>
        <item m="1" x="69"/>
        <item m="1" x="74"/>
        <item m="1" x="82"/>
        <item m="1" x="108"/>
        <item m="1" x="63"/>
        <item m="1" x="84"/>
        <item m="1" x="93"/>
        <item m="1" x="112"/>
        <item m="1" x="100"/>
        <item m="1" x="68"/>
        <item m="1" x="83"/>
        <item m="1" x="96"/>
        <item m="1" x="72"/>
        <item m="1" x="80"/>
        <item m="1" x="65"/>
        <item m="1" x="95"/>
        <item m="1" x="106"/>
        <item m="1" x="7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</pivotFields>
  <rowFields count="1">
    <field x="4"/>
  </rowFields>
  <rowItems count="63"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Dentro de Plazo" fld="1" baseField="0" baseItem="0"/>
    <dataField name="Suma de Total gener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>
  <location ref="AK2:AM24" firstHeaderRow="1" firstDataRow="1" firstDataCol="2"/>
  <pivotFields count="35">
    <pivotField compact="0" outline="0" showAll="0"/>
    <pivotField compact="0" numFmtId="14" outline="0" showAll="0"/>
    <pivotField compact="0" numFmtId="1" outline="0" showAll="0"/>
    <pivotField compact="0" numFmtId="1" outline="0" showAll="0"/>
    <pivotField axis="axisRow" compact="0" outline="0" showAll="0">
      <items count="72">
        <item m="1" x="52"/>
        <item x="8"/>
        <item m="1" x="47"/>
        <item x="5"/>
        <item m="1" x="59"/>
        <item x="11"/>
        <item x="0"/>
        <item m="1" x="23"/>
        <item m="1" x="43"/>
        <item m="1" x="48"/>
        <item m="1" x="41"/>
        <item x="18"/>
        <item m="1" x="34"/>
        <item m="1" x="38"/>
        <item m="1" x="64"/>
        <item m="1" x="21"/>
        <item m="1" x="28"/>
        <item m="1" x="27"/>
        <item x="19"/>
        <item x="20"/>
        <item x="13"/>
        <item m="1" x="58"/>
        <item x="16"/>
        <item m="1" x="60"/>
        <item x="3"/>
        <item m="1" x="31"/>
        <item x="9"/>
        <item m="1" x="35"/>
        <item x="4"/>
        <item m="1" x="45"/>
        <item m="1" x="55"/>
        <item m="1" x="33"/>
        <item m="1" x="29"/>
        <item m="1" x="49"/>
        <item m="1" x="68"/>
        <item m="1" x="69"/>
        <item m="1" x="63"/>
        <item m="1" x="36"/>
        <item x="15"/>
        <item m="1" x="62"/>
        <item m="1" x="70"/>
        <item x="17"/>
        <item m="1" x="40"/>
        <item m="1" x="25"/>
        <item m="1" x="44"/>
        <item x="7"/>
        <item m="1" x="57"/>
        <item x="12"/>
        <item m="1" x="67"/>
        <item m="1" x="54"/>
        <item m="1" x="65"/>
        <item m="1" x="37"/>
        <item m="1" x="24"/>
        <item m="1" x="30"/>
        <item m="1" x="32"/>
        <item x="2"/>
        <item m="1" x="50"/>
        <item m="1" x="51"/>
        <item m="1" x="42"/>
        <item x="6"/>
        <item m="1" x="22"/>
        <item x="14"/>
        <item m="1" x="26"/>
        <item m="1" x="66"/>
        <item m="1" x="61"/>
        <item m="1" x="56"/>
        <item x="1"/>
        <item m="1" x="46"/>
        <item m="1" x="39"/>
        <item m="1" x="53"/>
        <item x="10"/>
        <item t="default"/>
      </items>
    </pivotField>
    <pivotField axis="axisRow" compact="0" outline="0" showAll="0" defaultSubtotal="0">
      <items count="56">
        <item x="19"/>
        <item x="5"/>
        <item x="11"/>
        <item m="1" x="44"/>
        <item x="8"/>
        <item x="0"/>
        <item m="1" x="25"/>
        <item m="1" x="43"/>
        <item m="1" x="31"/>
        <item m="1" x="41"/>
        <item m="1" x="39"/>
        <item m="1" x="40"/>
        <item m="1" x="52"/>
        <item m="1" x="47"/>
        <item x="9"/>
        <item x="18"/>
        <item m="1" x="30"/>
        <item x="10"/>
        <item m="1" x="21"/>
        <item x="20"/>
        <item x="13"/>
        <item m="1" x="35"/>
        <item x="16"/>
        <item m="1" x="33"/>
        <item x="3"/>
        <item m="1" x="45"/>
        <item m="1" x="22"/>
        <item x="4"/>
        <item m="1" x="29"/>
        <item m="1" x="55"/>
        <item m="1" x="36"/>
        <item m="1" x="51"/>
        <item m="1" x="46"/>
        <item m="1" x="42"/>
        <item m="1" x="28"/>
        <item m="1" x="50"/>
        <item m="1" x="24"/>
        <item x="15"/>
        <item m="1" x="49"/>
        <item x="17"/>
        <item x="12"/>
        <item x="7"/>
        <item m="1" x="34"/>
        <item x="2"/>
        <item m="1" x="38"/>
        <item m="1" x="26"/>
        <item m="1" x="32"/>
        <item x="6"/>
        <item m="1" x="53"/>
        <item x="14"/>
        <item m="1" x="37"/>
        <item m="1" x="54"/>
        <item m="1" x="23"/>
        <item x="1"/>
        <item m="1" x="48"/>
        <item m="1" x="27"/>
      </items>
    </pivotField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dataField="1" compact="0" numFmtId="9" outline="0" showAll="0"/>
    <pivotField compact="0" outline="0" showAll="0"/>
  </pivotFields>
  <rowFields count="2">
    <field x="5"/>
    <field x="4"/>
  </rowFields>
  <rowItems count="22">
    <i>
      <x/>
      <x v="18"/>
    </i>
    <i>
      <x v="1"/>
      <x v="3"/>
    </i>
    <i>
      <x v="2"/>
      <x v="5"/>
    </i>
    <i>
      <x v="4"/>
      <x v="1"/>
    </i>
    <i>
      <x v="5"/>
      <x v="6"/>
    </i>
    <i>
      <x v="14"/>
      <x v="26"/>
    </i>
    <i>
      <x v="15"/>
      <x v="11"/>
    </i>
    <i>
      <x v="17"/>
      <x v="70"/>
    </i>
    <i>
      <x v="19"/>
      <x v="19"/>
    </i>
    <i>
      <x v="20"/>
      <x v="20"/>
    </i>
    <i>
      <x v="22"/>
      <x v="22"/>
    </i>
    <i>
      <x v="24"/>
      <x v="24"/>
    </i>
    <i>
      <x v="27"/>
      <x v="28"/>
    </i>
    <i>
      <x v="37"/>
      <x v="38"/>
    </i>
    <i>
      <x v="39"/>
      <x v="41"/>
    </i>
    <i>
      <x v="40"/>
      <x v="47"/>
    </i>
    <i>
      <x v="41"/>
      <x v="45"/>
    </i>
    <i>
      <x v="43"/>
      <x v="55"/>
    </i>
    <i>
      <x v="47"/>
      <x v="59"/>
    </i>
    <i>
      <x v="49"/>
      <x v="61"/>
    </i>
    <i>
      <x v="53"/>
      <x v="66"/>
    </i>
    <i t="grand">
      <x/>
    </i>
  </rowItems>
  <colItems count="1">
    <i/>
  </colItems>
  <dataFields count="1">
    <dataField name="Promedio de Nota" fld="3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N3" totalsRowShown="0">
  <autoFilter ref="A1:N3"/>
  <tableColumns count="14">
    <tableColumn id="1" name="GRUPO"/>
    <tableColumn id="2" name="SUPERVISOR"/>
    <tableColumn id="3" name="CÓDIGO EMPLEADO"/>
    <tableColumn id="4" name="NOMBRE"/>
    <tableColumn id="5" name="CARGO"/>
    <tableColumn id="6" name="DIAS LABORADOS"/>
    <tableColumn id="7" name="META TOTAL"/>
    <tableColumn id="8" name="N° CASOS CERRADOS"/>
    <tableColumn id="9" name="% CUMP"/>
    <tableColumn id="10" name="NOTA (1)"/>
    <tableColumn id="11" name="TOTAL SLA"/>
    <tableColumn id="12" name="N° CASOS SLA"/>
    <tableColumn id="13" name="% CUMP2"/>
    <tableColumn id="14" name="NOTA (2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N5" totalsRowShown="0">
  <autoFilter ref="A1:N5"/>
  <tableColumns count="14">
    <tableColumn id="1" name="GRUPO"/>
    <tableColumn id="2" name="SUPERVISOR"/>
    <tableColumn id="3" name="CÓDIGO EMPLEADO"/>
    <tableColumn id="4" name="NOMBRE"/>
    <tableColumn id="5" name="CARGO"/>
    <tableColumn id="6" name="DIAS LABORADOS"/>
    <tableColumn id="7" name="META TOTAL"/>
    <tableColumn id="8" name="N° CASOS CERRADOS"/>
    <tableColumn id="9" name="% CUMP"/>
    <tableColumn id="10" name="NOTA (1)"/>
    <tableColumn id="11" name="TOTAL SLA"/>
    <tableColumn id="12" name="N° CASOS SLA"/>
    <tableColumn id="13" name="% CUMP2"/>
    <tableColumn id="14" name="NOTA (2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a6" displayName="Tabla6" ref="A1:H2" totalsRowShown="0">
  <autoFilter ref="A1:H2"/>
  <tableColumns count="8">
    <tableColumn id="1" name="Etiquetas de fila"/>
    <tableColumn id="2" name="Días  Asistidos"/>
    <tableColumn id="3" name="Total Acumulado"/>
    <tableColumn id="4" name="Logro"/>
    <tableColumn id="5" name="Meta Diaria"/>
    <tableColumn id="6" name="META Mes"/>
    <tableColumn id="7" name="CODIGO"/>
    <tableColumn id="8" name="GRUP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A2:F16" totalsRowShown="0" dataDxfId="19" headerRowBorderDxfId="20" tableBorderDxfId="18" totalsRowBorderDxfId="17">
  <autoFilter ref="A2:F16"/>
  <tableColumns count="6">
    <tableColumn id="1" name="Año" dataDxfId="16"/>
    <tableColumn id="2" name="Mes" dataDxfId="15"/>
    <tableColumn id="3" name="Id" dataDxfId="14"/>
    <tableColumn id="4" name="Grupo" dataDxfId="13"/>
    <tableColumn id="5" name="ResponsableId" dataDxfId="12"/>
    <tableColumn id="6" name="Responsable" dataDxfId="1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H2:L7" totalsRowShown="0" tableBorderDxfId="10">
  <autoFilter ref="H2:L7"/>
  <tableColumns count="5">
    <tableColumn id="1" name="Año" dataDxfId="9"/>
    <tableColumn id="2" name="Mes" dataDxfId="8"/>
    <tableColumn id="3" name="Id" dataDxfId="7"/>
    <tableColumn id="4" name="Cargo" dataDxfId="6"/>
    <tableColumn id="5" name="Comision" dataDxfId="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O2:Q7" totalsRowShown="0" dataDxfId="4">
  <autoFilter ref="O2:Q7"/>
  <tableColumns count="3">
    <tableColumn id="3" name="Id" dataDxfId="3"/>
    <tableColumn id="1" name="Cargo" dataDxfId="2"/>
    <tableColumn id="2" name="Are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09060"/>
  </sheetPr>
  <dimension ref="A1:AF68"/>
  <sheetViews>
    <sheetView showGridLines="0" zoomScale="80" zoomScaleNormal="8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G8" sqref="G8"/>
    </sheetView>
  </sheetViews>
  <sheetFormatPr baseColWidth="10" defaultColWidth="11.42578125" defaultRowHeight="12.75" outlineLevelCol="1" x14ac:dyDescent="0.2"/>
  <cols>
    <col min="1" max="1" width="12.5703125" style="20" customWidth="1" outlineLevel="1"/>
    <col min="2" max="2" width="30.5703125" style="20" bestFit="1" customWidth="1" outlineLevel="1"/>
    <col min="3" max="3" width="11.28515625" style="20" customWidth="1"/>
    <col min="4" max="4" width="37.7109375" style="20" customWidth="1"/>
    <col min="5" max="5" width="16.5703125" style="20" customWidth="1"/>
    <col min="6" max="6" width="16.7109375" style="20" customWidth="1"/>
    <col min="7" max="14" width="10" style="20" customWidth="1"/>
    <col min="15" max="15" width="10.7109375" style="20" customWidth="1" outlineLevel="1"/>
    <col min="16" max="16" width="7.7109375" style="20" customWidth="1" outlineLevel="1"/>
    <col min="17" max="17" width="10.5703125" style="20" customWidth="1"/>
    <col min="18" max="18" width="10" style="20" customWidth="1"/>
    <col min="19" max="23" width="10.85546875" style="20" customWidth="1"/>
    <col min="24" max="24" width="16.5703125" style="20" customWidth="1"/>
    <col min="25" max="25" width="14.5703125" style="20" customWidth="1"/>
    <col min="26" max="26" width="16.7109375" style="20" customWidth="1"/>
    <col min="27" max="27" width="15.140625" style="20" customWidth="1"/>
    <col min="28" max="28" width="11" style="20" customWidth="1"/>
    <col min="29" max="29" width="11.42578125" style="20" customWidth="1"/>
    <col min="30" max="16384" width="11.42578125" style="20"/>
  </cols>
  <sheetData>
    <row r="1" spans="1:32" ht="9.75" customHeight="1" x14ac:dyDescent="0.2"/>
    <row r="2" spans="1:32" ht="12.75" customHeight="1" x14ac:dyDescent="0.2">
      <c r="A2" s="39" t="s">
        <v>83</v>
      </c>
      <c r="B2" s="39"/>
      <c r="C2" s="38"/>
      <c r="D2" s="38"/>
      <c r="S2" s="259" t="s">
        <v>108</v>
      </c>
      <c r="T2" s="259"/>
      <c r="U2" s="74">
        <v>300</v>
      </c>
      <c r="V2" s="76" t="s">
        <v>96</v>
      </c>
      <c r="W2" s="76" t="s">
        <v>125</v>
      </c>
      <c r="Z2" s="173"/>
      <c r="AA2" s="173"/>
      <c r="AB2" s="134"/>
    </row>
    <row r="3" spans="1:32" ht="12.75" customHeight="1" x14ac:dyDescent="0.2">
      <c r="A3" s="40" t="s">
        <v>204</v>
      </c>
      <c r="B3" s="40"/>
      <c r="C3" s="38"/>
      <c r="D3" s="38"/>
      <c r="I3" s="124"/>
      <c r="J3" s="125"/>
      <c r="K3" s="21"/>
      <c r="L3" s="22"/>
      <c r="M3" s="23"/>
      <c r="S3" s="259" t="s">
        <v>107</v>
      </c>
      <c r="T3" s="259"/>
      <c r="U3" s="74">
        <v>750</v>
      </c>
      <c r="V3" s="76" t="s">
        <v>96</v>
      </c>
      <c r="W3" s="76"/>
    </row>
    <row r="4" spans="1:32" ht="12.75" customHeight="1" x14ac:dyDescent="0.2">
      <c r="A4" s="40"/>
      <c r="B4" s="40"/>
      <c r="C4" s="38"/>
      <c r="D4" s="38"/>
      <c r="E4" s="134"/>
      <c r="I4" s="124"/>
      <c r="J4" s="125"/>
      <c r="K4" s="21"/>
      <c r="L4" s="22"/>
      <c r="M4" s="124"/>
      <c r="S4" s="259" t="s">
        <v>109</v>
      </c>
      <c r="T4" s="259"/>
      <c r="U4" s="74">
        <v>277</v>
      </c>
      <c r="V4" s="76"/>
      <c r="W4" s="76"/>
      <c r="Z4" s="268"/>
      <c r="AA4" s="268"/>
    </row>
    <row r="5" spans="1:32" ht="9.75" customHeight="1" x14ac:dyDescent="0.2">
      <c r="A5" s="38"/>
      <c r="B5" s="38"/>
      <c r="C5" s="38"/>
      <c r="D5" s="38"/>
      <c r="Z5" s="268"/>
      <c r="AA5" s="268"/>
    </row>
    <row r="6" spans="1:32" ht="18.75" customHeight="1" x14ac:dyDescent="0.25">
      <c r="G6" s="260" t="s">
        <v>67</v>
      </c>
      <c r="H6" s="260"/>
      <c r="I6" s="260"/>
      <c r="J6" s="36">
        <v>0.5</v>
      </c>
      <c r="K6" s="263" t="s">
        <v>72</v>
      </c>
      <c r="L6" s="264"/>
      <c r="M6" s="264"/>
      <c r="N6" s="35">
        <v>0.5</v>
      </c>
      <c r="O6" s="265" t="s">
        <v>158</v>
      </c>
      <c r="P6" s="266"/>
      <c r="Q6" s="266"/>
      <c r="R6" s="267"/>
      <c r="S6" s="261" t="s">
        <v>75</v>
      </c>
      <c r="T6" s="262"/>
      <c r="U6" s="260" t="s">
        <v>110</v>
      </c>
      <c r="V6" s="260"/>
      <c r="W6" s="260"/>
      <c r="X6" s="78">
        <f>SUM(X8:X68)</f>
        <v>22688.993333333332</v>
      </c>
      <c r="Y6" s="78">
        <f>SUM(Y8:Y68)</f>
        <v>796.66666666666674</v>
      </c>
      <c r="Z6" s="78">
        <f>SUM(Z8:Z68)</f>
        <v>23288.265666666666</v>
      </c>
      <c r="AA6" s="268"/>
      <c r="AB6" s="134"/>
    </row>
    <row r="7" spans="1:32" ht="35.25" customHeight="1" x14ac:dyDescent="0.2">
      <c r="A7" s="32" t="s">
        <v>0</v>
      </c>
      <c r="B7" s="32" t="s">
        <v>69</v>
      </c>
      <c r="C7" s="123" t="s">
        <v>1</v>
      </c>
      <c r="D7" s="32" t="s">
        <v>2</v>
      </c>
      <c r="E7" s="32" t="s">
        <v>65</v>
      </c>
      <c r="F7" s="123" t="s">
        <v>127</v>
      </c>
      <c r="G7" s="132" t="s">
        <v>21</v>
      </c>
      <c r="H7" s="132" t="s">
        <v>66</v>
      </c>
      <c r="I7" s="132" t="s">
        <v>78</v>
      </c>
      <c r="J7" s="132" t="s">
        <v>81</v>
      </c>
      <c r="K7" s="33" t="s">
        <v>71</v>
      </c>
      <c r="L7" s="34" t="s">
        <v>70</v>
      </c>
      <c r="M7" s="34" t="s">
        <v>78</v>
      </c>
      <c r="N7" s="34" t="s">
        <v>82</v>
      </c>
      <c r="O7" s="129" t="s">
        <v>160</v>
      </c>
      <c r="P7" s="130" t="s">
        <v>159</v>
      </c>
      <c r="Q7" s="130" t="s">
        <v>158</v>
      </c>
      <c r="R7" s="131" t="s">
        <v>22</v>
      </c>
      <c r="S7" s="133" t="s">
        <v>79</v>
      </c>
      <c r="T7" s="133" t="s">
        <v>22</v>
      </c>
      <c r="U7" s="132" t="s">
        <v>21</v>
      </c>
      <c r="V7" s="132" t="s">
        <v>66</v>
      </c>
      <c r="W7" s="132" t="s">
        <v>78</v>
      </c>
      <c r="X7" s="29" t="s">
        <v>62</v>
      </c>
      <c r="Y7" s="30" t="s">
        <v>63</v>
      </c>
      <c r="Z7" s="30" t="s">
        <v>104</v>
      </c>
      <c r="AA7" s="268"/>
    </row>
    <row r="8" spans="1:32" x14ac:dyDescent="0.2">
      <c r="A8" s="43" t="str">
        <f>VLOOKUP(C8,'PRODUCTIVIDAD UAC'!$H$21:$I$78,2,0)</f>
        <v>G5</v>
      </c>
      <c r="B8" s="43" t="str">
        <f>VLOOKUP(A8,'PRODUCTIVIDAD UAC'!$B$3:$C$17,2,0)</f>
        <v xml:space="preserve">MIRELES SOTO CARLOS </v>
      </c>
      <c r="C8" s="161">
        <v>12896534</v>
      </c>
      <c r="D8" s="45" t="str">
        <f>VLOOKUP(C8,Homologacion!$E$1:$F$92,2,0)</f>
        <v>ABREGU GONZÁLEZ ADELMO CRISTY</v>
      </c>
      <c r="E8" s="26" t="str">
        <f>VLOOKUP(C8,Homologacion!$E$1:$G$92,3,0)</f>
        <v>Apoyo UAC</v>
      </c>
      <c r="F8" s="156">
        <v>30</v>
      </c>
      <c r="G8" s="152">
        <f>VLOOKUP($C8,'PRODUCTIVIDAD UAC'!$K:$O,4,0)</f>
        <v>167.625</v>
      </c>
      <c r="H8" s="46">
        <f>VLOOKUP($C8,'PRODUCTIVIDAD UAC'!$K:$O,5,0)</f>
        <v>140</v>
      </c>
      <c r="I8" s="47">
        <f>IFERROR((H8/G8),0)</f>
        <v>0.83519761372110368</v>
      </c>
      <c r="J8" s="56">
        <f>+I8*$J$6</f>
        <v>0.41759880686055184</v>
      </c>
      <c r="K8" s="48">
        <f>IFERROR(VLOOKUP($C8,'SLA UAC'!$G:$I,3,0),0)</f>
        <v>120</v>
      </c>
      <c r="L8" s="46">
        <f>IFERROR(VLOOKUP($C8,'SLA UAC'!$G:$I,2,0),0)</f>
        <v>57</v>
      </c>
      <c r="M8" s="47">
        <f>IFERROR((L8/K8),0)</f>
        <v>0.47499999999999998</v>
      </c>
      <c r="N8" s="49">
        <f>+M8*$N$6</f>
        <v>0.23749999999999999</v>
      </c>
      <c r="O8" s="128">
        <f>SUM(J8,N8)</f>
        <v>0.65509880686055189</v>
      </c>
      <c r="P8" s="126">
        <f>SUMIF(K8,"&lt;&gt;0",$N$6)+SUMIF(G8,"&lt;&gt;0",$J$6)</f>
        <v>1</v>
      </c>
      <c r="Q8" s="127">
        <f>ROUND(O8/P8,2)</f>
        <v>0.66</v>
      </c>
      <c r="R8" s="71">
        <f>VLOOKUP(Q8,TABLA!$A$5:$D$16,4,1)</f>
        <v>0.6</v>
      </c>
      <c r="S8" s="50">
        <f>IFERROR(VLOOKUP(C8,CALIDAD!$AK$3:$AM$39,3,0),100%)</f>
        <v>1</v>
      </c>
      <c r="T8" s="72">
        <f>VLOOKUP(S8,TABLA!$A$20:$D$29,4,1)</f>
        <v>1.1000000000000001</v>
      </c>
      <c r="U8" s="152">
        <f>VLOOKUP(A8,EQUIPO!$B$6:$E$19,2,0)</f>
        <v>167.625</v>
      </c>
      <c r="V8" s="152">
        <f>VLOOKUP(A8,EQUIPO!$B$6:$E$19,3,0)</f>
        <v>140</v>
      </c>
      <c r="W8" s="155">
        <f>ROUND(V8/U8,2)</f>
        <v>0.84</v>
      </c>
      <c r="X8" s="77">
        <f t="shared" ref="X8:X57" si="0">IFERROR(IF(OR(M8&gt;=60%,K8=0),(R8*T8)*VLOOKUP(E8,$S$2:$U$4,3,0),0),0)/30*F8</f>
        <v>0</v>
      </c>
      <c r="Y8" s="53">
        <f>IF(AND(I8&gt;=1,E8="Especialista UAC"),VLOOKUP(W8,TABLA!$A$34:$D$38,4,1),0)/30*F8</f>
        <v>0</v>
      </c>
      <c r="Z8" s="54">
        <f>SUM(X8:Y8)</f>
        <v>0</v>
      </c>
      <c r="AA8" s="177"/>
      <c r="AB8" s="27"/>
      <c r="AC8" s="185"/>
      <c r="AD8" s="27"/>
      <c r="AE8" s="194"/>
      <c r="AF8" s="194"/>
    </row>
    <row r="9" spans="1:32" x14ac:dyDescent="0.2">
      <c r="A9" s="43" t="str">
        <f>VLOOKUP(C9,'PRODUCTIVIDAD UAC'!$H$21:$I$78,2,0)</f>
        <v>G9</v>
      </c>
      <c r="B9" s="43" t="str">
        <f>VLOOKUP(A9,'PRODUCTIVIDAD UAC'!$B$3:$C$17,2,0)</f>
        <v xml:space="preserve">MIRELES SOTO CARLOS </v>
      </c>
      <c r="C9" s="161">
        <v>12896535</v>
      </c>
      <c r="D9" s="45" t="str">
        <f>VLOOKUP(C9,Homologacion!$E$1:$F$92,2,0)</f>
        <v>ABREU RODRÍGUEZ ADOLFO WALTER</v>
      </c>
      <c r="E9" s="26" t="str">
        <f>VLOOKUP(C9,Homologacion!$E$1:$G$92,3,0)</f>
        <v>Especialista UAC</v>
      </c>
      <c r="F9" s="156">
        <v>30</v>
      </c>
      <c r="G9" s="152">
        <f>VLOOKUP($C9,'PRODUCTIVIDAD UAC'!$K:$O,4,0)</f>
        <v>180</v>
      </c>
      <c r="H9" s="46">
        <f>VLOOKUP($C9,'PRODUCTIVIDAD UAC'!$K:$O,5,0)</f>
        <v>226</v>
      </c>
      <c r="I9" s="47">
        <f t="shared" ref="I9:I57" si="1">IFERROR((H9/G9),0)</f>
        <v>1.2555555555555555</v>
      </c>
      <c r="J9" s="56">
        <f t="shared" ref="J9:J57" si="2">+I9*$J$6</f>
        <v>0.62777777777777777</v>
      </c>
      <c r="K9" s="48">
        <f>IFERROR(VLOOKUP($C9,'SLA UAC'!$G:$I,3,0),0)</f>
        <v>6</v>
      </c>
      <c r="L9" s="46">
        <f>IFERROR(VLOOKUP($C9,'SLA UAC'!$G:$I,2,0),0)</f>
        <v>6</v>
      </c>
      <c r="M9" s="47">
        <f t="shared" ref="M9:M57" si="3">IFERROR((L9/K9),0)</f>
        <v>1</v>
      </c>
      <c r="N9" s="49">
        <f t="shared" ref="N9:N57" si="4">+M9*$N$6</f>
        <v>0.5</v>
      </c>
      <c r="O9" s="128">
        <f t="shared" ref="O9:O65" si="5">SUM(J9,N9)</f>
        <v>1.1277777777777778</v>
      </c>
      <c r="P9" s="126">
        <f t="shared" ref="P9:P65" si="6">SUMIF(K9,"&lt;&gt;0",$N$6)+SUMIF(G9,"&lt;&gt;0",$J$6)</f>
        <v>1</v>
      </c>
      <c r="Q9" s="127">
        <f t="shared" ref="Q9:Q65" si="7">ROUND(O9/P9,2)</f>
        <v>1.1299999999999999</v>
      </c>
      <c r="R9" s="71">
        <f>VLOOKUP(Q9,TABLA!$A$5:$D$16,4,1)</f>
        <v>1.1499999999999999</v>
      </c>
      <c r="S9" s="50">
        <f>IFERROR(VLOOKUP(C9,CALIDAD!$AK$3:$AM$39,3,0),100%)</f>
        <v>1</v>
      </c>
      <c r="T9" s="72">
        <f>VLOOKUP(S9,TABLA!$A$20:$D$29,4,1)</f>
        <v>1.1000000000000001</v>
      </c>
      <c r="U9" s="152">
        <f>VLOOKUP(A9,EQUIPO!$B$6:$E$19,2,0)</f>
        <v>2431.3888888888896</v>
      </c>
      <c r="V9" s="152">
        <f>VLOOKUP(A9,EQUIPO!$B$6:$E$19,3,0)</f>
        <v>2114</v>
      </c>
      <c r="W9" s="155">
        <f t="shared" ref="W9:W57" si="8">ROUND(V9/U9,2)</f>
        <v>0.87</v>
      </c>
      <c r="X9" s="77">
        <f t="shared" si="0"/>
        <v>948.74999999999989</v>
      </c>
      <c r="Y9" s="53">
        <f>IF(AND(I9&gt;=1,E9="Especialista UAC"),VLOOKUP(W9,TABLA!$A$34:$D$38,4,1),0)/30*F9</f>
        <v>0</v>
      </c>
      <c r="Z9" s="54">
        <f t="shared" ref="Z9:Z57" si="9">SUM(X9:Y9)</f>
        <v>948.74999999999989</v>
      </c>
      <c r="AA9" s="177"/>
      <c r="AB9" s="27"/>
      <c r="AC9" s="185"/>
      <c r="AD9" s="27"/>
      <c r="AE9" s="194"/>
      <c r="AF9" s="194"/>
    </row>
    <row r="10" spans="1:32" x14ac:dyDescent="0.2">
      <c r="A10" s="43" t="str">
        <f>VLOOKUP(C10,'PRODUCTIVIDAD UAC'!$H$21:$I$78,2,0)</f>
        <v>G9</v>
      </c>
      <c r="B10" s="43" t="str">
        <f>VLOOKUP(A10,'PRODUCTIVIDAD UAC'!$B$3:$C$17,2,0)</f>
        <v xml:space="preserve">MIRELES SOTO CARLOS </v>
      </c>
      <c r="C10" s="161">
        <v>12896536</v>
      </c>
      <c r="D10" s="45" t="str">
        <f>VLOOKUP(C10,Homologacion!$E$1:$F$92,2,0)</f>
        <v>ADAMES GÓMEZ ADRIANO TERESA</v>
      </c>
      <c r="E10" s="26" t="str">
        <f>VLOOKUP(C10,Homologacion!$E$1:$G$92,3,0)</f>
        <v>Especialista UAC</v>
      </c>
      <c r="F10" s="156">
        <v>30</v>
      </c>
      <c r="G10" s="152">
        <f>VLOOKUP($C10,'PRODUCTIVIDAD UAC'!$K:$O,4,0)</f>
        <v>180</v>
      </c>
      <c r="H10" s="46">
        <f>VLOOKUP($C10,'PRODUCTIVIDAD UAC'!$K:$O,5,0)</f>
        <v>171</v>
      </c>
      <c r="I10" s="47">
        <f t="shared" si="1"/>
        <v>0.95</v>
      </c>
      <c r="J10" s="56">
        <f t="shared" si="2"/>
        <v>0.47499999999999998</v>
      </c>
      <c r="K10" s="48">
        <f>IFERROR(VLOOKUP($C10,'SLA UAC'!$G:$I,3,0),0)</f>
        <v>98</v>
      </c>
      <c r="L10" s="46">
        <f>IFERROR(VLOOKUP($C10,'SLA UAC'!$G:$I,2,0),0)</f>
        <v>77</v>
      </c>
      <c r="M10" s="47">
        <f t="shared" si="3"/>
        <v>0.7857142857142857</v>
      </c>
      <c r="N10" s="49">
        <f t="shared" si="4"/>
        <v>0.39285714285714285</v>
      </c>
      <c r="O10" s="128">
        <f t="shared" si="5"/>
        <v>0.86785714285714288</v>
      </c>
      <c r="P10" s="126">
        <f t="shared" si="6"/>
        <v>1</v>
      </c>
      <c r="Q10" s="127">
        <f t="shared" si="7"/>
        <v>0.87</v>
      </c>
      <c r="R10" s="71">
        <f>VLOOKUP(Q10,TABLA!$A$5:$D$16,4,1)</f>
        <v>0.8</v>
      </c>
      <c r="S10" s="50">
        <f>IFERROR(VLOOKUP(C10,CALIDAD!$AK$3:$AM$39,3,0),100%)</f>
        <v>1</v>
      </c>
      <c r="T10" s="72">
        <f>VLOOKUP(S10,TABLA!$A$20:$D$29,4,1)</f>
        <v>1.1000000000000001</v>
      </c>
      <c r="U10" s="152">
        <f>VLOOKUP(A10,EQUIPO!$B$6:$E$19,2,0)</f>
        <v>2431.3888888888896</v>
      </c>
      <c r="V10" s="152">
        <f>VLOOKUP(A10,EQUIPO!$B$6:$E$19,3,0)</f>
        <v>2114</v>
      </c>
      <c r="W10" s="155">
        <f t="shared" si="8"/>
        <v>0.87</v>
      </c>
      <c r="X10" s="77">
        <f t="shared" si="0"/>
        <v>660.00000000000011</v>
      </c>
      <c r="Y10" s="53">
        <f>IF(AND(I10&gt;=1,E10="Especialista UAC"),VLOOKUP(W10,TABLA!$A$34:$D$38,4,1),0)/30*F10</f>
        <v>0</v>
      </c>
      <c r="Z10" s="54">
        <f t="shared" si="9"/>
        <v>660.00000000000011</v>
      </c>
      <c r="AA10" s="177"/>
      <c r="AB10" s="27"/>
      <c r="AC10" s="185"/>
      <c r="AD10" s="27"/>
      <c r="AE10" s="194"/>
      <c r="AF10" s="194"/>
    </row>
    <row r="11" spans="1:32" x14ac:dyDescent="0.2">
      <c r="A11" s="43" t="str">
        <f>VLOOKUP(C11,'PRODUCTIVIDAD UAC'!$H$21:$I$78,2,0)</f>
        <v>G9</v>
      </c>
      <c r="B11" s="43" t="str">
        <f>VLOOKUP(A11,'PRODUCTIVIDAD UAC'!$B$3:$C$17,2,0)</f>
        <v xml:space="preserve">MIRELES SOTO CARLOS </v>
      </c>
      <c r="C11" s="161">
        <v>12896537</v>
      </c>
      <c r="D11" s="45" t="str">
        <f>VLOOKUP(C11,Homologacion!$E$1:$F$92,2,0)</f>
        <v>ADARO FERNÁNDEZ AILÍN FERNANDO</v>
      </c>
      <c r="E11" s="26" t="str">
        <f>VLOOKUP(C11,Homologacion!$E$1:$G$92,3,0)</f>
        <v>Apoyo UAC</v>
      </c>
      <c r="F11" s="156">
        <v>23</v>
      </c>
      <c r="G11" s="152">
        <f>VLOOKUP($C11,'PRODUCTIVIDAD UAC'!$K:$O,4,0)</f>
        <v>176.25</v>
      </c>
      <c r="H11" s="46">
        <f>VLOOKUP($C11,'PRODUCTIVIDAD UAC'!$K:$O,5,0)</f>
        <v>167</v>
      </c>
      <c r="I11" s="47">
        <f t="shared" si="1"/>
        <v>0.94751773049645394</v>
      </c>
      <c r="J11" s="56">
        <f t="shared" si="2"/>
        <v>0.47375886524822697</v>
      </c>
      <c r="K11" s="48">
        <f>IFERROR(VLOOKUP($C11,'SLA UAC'!$G:$I,3,0),0)</f>
        <v>0</v>
      </c>
      <c r="L11" s="46">
        <f>IFERROR(VLOOKUP($C11,'SLA UAC'!$G:$I,2,0),0)</f>
        <v>0</v>
      </c>
      <c r="M11" s="47">
        <f t="shared" si="3"/>
        <v>0</v>
      </c>
      <c r="N11" s="49">
        <f t="shared" si="4"/>
        <v>0</v>
      </c>
      <c r="O11" s="128">
        <f t="shared" si="5"/>
        <v>0.47375886524822697</v>
      </c>
      <c r="P11" s="126">
        <f t="shared" si="6"/>
        <v>0.5</v>
      </c>
      <c r="Q11" s="127">
        <f t="shared" si="7"/>
        <v>0.95</v>
      </c>
      <c r="R11" s="71">
        <f>VLOOKUP(Q11,TABLA!$A$5:$D$16,4,1)</f>
        <v>0.95</v>
      </c>
      <c r="S11" s="50">
        <f>IFERROR(VLOOKUP(C11,CALIDAD!$AK$3:$AM$39,3,0),100%)</f>
        <v>1</v>
      </c>
      <c r="T11" s="72">
        <f>VLOOKUP(S11,TABLA!$A$20:$D$29,4,1)</f>
        <v>1.1000000000000001</v>
      </c>
      <c r="U11" s="152">
        <f>VLOOKUP(A11,EQUIPO!$B$6:$E$19,2,0)</f>
        <v>2431.3888888888896</v>
      </c>
      <c r="V11" s="152">
        <f>VLOOKUP(A11,EQUIPO!$B$6:$E$19,3,0)</f>
        <v>2114</v>
      </c>
      <c r="W11" s="155">
        <f t="shared" si="8"/>
        <v>0.87</v>
      </c>
      <c r="X11" s="77">
        <f t="shared" si="0"/>
        <v>240.35</v>
      </c>
      <c r="Y11" s="53">
        <f>IF(AND(I11&gt;=1,E11="Especialista UAC"),VLOOKUP(W11,TABLA!$A$34:$D$38,4,1),0)/30*F11</f>
        <v>0</v>
      </c>
      <c r="Z11" s="54">
        <f t="shared" si="9"/>
        <v>240.35</v>
      </c>
      <c r="AA11" s="177"/>
      <c r="AB11" s="27"/>
      <c r="AC11" s="185"/>
      <c r="AD11" s="27"/>
      <c r="AE11" s="194"/>
      <c r="AF11" s="194"/>
    </row>
    <row r="12" spans="1:32" x14ac:dyDescent="0.2">
      <c r="A12" s="43" t="str">
        <f>VLOOKUP(C12,'PRODUCTIVIDAD UAC'!$H$21:$I$78,2,0)</f>
        <v>G9</v>
      </c>
      <c r="B12" s="43" t="str">
        <f>VLOOKUP(A12,'PRODUCTIVIDAD UAC'!$B$3:$C$17,2,0)</f>
        <v xml:space="preserve">MIRELES SOTO CARLOS </v>
      </c>
      <c r="C12" s="161">
        <v>12896538</v>
      </c>
      <c r="D12" s="45" t="str">
        <f>VLOOKUP(C12,Homologacion!$E$1:$F$92,2,0)</f>
        <v>ADAUTO LÓPEZ ALBERTO SONIA</v>
      </c>
      <c r="E12" s="26" t="str">
        <f>VLOOKUP(C12,Homologacion!$E$1:$G$92,3,0)</f>
        <v>Apoyo UAC</v>
      </c>
      <c r="F12" s="156">
        <v>30</v>
      </c>
      <c r="G12" s="152">
        <f>VLOOKUP($C12,'PRODUCTIVIDAD UAC'!$K:$O,4,0)</f>
        <v>180</v>
      </c>
      <c r="H12" s="46">
        <f>VLOOKUP($C12,'PRODUCTIVIDAD UAC'!$K:$O,5,0)</f>
        <v>154</v>
      </c>
      <c r="I12" s="47">
        <f t="shared" si="1"/>
        <v>0.85555555555555551</v>
      </c>
      <c r="J12" s="56">
        <f t="shared" si="2"/>
        <v>0.42777777777777776</v>
      </c>
      <c r="K12" s="48">
        <f>IFERROR(VLOOKUP($C12,'SLA UAC'!$G:$I,3,0),0)</f>
        <v>102</v>
      </c>
      <c r="L12" s="46">
        <f>IFERROR(VLOOKUP($C12,'SLA UAC'!$G:$I,2,0),0)</f>
        <v>96</v>
      </c>
      <c r="M12" s="47">
        <f t="shared" si="3"/>
        <v>0.94117647058823528</v>
      </c>
      <c r="N12" s="49">
        <f t="shared" si="4"/>
        <v>0.47058823529411764</v>
      </c>
      <c r="O12" s="128">
        <f t="shared" si="5"/>
        <v>0.89836601307189534</v>
      </c>
      <c r="P12" s="126">
        <f t="shared" si="6"/>
        <v>1</v>
      </c>
      <c r="Q12" s="127">
        <f t="shared" si="7"/>
        <v>0.9</v>
      </c>
      <c r="R12" s="71">
        <f>VLOOKUP(Q12,TABLA!$A$5:$D$16,4,1)</f>
        <v>0.9</v>
      </c>
      <c r="S12" s="50">
        <f>IFERROR(VLOOKUP(C12,CALIDAD!$AK$3:$AM$39,3,0),100%)</f>
        <v>1</v>
      </c>
      <c r="T12" s="72">
        <f>VLOOKUP(S12,TABLA!$A$20:$D$29,4,1)</f>
        <v>1.1000000000000001</v>
      </c>
      <c r="U12" s="152">
        <f>VLOOKUP(A12,EQUIPO!$B$6:$E$19,2,0)</f>
        <v>2431.3888888888896</v>
      </c>
      <c r="V12" s="152">
        <f>VLOOKUP(A12,EQUIPO!$B$6:$E$19,3,0)</f>
        <v>2114</v>
      </c>
      <c r="W12" s="155">
        <f t="shared" si="8"/>
        <v>0.87</v>
      </c>
      <c r="X12" s="77">
        <f t="shared" si="0"/>
        <v>297.00000000000006</v>
      </c>
      <c r="Y12" s="53">
        <f>IF(AND(I12&gt;=1,E12="Especialista UAC"),VLOOKUP(W12,TABLA!$A$34:$D$38,4,1),0)/30*F12</f>
        <v>0</v>
      </c>
      <c r="Z12" s="54">
        <f t="shared" si="9"/>
        <v>297.00000000000006</v>
      </c>
      <c r="AA12" s="177"/>
      <c r="AB12" s="27"/>
      <c r="AC12" s="185"/>
      <c r="AD12" s="27"/>
      <c r="AE12" s="194"/>
      <c r="AF12" s="194"/>
    </row>
    <row r="13" spans="1:32" x14ac:dyDescent="0.2">
      <c r="A13" s="43" t="str">
        <f>VLOOKUP(C13,'PRODUCTIVIDAD UAC'!$H$21:$I$78,2,0)</f>
        <v>G9</v>
      </c>
      <c r="B13" s="43" t="str">
        <f>VLOOKUP(A13,'PRODUCTIVIDAD UAC'!$B$3:$C$17,2,0)</f>
        <v xml:space="preserve">MIRELES SOTO CARLOS </v>
      </c>
      <c r="C13" s="161">
        <v>12896539</v>
      </c>
      <c r="D13" s="45" t="str">
        <f>VLOOKUP(C13,Homologacion!$E$1:$F$92,2,0)</f>
        <v>AGRADA DÍAZ ALEJANDRO ARLETH</v>
      </c>
      <c r="E13" s="26" t="str">
        <f>VLOOKUP(C13,Homologacion!$E$1:$G$92,3,0)</f>
        <v>Apoyo UAC</v>
      </c>
      <c r="F13" s="156">
        <v>30</v>
      </c>
      <c r="G13" s="152">
        <f>VLOOKUP($C13,'PRODUCTIVIDAD UAC'!$K:$O,4,0)</f>
        <v>176.25</v>
      </c>
      <c r="H13" s="46">
        <f>VLOOKUP($C13,'PRODUCTIVIDAD UAC'!$K:$O,5,0)</f>
        <v>151</v>
      </c>
      <c r="I13" s="47">
        <f t="shared" si="1"/>
        <v>0.85673758865248228</v>
      </c>
      <c r="J13" s="56">
        <f t="shared" si="2"/>
        <v>0.42836879432624114</v>
      </c>
      <c r="K13" s="48">
        <f>IFERROR(VLOOKUP($C13,'SLA UAC'!$G:$I,3,0),0)</f>
        <v>24</v>
      </c>
      <c r="L13" s="46">
        <f>IFERROR(VLOOKUP($C13,'SLA UAC'!$G:$I,2,0),0)</f>
        <v>22</v>
      </c>
      <c r="M13" s="47">
        <f t="shared" si="3"/>
        <v>0.91666666666666663</v>
      </c>
      <c r="N13" s="49">
        <f t="shared" si="4"/>
        <v>0.45833333333333331</v>
      </c>
      <c r="O13" s="128">
        <f t="shared" si="5"/>
        <v>0.88670212765957446</v>
      </c>
      <c r="P13" s="126">
        <f t="shared" si="6"/>
        <v>1</v>
      </c>
      <c r="Q13" s="127">
        <f t="shared" si="7"/>
        <v>0.89</v>
      </c>
      <c r="R13" s="71">
        <f>VLOOKUP(Q13,TABLA!$A$5:$D$16,4,1)</f>
        <v>0.8</v>
      </c>
      <c r="S13" s="50">
        <f>IFERROR(VLOOKUP(C13,CALIDAD!$AK$3:$AM$39,3,0),100%)</f>
        <v>1</v>
      </c>
      <c r="T13" s="72">
        <f>VLOOKUP(S13,TABLA!$A$20:$D$29,4,1)</f>
        <v>1.1000000000000001</v>
      </c>
      <c r="U13" s="152">
        <f>VLOOKUP(A13,EQUIPO!$B$6:$E$19,2,0)</f>
        <v>2431.3888888888896</v>
      </c>
      <c r="V13" s="152">
        <f>VLOOKUP(A13,EQUIPO!$B$6:$E$19,3,0)</f>
        <v>2114</v>
      </c>
      <c r="W13" s="155">
        <f t="shared" si="8"/>
        <v>0.87</v>
      </c>
      <c r="X13" s="77">
        <f t="shared" si="0"/>
        <v>264.00000000000006</v>
      </c>
      <c r="Y13" s="53">
        <f>IF(AND(I13&gt;=1,E13="Especialista UAC"),VLOOKUP(W13,TABLA!$A$34:$D$38,4,1),0)/30*F13</f>
        <v>0</v>
      </c>
      <c r="Z13" s="54">
        <f t="shared" si="9"/>
        <v>264.00000000000006</v>
      </c>
      <c r="AA13" s="177"/>
      <c r="AB13" s="27"/>
      <c r="AC13" s="185"/>
      <c r="AD13" s="27"/>
      <c r="AE13" s="194"/>
      <c r="AF13" s="194"/>
    </row>
    <row r="14" spans="1:32" x14ac:dyDescent="0.2">
      <c r="A14" s="43" t="str">
        <f>VLOOKUP(C14,'PRODUCTIVIDAD UAC'!$H$21:$I$78,2,0)</f>
        <v>G9</v>
      </c>
      <c r="B14" s="43" t="str">
        <f>VLOOKUP(A14,'PRODUCTIVIDAD UAC'!$B$3:$C$17,2,0)</f>
        <v xml:space="preserve">MIRELES SOTO CARLOS </v>
      </c>
      <c r="C14" s="161">
        <v>12896540</v>
      </c>
      <c r="D14" s="45" t="str">
        <f>VLOOKUP(C14,Homologacion!$E$1:$F$92,2,0)</f>
        <v>ALBURQUEQUE MARTÍNEZ ALFONSO MARITZA</v>
      </c>
      <c r="E14" s="26" t="str">
        <f>VLOOKUP(C14,Homologacion!$E$1:$G$92,3,0)</f>
        <v>Especialista UAC</v>
      </c>
      <c r="F14" s="156">
        <v>29</v>
      </c>
      <c r="G14" s="152">
        <f>VLOOKUP($C14,'PRODUCTIVIDAD UAC'!$K:$O,4,0)</f>
        <v>180</v>
      </c>
      <c r="H14" s="46">
        <f>VLOOKUP($C14,'PRODUCTIVIDAD UAC'!$K:$O,5,0)</f>
        <v>146</v>
      </c>
      <c r="I14" s="47">
        <f t="shared" si="1"/>
        <v>0.81111111111111112</v>
      </c>
      <c r="J14" s="56">
        <f t="shared" si="2"/>
        <v>0.40555555555555556</v>
      </c>
      <c r="K14" s="48">
        <f>IFERROR(VLOOKUP($C14,'SLA UAC'!$G:$I,3,0),0)</f>
        <v>0</v>
      </c>
      <c r="L14" s="46">
        <f>IFERROR(VLOOKUP($C14,'SLA UAC'!$G:$I,2,0),0)</f>
        <v>0</v>
      </c>
      <c r="M14" s="47">
        <f t="shared" si="3"/>
        <v>0</v>
      </c>
      <c r="N14" s="49">
        <f t="shared" si="4"/>
        <v>0</v>
      </c>
      <c r="O14" s="128">
        <f t="shared" si="5"/>
        <v>0.40555555555555556</v>
      </c>
      <c r="P14" s="126">
        <f t="shared" si="6"/>
        <v>0.5</v>
      </c>
      <c r="Q14" s="127">
        <f t="shared" si="7"/>
        <v>0.81</v>
      </c>
      <c r="R14" s="71">
        <f>VLOOKUP(Q14,TABLA!$A$5:$D$16,4,1)</f>
        <v>0.7</v>
      </c>
      <c r="S14" s="50">
        <f>IFERROR(VLOOKUP(C14,CALIDAD!$AK$3:$AM$39,3,0),100%)</f>
        <v>1</v>
      </c>
      <c r="T14" s="72">
        <f>VLOOKUP(S14,TABLA!$A$20:$D$29,4,1)</f>
        <v>1.1000000000000001</v>
      </c>
      <c r="U14" s="152">
        <f>VLOOKUP(A14,EQUIPO!$B$6:$E$19,2,0)</f>
        <v>2431.3888888888896</v>
      </c>
      <c r="V14" s="152">
        <f>VLOOKUP(A14,EQUIPO!$B$6:$E$19,3,0)</f>
        <v>2114</v>
      </c>
      <c r="W14" s="155">
        <f t="shared" si="8"/>
        <v>0.87</v>
      </c>
      <c r="X14" s="77">
        <f t="shared" si="0"/>
        <v>558.25</v>
      </c>
      <c r="Y14" s="53">
        <f>IF(AND(I14&gt;=1,E14="Especialista UAC"),VLOOKUP(W14,TABLA!$A$34:$D$38,4,1),0)/30*F14</f>
        <v>0</v>
      </c>
      <c r="Z14" s="54">
        <f t="shared" si="9"/>
        <v>558.25</v>
      </c>
      <c r="AA14" s="177"/>
      <c r="AB14" s="27"/>
      <c r="AC14" s="185"/>
      <c r="AD14" s="27"/>
      <c r="AE14" s="194"/>
      <c r="AF14" s="194"/>
    </row>
    <row r="15" spans="1:32" x14ac:dyDescent="0.2">
      <c r="A15" s="43" t="str">
        <f>VLOOKUP(C15,'PRODUCTIVIDAD UAC'!$H$21:$I$78,2,0)</f>
        <v>G9</v>
      </c>
      <c r="B15" s="43" t="str">
        <f>VLOOKUP(A15,'PRODUCTIVIDAD UAC'!$B$3:$C$17,2,0)</f>
        <v xml:space="preserve">MIRELES SOTO CARLOS </v>
      </c>
      <c r="C15" s="161">
        <v>12896541</v>
      </c>
      <c r="D15" s="45" t="str">
        <f>VLOOKUP(C15,Homologacion!$E$1:$F$92,2,0)</f>
        <v>ALCABES PÉREZ ALFREDO ANGELA</v>
      </c>
      <c r="E15" s="26" t="str">
        <f>VLOOKUP(C15,Homologacion!$E$1:$G$92,3,0)</f>
        <v>Especialista UAC</v>
      </c>
      <c r="F15" s="156">
        <v>29</v>
      </c>
      <c r="G15" s="152">
        <f>VLOOKUP($C15,'PRODUCTIVIDAD UAC'!$K:$O,4,0)</f>
        <v>156.666666666667</v>
      </c>
      <c r="H15" s="46">
        <f>VLOOKUP($C15,'PRODUCTIVIDAD UAC'!$K:$O,5,0)</f>
        <v>135</v>
      </c>
      <c r="I15" s="47">
        <f t="shared" si="1"/>
        <v>0.86170212765957266</v>
      </c>
      <c r="J15" s="56">
        <f t="shared" si="2"/>
        <v>0.43085106382978633</v>
      </c>
      <c r="K15" s="48">
        <f>IFERROR(VLOOKUP($C15,'SLA UAC'!$G:$I,3,0),0)</f>
        <v>0</v>
      </c>
      <c r="L15" s="46">
        <f>IFERROR(VLOOKUP($C15,'SLA UAC'!$G:$I,2,0),0)</f>
        <v>0</v>
      </c>
      <c r="M15" s="47">
        <f t="shared" si="3"/>
        <v>0</v>
      </c>
      <c r="N15" s="49">
        <f t="shared" si="4"/>
        <v>0</v>
      </c>
      <c r="O15" s="128">
        <f t="shared" si="5"/>
        <v>0.43085106382978633</v>
      </c>
      <c r="P15" s="126">
        <f t="shared" si="6"/>
        <v>0.5</v>
      </c>
      <c r="Q15" s="127">
        <f t="shared" si="7"/>
        <v>0.86</v>
      </c>
      <c r="R15" s="71">
        <f>VLOOKUP(Q15,TABLA!$A$5:$D$16,4,1)</f>
        <v>0.8</v>
      </c>
      <c r="S15" s="50">
        <f>IFERROR(VLOOKUP(C15,CALIDAD!$AK$3:$AM$39,3,0),100%)</f>
        <v>1</v>
      </c>
      <c r="T15" s="72">
        <f>VLOOKUP(S15,TABLA!$A$20:$D$29,4,1)</f>
        <v>1.1000000000000001</v>
      </c>
      <c r="U15" s="152">
        <f>VLOOKUP(A15,EQUIPO!$B$6:$E$19,2,0)</f>
        <v>2431.3888888888896</v>
      </c>
      <c r="V15" s="152">
        <f>VLOOKUP(A15,EQUIPO!$B$6:$E$19,3,0)</f>
        <v>2114</v>
      </c>
      <c r="W15" s="155">
        <f t="shared" si="8"/>
        <v>0.87</v>
      </c>
      <c r="X15" s="77">
        <f t="shared" si="0"/>
        <v>638.00000000000011</v>
      </c>
      <c r="Y15" s="53">
        <f>IF(AND(I15&gt;=1,E15="Especialista UAC"),VLOOKUP(W15,TABLA!$A$34:$D$38,4,1),0)/30*F15</f>
        <v>0</v>
      </c>
      <c r="Z15" s="54">
        <f t="shared" si="9"/>
        <v>638.00000000000011</v>
      </c>
      <c r="AA15" s="177"/>
      <c r="AB15" s="27"/>
      <c r="AC15" s="185"/>
      <c r="AD15" s="27"/>
      <c r="AE15" s="194"/>
      <c r="AF15" s="194"/>
    </row>
    <row r="16" spans="1:32" x14ac:dyDescent="0.2">
      <c r="A16" s="43" t="str">
        <f>VLOOKUP(C16,'PRODUCTIVIDAD UAC'!$H$21:$I$78,2,0)</f>
        <v>G9</v>
      </c>
      <c r="B16" s="43" t="str">
        <f>VLOOKUP(A16,'PRODUCTIVIDAD UAC'!$B$3:$C$17,2,0)</f>
        <v xml:space="preserve">MIRELES SOTO CARLOS </v>
      </c>
      <c r="C16" s="161">
        <v>12896542</v>
      </c>
      <c r="D16" s="45" t="str">
        <f>VLOOKUP(C16,Homologacion!$E$1:$F$92,2,0)</f>
        <v>ALMEIDA GARCÍA ALVAREZ JAVIER</v>
      </c>
      <c r="E16" s="26" t="str">
        <f>VLOOKUP(C16,Homologacion!$E$1:$G$92,3,0)</f>
        <v>Apoyo UAC</v>
      </c>
      <c r="F16" s="156">
        <v>30</v>
      </c>
      <c r="G16" s="152">
        <f>VLOOKUP($C16,'PRODUCTIVIDAD UAC'!$K:$O,4,0)</f>
        <v>180</v>
      </c>
      <c r="H16" s="46">
        <f>VLOOKUP($C16,'PRODUCTIVIDAD UAC'!$K:$O,5,0)</f>
        <v>132</v>
      </c>
      <c r="I16" s="47">
        <f t="shared" si="1"/>
        <v>0.73333333333333328</v>
      </c>
      <c r="J16" s="56">
        <f t="shared" si="2"/>
        <v>0.36666666666666664</v>
      </c>
      <c r="K16" s="48">
        <f>IFERROR(VLOOKUP($C16,'SLA UAC'!$G:$I,3,0),0)</f>
        <v>0</v>
      </c>
      <c r="L16" s="46">
        <f>IFERROR(VLOOKUP($C16,'SLA UAC'!$G:$I,2,0),0)</f>
        <v>0</v>
      </c>
      <c r="M16" s="47">
        <f t="shared" si="3"/>
        <v>0</v>
      </c>
      <c r="N16" s="49">
        <f t="shared" si="4"/>
        <v>0</v>
      </c>
      <c r="O16" s="128">
        <f t="shared" si="5"/>
        <v>0.36666666666666664</v>
      </c>
      <c r="P16" s="126">
        <f t="shared" si="6"/>
        <v>0.5</v>
      </c>
      <c r="Q16" s="127">
        <f t="shared" si="7"/>
        <v>0.73</v>
      </c>
      <c r="R16" s="71">
        <f>VLOOKUP(Q16,TABLA!$A$5:$D$16,4,1)</f>
        <v>0.6</v>
      </c>
      <c r="S16" s="50">
        <f>IFERROR(VLOOKUP(C16,CALIDAD!$AK$3:$AM$39,3,0),100%)</f>
        <v>1</v>
      </c>
      <c r="T16" s="72">
        <f>VLOOKUP(S16,TABLA!$A$20:$D$29,4,1)</f>
        <v>1.1000000000000001</v>
      </c>
      <c r="U16" s="152">
        <f>VLOOKUP(A16,EQUIPO!$B$6:$E$19,2,0)</f>
        <v>2431.3888888888896</v>
      </c>
      <c r="V16" s="152">
        <f>VLOOKUP(A16,EQUIPO!$B$6:$E$19,3,0)</f>
        <v>2114</v>
      </c>
      <c r="W16" s="155">
        <f t="shared" si="8"/>
        <v>0.87</v>
      </c>
      <c r="X16" s="77">
        <f t="shared" si="0"/>
        <v>198</v>
      </c>
      <c r="Y16" s="53">
        <f>IF(AND(I16&gt;=1,E16="Especialista UAC"),VLOOKUP(W16,TABLA!$A$34:$D$38,4,1),0)/30*F16</f>
        <v>0</v>
      </c>
      <c r="Z16" s="54">
        <f t="shared" si="9"/>
        <v>198</v>
      </c>
      <c r="AA16" s="177"/>
      <c r="AB16" s="27"/>
      <c r="AC16" s="185"/>
      <c r="AD16" s="27"/>
      <c r="AE16" s="194"/>
      <c r="AF16" s="194"/>
    </row>
    <row r="17" spans="1:32" x14ac:dyDescent="0.2">
      <c r="A17" s="43" t="str">
        <f>VLOOKUP(C17,'PRODUCTIVIDAD UAC'!$H$21:$I$78,2,0)</f>
        <v>G9</v>
      </c>
      <c r="B17" s="43" t="str">
        <f>VLOOKUP(A17,'PRODUCTIVIDAD UAC'!$B$3:$C$17,2,0)</f>
        <v xml:space="preserve">MIRELES SOTO CARLOS </v>
      </c>
      <c r="C17" s="161">
        <v>12896543</v>
      </c>
      <c r="D17" s="45" t="str">
        <f>VLOOKUP(C17,Homologacion!$E$1:$F$92,2,0)</f>
        <v>ALMEYDA SÁNCHEZ ALVARO JOSE</v>
      </c>
      <c r="E17" s="26" t="str">
        <f>VLOOKUP(C17,Homologacion!$E$1:$G$92,3,0)</f>
        <v>Apoyo UAC</v>
      </c>
      <c r="F17" s="156">
        <v>15</v>
      </c>
      <c r="G17" s="152">
        <f>VLOOKUP($C17,'PRODUCTIVIDAD UAC'!$K:$O,4,0)</f>
        <v>154.44444444444477</v>
      </c>
      <c r="H17" s="46">
        <f>VLOOKUP($C17,'PRODUCTIVIDAD UAC'!$K:$O,5,0)</f>
        <v>131</v>
      </c>
      <c r="I17" s="47">
        <f t="shared" si="1"/>
        <v>0.84820143884891908</v>
      </c>
      <c r="J17" s="56">
        <f t="shared" si="2"/>
        <v>0.42410071942445954</v>
      </c>
      <c r="K17" s="48">
        <f>IFERROR(VLOOKUP($C17,'SLA UAC'!$G:$I,3,0),0)</f>
        <v>0</v>
      </c>
      <c r="L17" s="46">
        <f>IFERROR(VLOOKUP($C17,'SLA UAC'!$G:$I,2,0),0)</f>
        <v>0</v>
      </c>
      <c r="M17" s="47">
        <f t="shared" si="3"/>
        <v>0</v>
      </c>
      <c r="N17" s="49">
        <f t="shared" si="4"/>
        <v>0</v>
      </c>
      <c r="O17" s="128">
        <f t="shared" si="5"/>
        <v>0.42410071942445954</v>
      </c>
      <c r="P17" s="126">
        <f t="shared" si="6"/>
        <v>0.5</v>
      </c>
      <c r="Q17" s="127">
        <f t="shared" si="7"/>
        <v>0.85</v>
      </c>
      <c r="R17" s="71">
        <f>VLOOKUP(Q17,TABLA!$A$5:$D$16,4,1)</f>
        <v>0.8</v>
      </c>
      <c r="S17" s="50">
        <f>IFERROR(VLOOKUP(C17,CALIDAD!$AK$3:$AM$39,3,0),100%)</f>
        <v>1</v>
      </c>
      <c r="T17" s="72">
        <f>VLOOKUP(S17,TABLA!$A$20:$D$29,4,1)</f>
        <v>1.1000000000000001</v>
      </c>
      <c r="U17" s="152">
        <f>VLOOKUP(A17,EQUIPO!$B$6:$E$19,2,0)</f>
        <v>2431.3888888888896</v>
      </c>
      <c r="V17" s="152">
        <f>VLOOKUP(A17,EQUIPO!$B$6:$E$19,3,0)</f>
        <v>2114</v>
      </c>
      <c r="W17" s="155">
        <f t="shared" si="8"/>
        <v>0.87</v>
      </c>
      <c r="X17" s="77">
        <f t="shared" si="0"/>
        <v>132.00000000000003</v>
      </c>
      <c r="Y17" s="53">
        <f>IF(AND(I17&gt;=1,E17="Especialista UAC"),VLOOKUP(W17,TABLA!$A$34:$D$38,4,1),0)/30*F17</f>
        <v>0</v>
      </c>
      <c r="Z17" s="54">
        <f t="shared" si="9"/>
        <v>132.00000000000003</v>
      </c>
      <c r="AA17" s="177"/>
      <c r="AB17" s="27"/>
      <c r="AC17" s="185"/>
      <c r="AD17" s="27"/>
      <c r="AE17" s="194"/>
      <c r="AF17" s="194"/>
    </row>
    <row r="18" spans="1:32" x14ac:dyDescent="0.2">
      <c r="A18" s="43" t="str">
        <f>VLOOKUP(C18,'PRODUCTIVIDAD UAC'!$H$21:$I$78,2,0)</f>
        <v>G9</v>
      </c>
      <c r="B18" s="43" t="str">
        <f>VLOOKUP(A18,'PRODUCTIVIDAD UAC'!$B$3:$C$17,2,0)</f>
        <v xml:space="preserve">MIRELES SOTO CARLOS </v>
      </c>
      <c r="C18" s="161">
        <v>12896544</v>
      </c>
      <c r="D18" s="45" t="str">
        <f>VLOOKUP(C18,Homologacion!$E$1:$F$92,2,0)</f>
        <v>ALVARES ROMERO ANA CRISTINA</v>
      </c>
      <c r="E18" s="26" t="str">
        <f>VLOOKUP(C18,Homologacion!$E$1:$G$92,3,0)</f>
        <v>Apoyo UAC</v>
      </c>
      <c r="F18" s="156">
        <v>30</v>
      </c>
      <c r="G18" s="152">
        <f>VLOOKUP($C18,'PRODUCTIVIDAD UAC'!$K:$O,4,0)</f>
        <v>180</v>
      </c>
      <c r="H18" s="46">
        <f>VLOOKUP($C18,'PRODUCTIVIDAD UAC'!$K:$O,5,0)</f>
        <v>129</v>
      </c>
      <c r="I18" s="47">
        <f t="shared" si="1"/>
        <v>0.71666666666666667</v>
      </c>
      <c r="J18" s="56">
        <f t="shared" si="2"/>
        <v>0.35833333333333334</v>
      </c>
      <c r="K18" s="48">
        <f>IFERROR(VLOOKUP($C18,'SLA UAC'!$G:$I,3,0),0)</f>
        <v>0</v>
      </c>
      <c r="L18" s="46">
        <f>IFERROR(VLOOKUP($C18,'SLA UAC'!$G:$I,2,0),0)</f>
        <v>0</v>
      </c>
      <c r="M18" s="47">
        <f t="shared" si="3"/>
        <v>0</v>
      </c>
      <c r="N18" s="49">
        <f t="shared" si="4"/>
        <v>0</v>
      </c>
      <c r="O18" s="128">
        <f t="shared" si="5"/>
        <v>0.35833333333333334</v>
      </c>
      <c r="P18" s="126">
        <f t="shared" si="6"/>
        <v>0.5</v>
      </c>
      <c r="Q18" s="127">
        <f t="shared" si="7"/>
        <v>0.72</v>
      </c>
      <c r="R18" s="71">
        <f>VLOOKUP(Q18,TABLA!$A$5:$D$16,4,1)</f>
        <v>0.6</v>
      </c>
      <c r="S18" s="50">
        <f>IFERROR(VLOOKUP(C18,CALIDAD!$AK$3:$AM$39,3,0),100%)</f>
        <v>1</v>
      </c>
      <c r="T18" s="72">
        <f>VLOOKUP(S18,TABLA!$A$20:$D$29,4,1)</f>
        <v>1.1000000000000001</v>
      </c>
      <c r="U18" s="152">
        <f>VLOOKUP(A18,EQUIPO!$B$6:$E$19,2,0)</f>
        <v>2431.3888888888896</v>
      </c>
      <c r="V18" s="152">
        <f>VLOOKUP(A18,EQUIPO!$B$6:$E$19,3,0)</f>
        <v>2114</v>
      </c>
      <c r="W18" s="155">
        <f t="shared" si="8"/>
        <v>0.87</v>
      </c>
      <c r="X18" s="77">
        <f t="shared" si="0"/>
        <v>198</v>
      </c>
      <c r="Y18" s="53">
        <f>IF(AND(I18&gt;=1,E18="Especialista UAC"),VLOOKUP(W18,TABLA!$A$34:$D$38,4,1),0)/30*F18</f>
        <v>0</v>
      </c>
      <c r="Z18" s="54">
        <f t="shared" si="9"/>
        <v>198</v>
      </c>
      <c r="AA18" s="177"/>
      <c r="AB18" s="27"/>
      <c r="AC18" s="185"/>
      <c r="AD18" s="27"/>
      <c r="AE18" s="194"/>
      <c r="AF18" s="194"/>
    </row>
    <row r="19" spans="1:32" x14ac:dyDescent="0.2">
      <c r="A19" s="43" t="str">
        <f>VLOOKUP(C19,'PRODUCTIVIDAD UAC'!$H$21:$I$78,2,0)</f>
        <v>G9</v>
      </c>
      <c r="B19" s="43" t="str">
        <f>VLOOKUP(A19,'PRODUCTIVIDAD UAC'!$B$3:$C$17,2,0)</f>
        <v xml:space="preserve">MIRELES SOTO CARLOS </v>
      </c>
      <c r="C19" s="161">
        <v>12896545</v>
      </c>
      <c r="D19" s="45" t="str">
        <f>VLOOKUP(C19,Homologacion!$E$1:$F$92,2,0)</f>
        <v>ALVES SOSA ANDREA NORMA</v>
      </c>
      <c r="E19" s="26" t="str">
        <f>VLOOKUP(C19,Homologacion!$E$1:$G$92,3,0)</f>
        <v>Apoyo UAC</v>
      </c>
      <c r="F19" s="156">
        <v>30</v>
      </c>
      <c r="G19" s="152">
        <f>VLOOKUP($C19,'PRODUCTIVIDAD UAC'!$K:$O,4,0)</f>
        <v>150</v>
      </c>
      <c r="H19" s="46">
        <f>VLOOKUP($C19,'PRODUCTIVIDAD UAC'!$K:$O,5,0)</f>
        <v>116</v>
      </c>
      <c r="I19" s="47">
        <f t="shared" si="1"/>
        <v>0.77333333333333332</v>
      </c>
      <c r="J19" s="56">
        <f t="shared" si="2"/>
        <v>0.38666666666666666</v>
      </c>
      <c r="K19" s="48">
        <f>IFERROR(VLOOKUP($C19,'SLA UAC'!$G:$I,3,0),0)</f>
        <v>216</v>
      </c>
      <c r="L19" s="46">
        <f>IFERROR(VLOOKUP($C19,'SLA UAC'!$G:$I,2,0),0)</f>
        <v>190</v>
      </c>
      <c r="M19" s="47">
        <f t="shared" si="3"/>
        <v>0.87962962962962965</v>
      </c>
      <c r="N19" s="49">
        <f t="shared" si="4"/>
        <v>0.43981481481481483</v>
      </c>
      <c r="O19" s="128">
        <f t="shared" si="5"/>
        <v>0.82648148148148148</v>
      </c>
      <c r="P19" s="126">
        <f t="shared" si="6"/>
        <v>1</v>
      </c>
      <c r="Q19" s="127">
        <f t="shared" si="7"/>
        <v>0.83</v>
      </c>
      <c r="R19" s="71">
        <f>VLOOKUP(Q19,TABLA!$A$5:$D$16,4,1)</f>
        <v>0.7</v>
      </c>
      <c r="S19" s="50">
        <f>IFERROR(VLOOKUP(C19,CALIDAD!$AK$3:$AM$39,3,0),100%)</f>
        <v>1</v>
      </c>
      <c r="T19" s="72">
        <f>VLOOKUP(S19,TABLA!$A$20:$D$29,4,1)</f>
        <v>1.1000000000000001</v>
      </c>
      <c r="U19" s="152">
        <f>VLOOKUP(A19,EQUIPO!$B$6:$E$19,2,0)</f>
        <v>2431.3888888888896</v>
      </c>
      <c r="V19" s="152">
        <f>VLOOKUP(A19,EQUIPO!$B$6:$E$19,3,0)</f>
        <v>2114</v>
      </c>
      <c r="W19" s="155">
        <f t="shared" si="8"/>
        <v>0.87</v>
      </c>
      <c r="X19" s="77">
        <f t="shared" si="0"/>
        <v>231</v>
      </c>
      <c r="Y19" s="53">
        <f>IF(AND(I19&gt;=1,E19="Especialista UAC"),VLOOKUP(W19,TABLA!$A$34:$D$38,4,1),0)/30*F19</f>
        <v>0</v>
      </c>
      <c r="Z19" s="54">
        <f t="shared" si="9"/>
        <v>231</v>
      </c>
      <c r="AA19" s="177"/>
      <c r="AB19" s="27"/>
      <c r="AC19" s="185"/>
      <c r="AD19" s="27"/>
      <c r="AE19" s="194"/>
      <c r="AF19" s="194"/>
    </row>
    <row r="20" spans="1:32" x14ac:dyDescent="0.2">
      <c r="A20" s="43" t="str">
        <f>VLOOKUP(C20,'PRODUCTIVIDAD UAC'!$H$21:$I$78,2,0)</f>
        <v>G9</v>
      </c>
      <c r="B20" s="43" t="str">
        <f>VLOOKUP(A20,'PRODUCTIVIDAD UAC'!$B$3:$C$17,2,0)</f>
        <v xml:space="preserve">MIRELES SOTO CARLOS </v>
      </c>
      <c r="C20" s="161">
        <v>12896546</v>
      </c>
      <c r="D20" s="45" t="str">
        <f>VLOOKUP(C20,Homologacion!$E$1:$F$92,2,0)</f>
        <v>AMADO ÁLVAREZ ANDRÉS ELSA</v>
      </c>
      <c r="E20" s="26" t="str">
        <f>VLOOKUP(C20,Homologacion!$E$1:$G$92,3,0)</f>
        <v>Apoyo UAC</v>
      </c>
      <c r="F20" s="156">
        <v>30</v>
      </c>
      <c r="G20" s="152">
        <f>VLOOKUP($C20,'PRODUCTIVIDAD UAC'!$K:$O,4,0)</f>
        <v>147.77777777777808</v>
      </c>
      <c r="H20" s="46">
        <f>VLOOKUP($C20,'PRODUCTIVIDAD UAC'!$K:$O,5,0)</f>
        <v>114</v>
      </c>
      <c r="I20" s="47">
        <f t="shared" si="1"/>
        <v>0.7714285714285698</v>
      </c>
      <c r="J20" s="56">
        <f t="shared" si="2"/>
        <v>0.3857142857142849</v>
      </c>
      <c r="K20" s="48">
        <f>IFERROR(VLOOKUP($C20,'SLA UAC'!$G:$I,3,0),0)</f>
        <v>0</v>
      </c>
      <c r="L20" s="46">
        <f>IFERROR(VLOOKUP($C20,'SLA UAC'!$G:$I,2,0),0)</f>
        <v>0</v>
      </c>
      <c r="M20" s="47">
        <f t="shared" si="3"/>
        <v>0</v>
      </c>
      <c r="N20" s="49">
        <f t="shared" si="4"/>
        <v>0</v>
      </c>
      <c r="O20" s="128">
        <f t="shared" si="5"/>
        <v>0.3857142857142849</v>
      </c>
      <c r="P20" s="126">
        <f t="shared" si="6"/>
        <v>0.5</v>
      </c>
      <c r="Q20" s="127">
        <f t="shared" si="7"/>
        <v>0.77</v>
      </c>
      <c r="R20" s="71">
        <f>VLOOKUP(Q20,TABLA!$A$5:$D$16,4,1)</f>
        <v>0.6</v>
      </c>
      <c r="S20" s="50">
        <f>IFERROR(VLOOKUP(C20,CALIDAD!$AK$3:$AM$39,3,0),100%)</f>
        <v>1</v>
      </c>
      <c r="T20" s="72">
        <f>VLOOKUP(S20,TABLA!$A$20:$D$29,4,1)</f>
        <v>1.1000000000000001</v>
      </c>
      <c r="U20" s="152">
        <f>VLOOKUP(A20,EQUIPO!$B$6:$E$19,2,0)</f>
        <v>2431.3888888888896</v>
      </c>
      <c r="V20" s="152">
        <f>VLOOKUP(A20,EQUIPO!$B$6:$E$19,3,0)</f>
        <v>2114</v>
      </c>
      <c r="W20" s="155">
        <f t="shared" si="8"/>
        <v>0.87</v>
      </c>
      <c r="X20" s="77">
        <f t="shared" si="0"/>
        <v>198</v>
      </c>
      <c r="Y20" s="53">
        <f>IF(AND(I20&gt;=1,E20="Especialista UAC"),VLOOKUP(W20,TABLA!$A$34:$D$38,4,1),0)/30*F20</f>
        <v>0</v>
      </c>
      <c r="Z20" s="54">
        <f t="shared" si="9"/>
        <v>198</v>
      </c>
      <c r="AA20" s="177"/>
      <c r="AB20" s="27"/>
      <c r="AC20" s="185"/>
      <c r="AD20" s="27"/>
      <c r="AE20" s="194"/>
      <c r="AF20" s="194"/>
    </row>
    <row r="21" spans="1:32" x14ac:dyDescent="0.2">
      <c r="A21" s="43" t="str">
        <f>VLOOKUP(C21,'PRODUCTIVIDAD UAC'!$H$21:$I$78,2,0)</f>
        <v>G9</v>
      </c>
      <c r="B21" s="43" t="str">
        <f>VLOOKUP(A21,'PRODUCTIVIDAD UAC'!$B$3:$C$17,2,0)</f>
        <v xml:space="preserve">MIRELES SOTO CARLOS </v>
      </c>
      <c r="C21" s="161">
        <v>12896547</v>
      </c>
      <c r="D21" s="45" t="str">
        <f>VLOOKUP(C21,Homologacion!$E$1:$F$92,2,0)</f>
        <v>AMARAL TORRES ANGELO KRISTOFER</v>
      </c>
      <c r="E21" s="26" t="str">
        <f>VLOOKUP(C21,Homologacion!$E$1:$G$92,3,0)</f>
        <v>Apoyo UAC</v>
      </c>
      <c r="F21" s="156">
        <v>30</v>
      </c>
      <c r="G21" s="152">
        <f>VLOOKUP($C21,'PRODUCTIVIDAD UAC'!$K:$O,4,0)</f>
        <v>70</v>
      </c>
      <c r="H21" s="46">
        <f>VLOOKUP($C21,'PRODUCTIVIDAD UAC'!$K:$O,5,0)</f>
        <v>98</v>
      </c>
      <c r="I21" s="47">
        <f t="shared" si="1"/>
        <v>1.4</v>
      </c>
      <c r="J21" s="56">
        <f t="shared" si="2"/>
        <v>0.7</v>
      </c>
      <c r="K21" s="48">
        <f>IFERROR(VLOOKUP($C21,'SLA UAC'!$G:$I,3,0),0)</f>
        <v>141</v>
      </c>
      <c r="L21" s="46">
        <f>IFERROR(VLOOKUP($C21,'SLA UAC'!$G:$I,2,0),0)</f>
        <v>134</v>
      </c>
      <c r="M21" s="47">
        <f t="shared" si="3"/>
        <v>0.95035460992907805</v>
      </c>
      <c r="N21" s="49">
        <f t="shared" si="4"/>
        <v>0.47517730496453903</v>
      </c>
      <c r="O21" s="128">
        <f t="shared" si="5"/>
        <v>1.1751773049645391</v>
      </c>
      <c r="P21" s="126">
        <f t="shared" si="6"/>
        <v>1</v>
      </c>
      <c r="Q21" s="127">
        <f t="shared" si="7"/>
        <v>1.18</v>
      </c>
      <c r="R21" s="71">
        <f>VLOOKUP(Q21,TABLA!$A$5:$D$16,4,1)</f>
        <v>1.2</v>
      </c>
      <c r="S21" s="50">
        <f>IFERROR(VLOOKUP(C21,CALIDAD!$AK$3:$AM$39,3,0),100%)</f>
        <v>1</v>
      </c>
      <c r="T21" s="72">
        <f>VLOOKUP(S21,TABLA!$A$20:$D$29,4,1)</f>
        <v>1.1000000000000001</v>
      </c>
      <c r="U21" s="152">
        <f>VLOOKUP(A21,EQUIPO!$B$6:$E$19,2,0)</f>
        <v>2431.3888888888896</v>
      </c>
      <c r="V21" s="152">
        <f>VLOOKUP(A21,EQUIPO!$B$6:$E$19,3,0)</f>
        <v>2114</v>
      </c>
      <c r="W21" s="155">
        <f t="shared" si="8"/>
        <v>0.87</v>
      </c>
      <c r="X21" s="77">
        <f t="shared" si="0"/>
        <v>396</v>
      </c>
      <c r="Y21" s="53">
        <f>IF(AND(I21&gt;=1,E21="Especialista UAC"),VLOOKUP(W21,TABLA!$A$34:$D$38,4,1),0)/30*F21</f>
        <v>0</v>
      </c>
      <c r="Z21" s="54">
        <f t="shared" si="9"/>
        <v>396</v>
      </c>
      <c r="AA21" s="177"/>
      <c r="AB21" s="27"/>
      <c r="AC21" s="185"/>
      <c r="AD21" s="27"/>
      <c r="AE21" s="194"/>
      <c r="AF21" s="194"/>
    </row>
    <row r="22" spans="1:32" x14ac:dyDescent="0.2">
      <c r="A22" s="43" t="str">
        <f>VLOOKUP(C22,'PRODUCTIVIDAD UAC'!$H$21:$I$78,2,0)</f>
        <v>G9</v>
      </c>
      <c r="B22" s="43" t="str">
        <f>VLOOKUP(A22,'PRODUCTIVIDAD UAC'!$B$3:$C$17,2,0)</f>
        <v xml:space="preserve">MIRELES SOTO CARLOS </v>
      </c>
      <c r="C22" s="161">
        <v>12896548</v>
      </c>
      <c r="D22" s="45" t="str">
        <f>VLOOKUP(C22,Homologacion!$E$1:$F$92,2,0)</f>
        <v>ANGOBALDO RAMÍREZ ARIEL JAMES</v>
      </c>
      <c r="E22" s="26" t="str">
        <f>VLOOKUP(C22,Homologacion!$E$1:$G$92,3,0)</f>
        <v>Apoyo UAC</v>
      </c>
      <c r="F22" s="156">
        <v>30</v>
      </c>
      <c r="G22" s="152">
        <f>VLOOKUP($C22,'PRODUCTIVIDAD UAC'!$K:$O,4,0)</f>
        <v>60</v>
      </c>
      <c r="H22" s="46">
        <f>VLOOKUP($C22,'PRODUCTIVIDAD UAC'!$K:$O,5,0)</f>
        <v>77</v>
      </c>
      <c r="I22" s="47">
        <f t="shared" si="1"/>
        <v>1.2833333333333334</v>
      </c>
      <c r="J22" s="56">
        <f t="shared" si="2"/>
        <v>0.64166666666666672</v>
      </c>
      <c r="K22" s="48">
        <f>IFERROR(VLOOKUP($C22,'SLA UAC'!$G:$I,3,0),0)</f>
        <v>36</v>
      </c>
      <c r="L22" s="46">
        <f>IFERROR(VLOOKUP($C22,'SLA UAC'!$G:$I,2,0),0)</f>
        <v>29</v>
      </c>
      <c r="M22" s="47">
        <f t="shared" si="3"/>
        <v>0.80555555555555558</v>
      </c>
      <c r="N22" s="49">
        <f t="shared" si="4"/>
        <v>0.40277777777777779</v>
      </c>
      <c r="O22" s="128">
        <f t="shared" si="5"/>
        <v>1.0444444444444445</v>
      </c>
      <c r="P22" s="126">
        <f t="shared" si="6"/>
        <v>1</v>
      </c>
      <c r="Q22" s="127">
        <f t="shared" si="7"/>
        <v>1.04</v>
      </c>
      <c r="R22" s="71">
        <f>VLOOKUP(Q22,TABLA!$A$5:$D$16,4,1)</f>
        <v>1.05</v>
      </c>
      <c r="S22" s="50">
        <f>IFERROR(VLOOKUP(C22,CALIDAD!$AK$3:$AM$39,3,0),100%)</f>
        <v>1</v>
      </c>
      <c r="T22" s="72">
        <f>VLOOKUP(S22,TABLA!$A$20:$D$29,4,1)</f>
        <v>1.1000000000000001</v>
      </c>
      <c r="U22" s="152">
        <f>VLOOKUP(A22,EQUIPO!$B$6:$E$19,2,0)</f>
        <v>2431.3888888888896</v>
      </c>
      <c r="V22" s="152">
        <f>VLOOKUP(A22,EQUIPO!$B$6:$E$19,3,0)</f>
        <v>2114</v>
      </c>
      <c r="W22" s="155">
        <f t="shared" si="8"/>
        <v>0.87</v>
      </c>
      <c r="X22" s="77">
        <f t="shared" si="0"/>
        <v>346.50000000000006</v>
      </c>
      <c r="Y22" s="53">
        <f>IF(AND(I22&gt;=1,E22="Especialista UAC"),VLOOKUP(W22,TABLA!$A$34:$D$38,4,1),0)/30*F22</f>
        <v>0</v>
      </c>
      <c r="Z22" s="54">
        <f t="shared" si="9"/>
        <v>346.50000000000006</v>
      </c>
      <c r="AA22" s="177"/>
      <c r="AB22" s="27"/>
      <c r="AC22" s="185"/>
      <c r="AD22" s="27"/>
      <c r="AE22" s="194"/>
      <c r="AF22" s="194"/>
    </row>
    <row r="23" spans="1:32" x14ac:dyDescent="0.2">
      <c r="A23" s="43" t="str">
        <f>VLOOKUP(C23,'PRODUCTIVIDAD UAC'!$H$21:$I$78,2,0)</f>
        <v>G9</v>
      </c>
      <c r="B23" s="43" t="str">
        <f>VLOOKUP(A23,'PRODUCTIVIDAD UAC'!$B$3:$C$17,2,0)</f>
        <v xml:space="preserve">MIRELES SOTO CARLOS </v>
      </c>
      <c r="C23" s="161">
        <v>12896549</v>
      </c>
      <c r="D23" s="45" t="str">
        <f>VLOOKUP(C23,Homologacion!$E$1:$F$92,2,0)</f>
        <v>ANTUNES FLORES ARSENIO HINDRA</v>
      </c>
      <c r="E23" s="26" t="str">
        <f>VLOOKUP(C23,Homologacion!$E$1:$G$92,3,0)</f>
        <v>Especialista UAC</v>
      </c>
      <c r="F23" s="156">
        <v>7</v>
      </c>
      <c r="G23" s="152">
        <f>VLOOKUP($C23,'PRODUCTIVIDAD UAC'!$K:$O,4,0)</f>
        <v>100</v>
      </c>
      <c r="H23" s="46">
        <f>VLOOKUP($C23,'PRODUCTIVIDAD UAC'!$K:$O,5,0)</f>
        <v>69</v>
      </c>
      <c r="I23" s="47">
        <f t="shared" si="1"/>
        <v>0.69</v>
      </c>
      <c r="J23" s="56">
        <f t="shared" si="2"/>
        <v>0.34499999999999997</v>
      </c>
      <c r="K23" s="48">
        <f>IFERROR(VLOOKUP($C23,'SLA UAC'!$G:$I,3,0),0)</f>
        <v>114</v>
      </c>
      <c r="L23" s="46">
        <f>IFERROR(VLOOKUP($C23,'SLA UAC'!$G:$I,2,0),0)</f>
        <v>111</v>
      </c>
      <c r="M23" s="47">
        <f t="shared" si="3"/>
        <v>0.97368421052631582</v>
      </c>
      <c r="N23" s="49">
        <f t="shared" si="4"/>
        <v>0.48684210526315791</v>
      </c>
      <c r="O23" s="128">
        <f t="shared" si="5"/>
        <v>0.83184210526315794</v>
      </c>
      <c r="P23" s="126">
        <f t="shared" si="6"/>
        <v>1</v>
      </c>
      <c r="Q23" s="127">
        <f t="shared" si="7"/>
        <v>0.83</v>
      </c>
      <c r="R23" s="71">
        <f>VLOOKUP(Q23,TABLA!$A$5:$D$16,4,1)</f>
        <v>0.7</v>
      </c>
      <c r="S23" s="50">
        <f>IFERROR(VLOOKUP(C23,CALIDAD!$AK$3:$AM$39,3,0),100%)</f>
        <v>1</v>
      </c>
      <c r="T23" s="72">
        <f>VLOOKUP(S23,TABLA!$A$20:$D$29,4,1)</f>
        <v>1.1000000000000001</v>
      </c>
      <c r="U23" s="152">
        <f>VLOOKUP(A23,EQUIPO!$B$6:$E$19,2,0)</f>
        <v>2431.3888888888896</v>
      </c>
      <c r="V23" s="152">
        <f>VLOOKUP(A23,EQUIPO!$B$6:$E$19,3,0)</f>
        <v>2114</v>
      </c>
      <c r="W23" s="155">
        <f t="shared" si="8"/>
        <v>0.87</v>
      </c>
      <c r="X23" s="77">
        <f t="shared" si="0"/>
        <v>134.75</v>
      </c>
      <c r="Y23" s="53">
        <f>IF(AND(I23&gt;=1,E23="Especialista UAC"),VLOOKUP(W23,TABLA!$A$34:$D$38,4,1),0)/30*F23</f>
        <v>0</v>
      </c>
      <c r="Z23" s="54">
        <f t="shared" si="9"/>
        <v>134.75</v>
      </c>
      <c r="AA23" s="177"/>
      <c r="AB23" s="27"/>
      <c r="AC23" s="185"/>
      <c r="AD23" s="27"/>
      <c r="AE23" s="194"/>
      <c r="AF23" s="194"/>
    </row>
    <row r="24" spans="1:32" x14ac:dyDescent="0.2">
      <c r="A24" s="43" t="str">
        <f>VLOOKUP(C24,'PRODUCTIVIDAD UAC'!$H$21:$I$78,2,0)</f>
        <v>G9</v>
      </c>
      <c r="B24" s="43" t="str">
        <f>VLOOKUP(A24,'PRODUCTIVIDAD UAC'!$B$3:$C$17,2,0)</f>
        <v xml:space="preserve">MIRELES SOTO CARLOS </v>
      </c>
      <c r="C24" s="161">
        <v>12896550</v>
      </c>
      <c r="D24" s="45" t="str">
        <f>VLOOKUP(C24,Homologacion!$E$1:$F$92,2,0)</f>
        <v>BAES ACOSTA ARTURO TELLO</v>
      </c>
      <c r="E24" s="26" t="str">
        <f>VLOOKUP(C24,Homologacion!$E$1:$G$92,3,0)</f>
        <v>Especialista UAC</v>
      </c>
      <c r="F24" s="156">
        <v>30</v>
      </c>
      <c r="G24" s="152">
        <f>VLOOKUP($C24,'PRODUCTIVIDAD UAC'!$K:$O,4,0)</f>
        <v>60</v>
      </c>
      <c r="H24" s="46">
        <f>VLOOKUP($C24,'PRODUCTIVIDAD UAC'!$K:$O,5,0)</f>
        <v>60</v>
      </c>
      <c r="I24" s="47">
        <f t="shared" si="1"/>
        <v>1</v>
      </c>
      <c r="J24" s="56">
        <f t="shared" si="2"/>
        <v>0.5</v>
      </c>
      <c r="K24" s="48">
        <f>IFERROR(VLOOKUP($C24,'SLA UAC'!$G:$I,3,0),0)</f>
        <v>128</v>
      </c>
      <c r="L24" s="46">
        <f>IFERROR(VLOOKUP($C24,'SLA UAC'!$G:$I,2,0),0)</f>
        <v>92</v>
      </c>
      <c r="M24" s="47">
        <f t="shared" si="3"/>
        <v>0.71875</v>
      </c>
      <c r="N24" s="49">
        <f t="shared" si="4"/>
        <v>0.359375</v>
      </c>
      <c r="O24" s="128">
        <f t="shared" si="5"/>
        <v>0.859375</v>
      </c>
      <c r="P24" s="126">
        <f t="shared" si="6"/>
        <v>1</v>
      </c>
      <c r="Q24" s="127">
        <f t="shared" si="7"/>
        <v>0.86</v>
      </c>
      <c r="R24" s="71">
        <f>VLOOKUP(Q24,TABLA!$A$5:$D$16,4,1)</f>
        <v>0.8</v>
      </c>
      <c r="S24" s="50">
        <f>IFERROR(VLOOKUP(C24,CALIDAD!$AK$3:$AM$39,3,0),100%)</f>
        <v>1</v>
      </c>
      <c r="T24" s="72">
        <f>VLOOKUP(S24,TABLA!$A$20:$D$29,4,1)</f>
        <v>1.1000000000000001</v>
      </c>
      <c r="U24" s="152">
        <f>VLOOKUP(A24,EQUIPO!$B$6:$E$19,2,0)</f>
        <v>2431.3888888888896</v>
      </c>
      <c r="V24" s="152">
        <f>VLOOKUP(A24,EQUIPO!$B$6:$E$19,3,0)</f>
        <v>2114</v>
      </c>
      <c r="W24" s="155">
        <f t="shared" si="8"/>
        <v>0.87</v>
      </c>
      <c r="X24" s="77">
        <f t="shared" si="0"/>
        <v>660.00000000000011</v>
      </c>
      <c r="Y24" s="53">
        <f>IF(AND(I24&gt;=1,E24="Especialista UAC"),VLOOKUP(W24,TABLA!$A$34:$D$38,4,1),0)/30*F24</f>
        <v>0</v>
      </c>
      <c r="Z24" s="54">
        <f t="shared" si="9"/>
        <v>660.00000000000011</v>
      </c>
      <c r="AA24" s="177"/>
      <c r="AB24" s="27"/>
      <c r="AC24" s="185"/>
      <c r="AD24" s="27"/>
      <c r="AE24" s="194"/>
      <c r="AF24" s="194"/>
    </row>
    <row r="25" spans="1:32" x14ac:dyDescent="0.2">
      <c r="A25" s="43" t="str">
        <f>VLOOKUP(C25,'PRODUCTIVIDAD UAC'!$H$21:$I$78,2,0)</f>
        <v>G9</v>
      </c>
      <c r="B25" s="43" t="str">
        <f>VLOOKUP(A25,'PRODUCTIVIDAD UAC'!$B$3:$C$17,2,0)</f>
        <v xml:space="preserve">MIRELES SOTO CARLOS </v>
      </c>
      <c r="C25" s="161">
        <v>12896551</v>
      </c>
      <c r="D25" s="45" t="str">
        <f>VLOOKUP(C25,Homologacion!$E$1:$F$92,2,0)</f>
        <v>BARBOZA BENÍTEZ BRAULIO FASABI</v>
      </c>
      <c r="E25" s="26" t="str">
        <f>VLOOKUP(C25,Homologacion!$E$1:$G$92,3,0)</f>
        <v>Especialista UAC</v>
      </c>
      <c r="F25" s="156">
        <v>30</v>
      </c>
      <c r="G25" s="152">
        <f>VLOOKUP($C25,'PRODUCTIVIDAD UAC'!$K:$O,4,0)</f>
        <v>0</v>
      </c>
      <c r="H25" s="46">
        <f>VLOOKUP($C25,'PRODUCTIVIDAD UAC'!$K:$O,5,0)</f>
        <v>0</v>
      </c>
      <c r="I25" s="47">
        <f t="shared" si="1"/>
        <v>0</v>
      </c>
      <c r="J25" s="56">
        <f t="shared" si="2"/>
        <v>0</v>
      </c>
      <c r="K25" s="48">
        <f>IFERROR(VLOOKUP($C25,'SLA UAC'!$G:$I,3,0),0)</f>
        <v>69</v>
      </c>
      <c r="L25" s="46">
        <f>IFERROR(VLOOKUP($C25,'SLA UAC'!$G:$I,2,0),0)</f>
        <v>68</v>
      </c>
      <c r="M25" s="47">
        <f t="shared" si="3"/>
        <v>0.98550724637681164</v>
      </c>
      <c r="N25" s="49">
        <f t="shared" si="4"/>
        <v>0.49275362318840582</v>
      </c>
      <c r="O25" s="128">
        <f t="shared" si="5"/>
        <v>0.49275362318840582</v>
      </c>
      <c r="P25" s="126">
        <f t="shared" si="6"/>
        <v>0.5</v>
      </c>
      <c r="Q25" s="127">
        <f t="shared" si="7"/>
        <v>0.99</v>
      </c>
      <c r="R25" s="71">
        <f>VLOOKUP(Q25,TABLA!$A$5:$D$16,4,1)</f>
        <v>1</v>
      </c>
      <c r="S25" s="50">
        <f>IFERROR(VLOOKUP(C25,CALIDAD!$AK$3:$AM$39,3,0),100%)</f>
        <v>1</v>
      </c>
      <c r="T25" s="72">
        <f>VLOOKUP(S25,TABLA!$A$20:$D$29,4,1)</f>
        <v>1.1000000000000001</v>
      </c>
      <c r="U25" s="152">
        <f>VLOOKUP(A25,EQUIPO!$B$6:$E$19,2,0)</f>
        <v>2431.3888888888896</v>
      </c>
      <c r="V25" s="152">
        <f>VLOOKUP(A25,EQUIPO!$B$6:$E$19,3,0)</f>
        <v>2114</v>
      </c>
      <c r="W25" s="155">
        <f t="shared" si="8"/>
        <v>0.87</v>
      </c>
      <c r="X25" s="77">
        <f t="shared" si="0"/>
        <v>825.00000000000011</v>
      </c>
      <c r="Y25" s="53">
        <f>IF(AND(I25&gt;=1,E25="Especialista UAC"),VLOOKUP(W25,TABLA!$A$34:$D$38,4,1),0)/30*F25</f>
        <v>0</v>
      </c>
      <c r="Z25" s="54">
        <f t="shared" si="9"/>
        <v>825.00000000000011</v>
      </c>
      <c r="AA25" s="177"/>
      <c r="AB25" s="27"/>
      <c r="AC25" s="185"/>
      <c r="AD25" s="27"/>
      <c r="AE25" s="194"/>
      <c r="AF25" s="194"/>
    </row>
    <row r="26" spans="1:32" x14ac:dyDescent="0.2">
      <c r="A26" s="43" t="str">
        <f>VLOOKUP(C26,'PRODUCTIVIDAD UAC'!$H$21:$I$78,2,0)</f>
        <v>G9</v>
      </c>
      <c r="B26" s="43" t="str">
        <f>VLOOKUP(A26,'PRODUCTIVIDAD UAC'!$B$3:$C$17,2,0)</f>
        <v xml:space="preserve">MIRELES SOTO CARLOS </v>
      </c>
      <c r="C26" s="161">
        <v>12896552</v>
      </c>
      <c r="D26" s="45" t="str">
        <f>VLOOKUP(C26,Homologacion!$E$1:$F$92,2,0)</f>
        <v>BARDALES MEDINA CARLOS MARIA</v>
      </c>
      <c r="E26" s="26" t="str">
        <f>VLOOKUP(C26,Homologacion!$E$1:$G$92,3,0)</f>
        <v>Especialista UAC</v>
      </c>
      <c r="F26" s="156">
        <v>30</v>
      </c>
      <c r="G26" s="152">
        <f>VLOOKUP($C26,'PRODUCTIVIDAD UAC'!$K:$O,4,0)</f>
        <v>100</v>
      </c>
      <c r="H26" s="46">
        <f>VLOOKUP($C26,'PRODUCTIVIDAD UAC'!$K:$O,5,0)</f>
        <v>38</v>
      </c>
      <c r="I26" s="47">
        <f t="shared" si="1"/>
        <v>0.38</v>
      </c>
      <c r="J26" s="56">
        <f t="shared" si="2"/>
        <v>0.19</v>
      </c>
      <c r="K26" s="48">
        <f>IFERROR(VLOOKUP($C26,'SLA UAC'!$G:$I,3,0),0)</f>
        <v>135</v>
      </c>
      <c r="L26" s="46">
        <f>IFERROR(VLOOKUP($C26,'SLA UAC'!$G:$I,2,0),0)</f>
        <v>105</v>
      </c>
      <c r="M26" s="47">
        <f t="shared" si="3"/>
        <v>0.77777777777777779</v>
      </c>
      <c r="N26" s="49">
        <f t="shared" si="4"/>
        <v>0.3888888888888889</v>
      </c>
      <c r="O26" s="128">
        <f t="shared" si="5"/>
        <v>0.5788888888888889</v>
      </c>
      <c r="P26" s="126">
        <f t="shared" si="6"/>
        <v>1</v>
      </c>
      <c r="Q26" s="127">
        <f t="shared" si="7"/>
        <v>0.57999999999999996</v>
      </c>
      <c r="R26" s="71">
        <f>VLOOKUP(Q26,TABLA!$A$5:$D$16,4,1)</f>
        <v>0</v>
      </c>
      <c r="S26" s="50">
        <f>IFERROR(VLOOKUP(C26,CALIDAD!$AK$3:$AM$39,3,0),100%)</f>
        <v>1</v>
      </c>
      <c r="T26" s="72">
        <f>VLOOKUP(S26,TABLA!$A$20:$D$29,4,1)</f>
        <v>1.1000000000000001</v>
      </c>
      <c r="U26" s="152">
        <f>VLOOKUP(A26,EQUIPO!$B$6:$E$19,2,0)</f>
        <v>2431.3888888888896</v>
      </c>
      <c r="V26" s="152">
        <f>VLOOKUP(A26,EQUIPO!$B$6:$E$19,3,0)</f>
        <v>2114</v>
      </c>
      <c r="W26" s="155">
        <f t="shared" si="8"/>
        <v>0.87</v>
      </c>
      <c r="X26" s="77">
        <f t="shared" si="0"/>
        <v>0</v>
      </c>
      <c r="Y26" s="53">
        <f>IF(AND(I26&gt;=1,E26="Especialista UAC"),VLOOKUP(W26,TABLA!$A$34:$D$38,4,1),0)/30*F26</f>
        <v>0</v>
      </c>
      <c r="Z26" s="54">
        <f t="shared" si="9"/>
        <v>0</v>
      </c>
      <c r="AA26" s="177"/>
      <c r="AB26" s="27"/>
      <c r="AC26" s="185"/>
      <c r="AD26" s="27"/>
      <c r="AE26" s="194"/>
      <c r="AF26" s="194"/>
    </row>
    <row r="27" spans="1:32" x14ac:dyDescent="0.2">
      <c r="A27" s="43" t="str">
        <f>VLOOKUP(C27,'PRODUCTIVIDAD UAC'!$H$21:$I$78,2,0)</f>
        <v>G9</v>
      </c>
      <c r="B27" s="43" t="str">
        <f>VLOOKUP(A27,'PRODUCTIVIDAD UAC'!$B$3:$C$17,2,0)</f>
        <v xml:space="preserve">MIRELES SOTO CARLOS </v>
      </c>
      <c r="C27" s="161">
        <v>12896553</v>
      </c>
      <c r="D27" s="45" t="str">
        <f>VLOOKUP(C27,Homologacion!$E$1:$F$92,2,0)</f>
        <v>BARROSO SUÁREZ CRISTÓBAL NORIS</v>
      </c>
      <c r="E27" s="26" t="str">
        <f>VLOOKUP(C27,Homologacion!$E$1:$G$92,3,0)</f>
        <v>Especialista UAC</v>
      </c>
      <c r="F27" s="156">
        <v>30</v>
      </c>
      <c r="G27" s="152">
        <f>VLOOKUP($C27,'PRODUCTIVIDAD UAC'!$K:$O,4,0)</f>
        <v>0</v>
      </c>
      <c r="H27" s="46">
        <f>VLOOKUP($C27,'PRODUCTIVIDAD UAC'!$K:$O,5,0)</f>
        <v>0</v>
      </c>
      <c r="I27" s="47">
        <f t="shared" si="1"/>
        <v>0</v>
      </c>
      <c r="J27" s="56">
        <f t="shared" si="2"/>
        <v>0</v>
      </c>
      <c r="K27" s="48">
        <f>IFERROR(VLOOKUP($C27,'SLA UAC'!$G:$I,3,0),0)</f>
        <v>138</v>
      </c>
      <c r="L27" s="46">
        <f>IFERROR(VLOOKUP($C27,'SLA UAC'!$G:$I,2,0),0)</f>
        <v>113</v>
      </c>
      <c r="M27" s="47">
        <f t="shared" si="3"/>
        <v>0.8188405797101449</v>
      </c>
      <c r="N27" s="49">
        <f t="shared" si="4"/>
        <v>0.40942028985507245</v>
      </c>
      <c r="O27" s="128">
        <f t="shared" si="5"/>
        <v>0.40942028985507245</v>
      </c>
      <c r="P27" s="126">
        <f t="shared" si="6"/>
        <v>0.5</v>
      </c>
      <c r="Q27" s="127">
        <f t="shared" si="7"/>
        <v>0.82</v>
      </c>
      <c r="R27" s="71">
        <f>VLOOKUP(Q27,TABLA!$A$5:$D$16,4,1)</f>
        <v>0.7</v>
      </c>
      <c r="S27" s="50">
        <f>IFERROR(VLOOKUP(C27,CALIDAD!$AK$3:$AM$39,3,0),100%)</f>
        <v>1</v>
      </c>
      <c r="T27" s="72">
        <f>VLOOKUP(S27,TABLA!$A$20:$D$29,4,1)</f>
        <v>1.1000000000000001</v>
      </c>
      <c r="U27" s="152">
        <f>VLOOKUP(A27,EQUIPO!$B$6:$E$19,2,0)</f>
        <v>2431.3888888888896</v>
      </c>
      <c r="V27" s="152">
        <f>VLOOKUP(A27,EQUIPO!$B$6:$E$19,3,0)</f>
        <v>2114</v>
      </c>
      <c r="W27" s="155">
        <f t="shared" si="8"/>
        <v>0.87</v>
      </c>
      <c r="X27" s="77">
        <f t="shared" si="0"/>
        <v>577.5</v>
      </c>
      <c r="Y27" s="53">
        <f>IF(AND(I27&gt;=1,E27="Especialista UAC"),VLOOKUP(W27,TABLA!$A$34:$D$38,4,1),0)/30*F27</f>
        <v>0</v>
      </c>
      <c r="Z27" s="54">
        <f t="shared" si="9"/>
        <v>577.5</v>
      </c>
      <c r="AA27" s="177"/>
      <c r="AB27" s="27"/>
      <c r="AC27" s="185"/>
      <c r="AD27" s="27"/>
      <c r="AE27" s="194"/>
      <c r="AF27" s="194"/>
    </row>
    <row r="28" spans="1:32" x14ac:dyDescent="0.2">
      <c r="A28" s="43" t="str">
        <f>VLOOKUP(C28,'PRODUCTIVIDAD UAC'!$H$21:$I$78,2,0)</f>
        <v>G1</v>
      </c>
      <c r="B28" s="43" t="str">
        <f>VLOOKUP(A28,'PRODUCTIVIDAD UAC'!$B$3:$C$17,2,0)</f>
        <v xml:space="preserve">MIDEROS OLIVERA ROSA </v>
      </c>
      <c r="C28" s="161">
        <v>12896554</v>
      </c>
      <c r="D28" s="45" t="str">
        <f>VLOOKUP(C28,Homologacion!$E$1:$F$92,2,0)</f>
        <v>BATISTA HERRERA DIEGO LUZ</v>
      </c>
      <c r="E28" s="26" t="str">
        <f>VLOOKUP(C28,Homologacion!$E$1:$G$92,3,0)</f>
        <v>Especialista UAC</v>
      </c>
      <c r="F28" s="156">
        <v>30</v>
      </c>
      <c r="G28" s="152">
        <f>VLOOKUP($C28,'PRODUCTIVIDAD UAC'!$K:$O,4,0)</f>
        <v>558.75</v>
      </c>
      <c r="H28" s="46">
        <f>VLOOKUP($C28,'PRODUCTIVIDAD UAC'!$K:$O,5,0)</f>
        <v>522</v>
      </c>
      <c r="I28" s="47">
        <f t="shared" si="1"/>
        <v>0.93422818791946305</v>
      </c>
      <c r="J28" s="56">
        <f t="shared" si="2"/>
        <v>0.46711409395973152</v>
      </c>
      <c r="K28" s="48">
        <f>IFERROR(VLOOKUP($C28,'SLA UAC'!$G:$I,3,0),0)</f>
        <v>0</v>
      </c>
      <c r="L28" s="46">
        <f>IFERROR(VLOOKUP($C28,'SLA UAC'!$G:$I,2,0),0)</f>
        <v>0</v>
      </c>
      <c r="M28" s="47">
        <f t="shared" si="3"/>
        <v>0</v>
      </c>
      <c r="N28" s="49">
        <f t="shared" si="4"/>
        <v>0</v>
      </c>
      <c r="O28" s="128">
        <f t="shared" si="5"/>
        <v>0.46711409395973152</v>
      </c>
      <c r="P28" s="126">
        <f t="shared" si="6"/>
        <v>0.5</v>
      </c>
      <c r="Q28" s="127">
        <f t="shared" si="7"/>
        <v>0.93</v>
      </c>
      <c r="R28" s="71">
        <f>VLOOKUP(Q28,TABLA!$A$5:$D$16,4,1)</f>
        <v>0.9</v>
      </c>
      <c r="S28" s="50">
        <f>IFERROR(VLOOKUP(C28,CALIDAD!$AK$3:$AM$39,3,0),100%)</f>
        <v>1</v>
      </c>
      <c r="T28" s="72">
        <f>VLOOKUP(S28,TABLA!$A$20:$D$29,4,1)</f>
        <v>1.1000000000000001</v>
      </c>
      <c r="U28" s="152">
        <f>VLOOKUP(A28,EQUIPO!$B$6:$E$19,2,0)</f>
        <v>3097.5</v>
      </c>
      <c r="V28" s="152">
        <f>VLOOKUP(A28,EQUIPO!$B$6:$E$19,3,0)</f>
        <v>2084</v>
      </c>
      <c r="W28" s="155">
        <f t="shared" si="8"/>
        <v>0.67</v>
      </c>
      <c r="X28" s="77">
        <f t="shared" si="0"/>
        <v>742.50000000000011</v>
      </c>
      <c r="Y28" s="53">
        <f>IF(AND(I28&gt;=1,E28="Especialista UAC"),VLOOKUP(W28,TABLA!$A$34:$D$38,4,1),0)/30*F28</f>
        <v>0</v>
      </c>
      <c r="Z28" s="54">
        <f t="shared" si="9"/>
        <v>742.50000000000011</v>
      </c>
      <c r="AA28" s="177"/>
      <c r="AB28" s="27"/>
      <c r="AC28" s="185"/>
      <c r="AD28" s="27"/>
      <c r="AE28" s="194"/>
      <c r="AF28" s="194"/>
    </row>
    <row r="29" spans="1:32" x14ac:dyDescent="0.2">
      <c r="A29" s="43" t="str">
        <f>VLOOKUP(C29,'PRODUCTIVIDAD UAC'!$H$21:$I$78,2,0)</f>
        <v>G1</v>
      </c>
      <c r="B29" s="43" t="str">
        <f>VLOOKUP(A29,'PRODUCTIVIDAD UAC'!$B$3:$C$17,2,0)</f>
        <v xml:space="preserve">MIDEROS OLIVERA ROSA </v>
      </c>
      <c r="C29" s="161">
        <v>12896555</v>
      </c>
      <c r="D29" s="45" t="str">
        <f>VLOOKUP(C29,Homologacion!$E$1:$F$92,2,0)</f>
        <v>BRANCO AGUIRRE EDUARDO KEYKO</v>
      </c>
      <c r="E29" s="26" t="str">
        <f>VLOOKUP(C29,Homologacion!$E$1:$G$92,3,0)</f>
        <v>Apoyo UAC</v>
      </c>
      <c r="F29" s="156">
        <v>30</v>
      </c>
      <c r="G29" s="152">
        <f>VLOOKUP($C29,'PRODUCTIVIDAD UAC'!$K:$O,4,0)</f>
        <v>570</v>
      </c>
      <c r="H29" s="46">
        <f>VLOOKUP($C29,'PRODUCTIVIDAD UAC'!$K:$O,5,0)</f>
        <v>440</v>
      </c>
      <c r="I29" s="47">
        <f t="shared" si="1"/>
        <v>0.77192982456140347</v>
      </c>
      <c r="J29" s="56">
        <f t="shared" si="2"/>
        <v>0.38596491228070173</v>
      </c>
      <c r="K29" s="48">
        <f>IFERROR(VLOOKUP($C29,'SLA UAC'!$G:$I,3,0),0)</f>
        <v>0</v>
      </c>
      <c r="L29" s="46">
        <f>IFERROR(VLOOKUP($C29,'SLA UAC'!$G:$I,2,0),0)</f>
        <v>0</v>
      </c>
      <c r="M29" s="47">
        <f t="shared" si="3"/>
        <v>0</v>
      </c>
      <c r="N29" s="49">
        <f t="shared" si="4"/>
        <v>0</v>
      </c>
      <c r="O29" s="128">
        <f t="shared" si="5"/>
        <v>0.38596491228070173</v>
      </c>
      <c r="P29" s="126">
        <f t="shared" si="6"/>
        <v>0.5</v>
      </c>
      <c r="Q29" s="127">
        <f t="shared" si="7"/>
        <v>0.77</v>
      </c>
      <c r="R29" s="71">
        <f>VLOOKUP(Q29,TABLA!$A$5:$D$16,4,1)</f>
        <v>0.6</v>
      </c>
      <c r="S29" s="50">
        <f>IFERROR(VLOOKUP(C29,CALIDAD!$AK$3:$AM$39,3,0),100%)</f>
        <v>1</v>
      </c>
      <c r="T29" s="72">
        <f>VLOOKUP(S29,TABLA!$A$20:$D$29,4,1)</f>
        <v>1.1000000000000001</v>
      </c>
      <c r="U29" s="152">
        <f>VLOOKUP(A29,EQUIPO!$B$6:$E$19,2,0)</f>
        <v>3097.5</v>
      </c>
      <c r="V29" s="152">
        <f>VLOOKUP(A29,EQUIPO!$B$6:$E$19,3,0)</f>
        <v>2084</v>
      </c>
      <c r="W29" s="155">
        <f t="shared" si="8"/>
        <v>0.67</v>
      </c>
      <c r="X29" s="77">
        <f t="shared" si="0"/>
        <v>198</v>
      </c>
      <c r="Y29" s="53">
        <f>IF(AND(I29&gt;=1,E29="Especialista UAC"),VLOOKUP(W29,TABLA!$A$34:$D$38,4,1),0)/30*F29</f>
        <v>0</v>
      </c>
      <c r="Z29" s="54">
        <f t="shared" si="9"/>
        <v>198</v>
      </c>
      <c r="AA29" s="177"/>
      <c r="AB29" s="27"/>
      <c r="AC29" s="185"/>
      <c r="AD29" s="27"/>
      <c r="AE29" s="194"/>
      <c r="AF29" s="194"/>
    </row>
    <row r="30" spans="1:32" x14ac:dyDescent="0.2">
      <c r="A30" s="43" t="str">
        <f>VLOOKUP(C30,'PRODUCTIVIDAD UAC'!$H$21:$I$78,2,0)</f>
        <v>G1</v>
      </c>
      <c r="B30" s="43" t="str">
        <f>VLOOKUP(A30,'PRODUCTIVIDAD UAC'!$B$3:$C$17,2,0)</f>
        <v xml:space="preserve">MIDEROS OLIVERA ROSA </v>
      </c>
      <c r="C30" s="161">
        <v>12896556</v>
      </c>
      <c r="D30" s="45" t="str">
        <f>VLOOKUP(C30,Homologacion!$E$1:$F$92,2,0)</f>
        <v>CALIENES PEREYRA ESTEBAN MELISSA</v>
      </c>
      <c r="E30" s="26" t="str">
        <f>VLOOKUP(C30,Homologacion!$E$1:$G$92,3,0)</f>
        <v>Especialista UAC</v>
      </c>
      <c r="F30" s="156">
        <v>11</v>
      </c>
      <c r="G30" s="152">
        <f>VLOOKUP($C30,'PRODUCTIVIDAD UAC'!$K:$O,4,0)</f>
        <v>570</v>
      </c>
      <c r="H30" s="46">
        <f>VLOOKUP($C30,'PRODUCTIVIDAD UAC'!$K:$O,5,0)</f>
        <v>401</v>
      </c>
      <c r="I30" s="47">
        <f t="shared" si="1"/>
        <v>0.70350877192982453</v>
      </c>
      <c r="J30" s="56">
        <f t="shared" si="2"/>
        <v>0.35175438596491226</v>
      </c>
      <c r="K30" s="48">
        <f>IFERROR(VLOOKUP($C30,'SLA UAC'!$G:$I,3,0),0)</f>
        <v>0</v>
      </c>
      <c r="L30" s="46">
        <f>IFERROR(VLOOKUP($C30,'SLA UAC'!$G:$I,2,0),0)</f>
        <v>0</v>
      </c>
      <c r="M30" s="47">
        <f t="shared" si="3"/>
        <v>0</v>
      </c>
      <c r="N30" s="49">
        <f t="shared" si="4"/>
        <v>0</v>
      </c>
      <c r="O30" s="128">
        <f t="shared" si="5"/>
        <v>0.35175438596491226</v>
      </c>
      <c r="P30" s="126">
        <f t="shared" si="6"/>
        <v>0.5</v>
      </c>
      <c r="Q30" s="127">
        <f t="shared" si="7"/>
        <v>0.7</v>
      </c>
      <c r="R30" s="71">
        <f>VLOOKUP(Q30,TABLA!$A$5:$D$16,4,1)</f>
        <v>0.6</v>
      </c>
      <c r="S30" s="50">
        <f>IFERROR(VLOOKUP(C30,CALIDAD!$AK$3:$AM$39,3,0),100%)</f>
        <v>1</v>
      </c>
      <c r="T30" s="72">
        <f>VLOOKUP(S30,TABLA!$A$20:$D$29,4,1)</f>
        <v>1.1000000000000001</v>
      </c>
      <c r="U30" s="152">
        <f>VLOOKUP(A30,EQUIPO!$B$6:$E$19,2,0)</f>
        <v>3097.5</v>
      </c>
      <c r="V30" s="152">
        <f>VLOOKUP(A30,EQUIPO!$B$6:$E$19,3,0)</f>
        <v>2084</v>
      </c>
      <c r="W30" s="155">
        <f t="shared" si="8"/>
        <v>0.67</v>
      </c>
      <c r="X30" s="77">
        <f t="shared" si="0"/>
        <v>181.5</v>
      </c>
      <c r="Y30" s="53">
        <f>IF(AND(I30&gt;=1,E30="Especialista UAC"),VLOOKUP(W30,TABLA!$A$34:$D$38,4,1),0)/30*F30</f>
        <v>0</v>
      </c>
      <c r="Z30" s="54">
        <f t="shared" si="9"/>
        <v>181.5</v>
      </c>
      <c r="AA30" s="177"/>
      <c r="AB30" s="27"/>
      <c r="AC30" s="185"/>
      <c r="AD30" s="27"/>
      <c r="AE30" s="194"/>
      <c r="AF30" s="194"/>
    </row>
    <row r="31" spans="1:32" x14ac:dyDescent="0.2">
      <c r="A31" s="43" t="str">
        <f>VLOOKUP(C31,'PRODUCTIVIDAD UAC'!$H$21:$I$78,2,0)</f>
        <v>G1</v>
      </c>
      <c r="B31" s="43" t="str">
        <f>VLOOKUP(A31,'PRODUCTIVIDAD UAC'!$B$3:$C$17,2,0)</f>
        <v xml:space="preserve">MIDEROS OLIVERA ROSA </v>
      </c>
      <c r="C31" s="161">
        <v>12896557</v>
      </c>
      <c r="D31" s="45" t="str">
        <f>VLOOKUP(C31,Homologacion!$E$1:$F$92,2,0)</f>
        <v>CARDOSO GUTIÉRREZ ESTEVAN ALEX</v>
      </c>
      <c r="E31" s="26" t="str">
        <f>VLOOKUP(C31,Homologacion!$E$1:$G$92,3,0)</f>
        <v>Apoyo UAC</v>
      </c>
      <c r="F31" s="156">
        <v>30</v>
      </c>
      <c r="G31" s="152">
        <f>VLOOKUP($C31,'PRODUCTIVIDAD UAC'!$K:$O,4,0)</f>
        <v>570</v>
      </c>
      <c r="H31" s="46">
        <f>VLOOKUP($C31,'PRODUCTIVIDAD UAC'!$K:$O,5,0)</f>
        <v>306</v>
      </c>
      <c r="I31" s="47">
        <f t="shared" si="1"/>
        <v>0.5368421052631579</v>
      </c>
      <c r="J31" s="56">
        <f t="shared" si="2"/>
        <v>0.26842105263157895</v>
      </c>
      <c r="K31" s="48">
        <f>IFERROR(VLOOKUP($C31,'SLA UAC'!$G:$I,3,0),0)</f>
        <v>0</v>
      </c>
      <c r="L31" s="46">
        <f>IFERROR(VLOOKUP($C31,'SLA UAC'!$G:$I,2,0),0)</f>
        <v>0</v>
      </c>
      <c r="M31" s="47">
        <f t="shared" si="3"/>
        <v>0</v>
      </c>
      <c r="N31" s="49">
        <f t="shared" si="4"/>
        <v>0</v>
      </c>
      <c r="O31" s="128">
        <f t="shared" si="5"/>
        <v>0.26842105263157895</v>
      </c>
      <c r="P31" s="126">
        <f t="shared" si="6"/>
        <v>0.5</v>
      </c>
      <c r="Q31" s="127">
        <f t="shared" si="7"/>
        <v>0.54</v>
      </c>
      <c r="R31" s="71">
        <f>VLOOKUP(Q31,TABLA!$A$5:$D$16,4,1)</f>
        <v>0</v>
      </c>
      <c r="S31" s="50">
        <f>IFERROR(VLOOKUP(C31,CALIDAD!$AK$3:$AM$39,3,0),100%)</f>
        <v>1</v>
      </c>
      <c r="T31" s="72">
        <f>VLOOKUP(S31,TABLA!$A$20:$D$29,4,1)</f>
        <v>1.1000000000000001</v>
      </c>
      <c r="U31" s="152">
        <f>VLOOKUP(A31,EQUIPO!$B$6:$E$19,2,0)</f>
        <v>3097.5</v>
      </c>
      <c r="V31" s="152">
        <f>VLOOKUP(A31,EQUIPO!$B$6:$E$19,3,0)</f>
        <v>2084</v>
      </c>
      <c r="W31" s="155">
        <f t="shared" si="8"/>
        <v>0.67</v>
      </c>
      <c r="X31" s="77">
        <f t="shared" si="0"/>
        <v>0</v>
      </c>
      <c r="Y31" s="53">
        <f>IF(AND(I31&gt;=1,E31="Especialista UAC"),VLOOKUP(W31,TABLA!$A$34:$D$38,4,1),0)/30*F31</f>
        <v>0</v>
      </c>
      <c r="Z31" s="54">
        <f t="shared" si="9"/>
        <v>0</v>
      </c>
      <c r="AA31" s="177"/>
      <c r="AB31" s="27"/>
      <c r="AC31" s="185"/>
      <c r="AD31" s="27"/>
      <c r="AE31" s="194"/>
      <c r="AF31" s="194"/>
    </row>
    <row r="32" spans="1:32" x14ac:dyDescent="0.2">
      <c r="A32" s="43" t="str">
        <f>VLOOKUP(C32,'PRODUCTIVIDAD UAC'!$H$21:$I$78,2,0)</f>
        <v>G1</v>
      </c>
      <c r="B32" s="43" t="str">
        <f>VLOOKUP(A32,'PRODUCTIVIDAD UAC'!$B$3:$C$17,2,0)</f>
        <v xml:space="preserve">MIDEROS OLIVERA ROSA </v>
      </c>
      <c r="C32" s="161">
        <v>12896558</v>
      </c>
      <c r="D32" s="45" t="str">
        <f>VLOOKUP(C32,Homologacion!$E$1:$F$92,2,0)</f>
        <v>CASAL GIMÉNEZ FERNANDO MARGOTH</v>
      </c>
      <c r="E32" s="26" t="str">
        <f>VLOOKUP(C32,Homologacion!$E$1:$G$92,3,0)</f>
        <v>Especialista UAC</v>
      </c>
      <c r="F32" s="156">
        <v>30</v>
      </c>
      <c r="G32" s="152">
        <f>VLOOKUP($C32,'PRODUCTIVIDAD UAC'!$K:$O,4,0)</f>
        <v>480</v>
      </c>
      <c r="H32" s="46">
        <f>VLOOKUP($C32,'PRODUCTIVIDAD UAC'!$K:$O,5,0)</f>
        <v>222</v>
      </c>
      <c r="I32" s="47">
        <f t="shared" si="1"/>
        <v>0.46250000000000002</v>
      </c>
      <c r="J32" s="56">
        <f t="shared" si="2"/>
        <v>0.23125000000000001</v>
      </c>
      <c r="K32" s="48">
        <f>IFERROR(VLOOKUP($C32,'SLA UAC'!$G:$I,3,0),0)</f>
        <v>0</v>
      </c>
      <c r="L32" s="46">
        <f>IFERROR(VLOOKUP($C32,'SLA UAC'!$G:$I,2,0),0)</f>
        <v>0</v>
      </c>
      <c r="M32" s="47">
        <f t="shared" si="3"/>
        <v>0</v>
      </c>
      <c r="N32" s="49">
        <f t="shared" si="4"/>
        <v>0</v>
      </c>
      <c r="O32" s="128">
        <f t="shared" si="5"/>
        <v>0.23125000000000001</v>
      </c>
      <c r="P32" s="126">
        <f t="shared" si="6"/>
        <v>0.5</v>
      </c>
      <c r="Q32" s="127">
        <f t="shared" si="7"/>
        <v>0.46</v>
      </c>
      <c r="R32" s="71">
        <f>VLOOKUP(Q32,TABLA!$A$5:$D$16,4,1)</f>
        <v>0</v>
      </c>
      <c r="S32" s="50">
        <f>IFERROR(VLOOKUP(C32,CALIDAD!$AK$3:$AM$39,3,0),100%)</f>
        <v>1</v>
      </c>
      <c r="T32" s="72">
        <f>VLOOKUP(S32,TABLA!$A$20:$D$29,4,1)</f>
        <v>1.1000000000000001</v>
      </c>
      <c r="U32" s="152">
        <f>VLOOKUP(A32,EQUIPO!$B$6:$E$19,2,0)</f>
        <v>3097.5</v>
      </c>
      <c r="V32" s="152">
        <f>VLOOKUP(A32,EQUIPO!$B$6:$E$19,3,0)</f>
        <v>2084</v>
      </c>
      <c r="W32" s="155">
        <f t="shared" si="8"/>
        <v>0.67</v>
      </c>
      <c r="X32" s="77">
        <f t="shared" si="0"/>
        <v>0</v>
      </c>
      <c r="Y32" s="53">
        <f>IF(AND(I32&gt;=1,E32="Especialista UAC"),VLOOKUP(W32,TABLA!$A$34:$D$38,4,1),0)/30*F32</f>
        <v>0</v>
      </c>
      <c r="Z32" s="54">
        <f t="shared" si="9"/>
        <v>0</v>
      </c>
      <c r="AA32" s="177"/>
      <c r="AB32" s="27"/>
      <c r="AC32" s="185"/>
      <c r="AD32" s="27"/>
      <c r="AE32" s="194"/>
      <c r="AF32" s="194"/>
    </row>
    <row r="33" spans="1:32" x14ac:dyDescent="0.2">
      <c r="A33" s="43" t="str">
        <f>VLOOKUP(C33,'PRODUCTIVIDAD UAC'!$H$21:$I$78,2,0)</f>
        <v>G1</v>
      </c>
      <c r="B33" s="43" t="str">
        <f>VLOOKUP(A33,'PRODUCTIVIDAD UAC'!$B$3:$C$17,2,0)</f>
        <v xml:space="preserve">MIDEROS OLIVERA ROSA </v>
      </c>
      <c r="C33" s="161">
        <v>12896559</v>
      </c>
      <c r="D33" s="45" t="str">
        <f>VLOOKUP(C33,Homologacion!$E$1:$F$92,2,0)</f>
        <v>CERNADES MOLINA FORTUNATO AMARELIS</v>
      </c>
      <c r="E33" s="26" t="str">
        <f>VLOOKUP(C33,Homologacion!$E$1:$G$92,3,0)</f>
        <v>Especialista UAC</v>
      </c>
      <c r="F33" s="156">
        <v>30</v>
      </c>
      <c r="G33" s="152">
        <f>VLOOKUP($C33,'PRODUCTIVIDAD UAC'!$K:$O,4,0)</f>
        <v>348.75</v>
      </c>
      <c r="H33" s="46">
        <f>VLOOKUP($C33,'PRODUCTIVIDAD UAC'!$K:$O,5,0)</f>
        <v>193</v>
      </c>
      <c r="I33" s="47">
        <f t="shared" si="1"/>
        <v>0.55340501792114694</v>
      </c>
      <c r="J33" s="56">
        <f t="shared" si="2"/>
        <v>0.27670250896057347</v>
      </c>
      <c r="K33" s="48">
        <f>IFERROR(VLOOKUP($C33,'SLA UAC'!$G:$I,3,0),0)</f>
        <v>0</v>
      </c>
      <c r="L33" s="46">
        <f>IFERROR(VLOOKUP($C33,'SLA UAC'!$G:$I,2,0),0)</f>
        <v>0</v>
      </c>
      <c r="M33" s="47">
        <f t="shared" si="3"/>
        <v>0</v>
      </c>
      <c r="N33" s="49">
        <f t="shared" si="4"/>
        <v>0</v>
      </c>
      <c r="O33" s="128">
        <f t="shared" si="5"/>
        <v>0.27670250896057347</v>
      </c>
      <c r="P33" s="126">
        <f t="shared" si="6"/>
        <v>0.5</v>
      </c>
      <c r="Q33" s="127">
        <f t="shared" si="7"/>
        <v>0.55000000000000004</v>
      </c>
      <c r="R33" s="71">
        <f>VLOOKUP(Q33,TABLA!$A$5:$D$16,4,1)</f>
        <v>0</v>
      </c>
      <c r="S33" s="50">
        <f>IFERROR(VLOOKUP(C33,CALIDAD!$AK$3:$AM$39,3,0),100%)</f>
        <v>1</v>
      </c>
      <c r="T33" s="72">
        <f>VLOOKUP(S33,TABLA!$A$20:$D$29,4,1)</f>
        <v>1.1000000000000001</v>
      </c>
      <c r="U33" s="152">
        <f>VLOOKUP(A33,EQUIPO!$B$6:$E$19,2,0)</f>
        <v>3097.5</v>
      </c>
      <c r="V33" s="152">
        <f>VLOOKUP(A33,EQUIPO!$B$6:$E$19,3,0)</f>
        <v>2084</v>
      </c>
      <c r="W33" s="155">
        <f t="shared" si="8"/>
        <v>0.67</v>
      </c>
      <c r="X33" s="77">
        <f t="shared" si="0"/>
        <v>0</v>
      </c>
      <c r="Y33" s="53">
        <f>IF(AND(I33&gt;=1,E33="Especialista UAC"),VLOOKUP(W33,TABLA!$A$34:$D$38,4,1),0)/30*F33</f>
        <v>0</v>
      </c>
      <c r="Z33" s="54">
        <f t="shared" si="9"/>
        <v>0</v>
      </c>
      <c r="AA33" s="177"/>
      <c r="AB33" s="27"/>
      <c r="AC33" s="185"/>
      <c r="AD33" s="27"/>
      <c r="AE33" s="194"/>
      <c r="AF33" s="194"/>
    </row>
    <row r="34" spans="1:32" x14ac:dyDescent="0.2">
      <c r="A34" s="43" t="str">
        <f>VLOOKUP(C34,'PRODUCTIVIDAD UAC'!$H$21:$I$78,2,0)</f>
        <v>G2</v>
      </c>
      <c r="B34" s="43" t="str">
        <f>VLOOKUP(A34,'PRODUCTIVIDAD UAC'!$B$3:$C$17,2,0)</f>
        <v xml:space="preserve">MIDEROS OLIVERA ROSA </v>
      </c>
      <c r="C34" s="161">
        <v>12896560</v>
      </c>
      <c r="D34" s="45" t="str">
        <f>VLOOKUP(C34,Homologacion!$E$1:$F$92,2,0)</f>
        <v>CLIMACO SILVA GERARDO PIERO</v>
      </c>
      <c r="E34" s="26" t="str">
        <f>VLOOKUP(C34,Homologacion!$E$1:$G$92,3,0)</f>
        <v>Especialista UAC</v>
      </c>
      <c r="F34" s="156">
        <v>15</v>
      </c>
      <c r="G34" s="152">
        <f>VLOOKUP($C34,'PRODUCTIVIDAD UAC'!$K:$O,4,0)</f>
        <v>495</v>
      </c>
      <c r="H34" s="46">
        <f>VLOOKUP($C34,'PRODUCTIVIDAD UAC'!$K:$O,5,0)</f>
        <v>526</v>
      </c>
      <c r="I34" s="47">
        <f t="shared" si="1"/>
        <v>1.0626262626262626</v>
      </c>
      <c r="J34" s="56">
        <f t="shared" si="2"/>
        <v>0.53131313131313129</v>
      </c>
      <c r="K34" s="48">
        <f>IFERROR(VLOOKUP($C34,'SLA UAC'!$G:$I,3,0),0)</f>
        <v>0</v>
      </c>
      <c r="L34" s="46">
        <f>IFERROR(VLOOKUP($C34,'SLA UAC'!$G:$I,2,0),0)</f>
        <v>0</v>
      </c>
      <c r="M34" s="47">
        <f t="shared" si="3"/>
        <v>0</v>
      </c>
      <c r="N34" s="49">
        <f t="shared" si="4"/>
        <v>0</v>
      </c>
      <c r="O34" s="128">
        <f t="shared" si="5"/>
        <v>0.53131313131313129</v>
      </c>
      <c r="P34" s="126">
        <f t="shared" si="6"/>
        <v>0.5</v>
      </c>
      <c r="Q34" s="127">
        <f t="shared" si="7"/>
        <v>1.06</v>
      </c>
      <c r="R34" s="71">
        <f>VLOOKUP(Q34,TABLA!$A$5:$D$16,4,1)</f>
        <v>1.1000000000000001</v>
      </c>
      <c r="S34" s="50">
        <f>IFERROR(VLOOKUP(C34,CALIDAD!$AK$3:$AM$39,3,0),100%)</f>
        <v>1</v>
      </c>
      <c r="T34" s="72">
        <f>VLOOKUP(S34,TABLA!$A$20:$D$29,4,1)</f>
        <v>1.1000000000000001</v>
      </c>
      <c r="U34" s="152">
        <f>VLOOKUP(A34,EQUIPO!$B$6:$E$19,2,0)</f>
        <v>1005</v>
      </c>
      <c r="V34" s="152">
        <f>VLOOKUP(A34,EQUIPO!$B$6:$E$19,3,0)</f>
        <v>879</v>
      </c>
      <c r="W34" s="155">
        <f t="shared" si="8"/>
        <v>0.87</v>
      </c>
      <c r="X34" s="77">
        <f t="shared" si="0"/>
        <v>453.75000000000006</v>
      </c>
      <c r="Y34" s="53">
        <f>IF(AND(I34&gt;=1,E34="Especialista UAC"),VLOOKUP(W34,TABLA!$A$34:$D$38,4,1),0)/30*F34</f>
        <v>0</v>
      </c>
      <c r="Z34" s="54">
        <f t="shared" si="9"/>
        <v>453.75000000000006</v>
      </c>
      <c r="AA34" s="177"/>
      <c r="AB34" s="27"/>
      <c r="AC34" s="185"/>
      <c r="AD34" s="27"/>
      <c r="AE34" s="194"/>
      <c r="AF34" s="194"/>
    </row>
    <row r="35" spans="1:32" x14ac:dyDescent="0.2">
      <c r="A35" s="43" t="str">
        <f>VLOOKUP(C35,'PRODUCTIVIDAD UAC'!$H$21:$I$78,2,0)</f>
        <v>G2</v>
      </c>
      <c r="B35" s="43" t="str">
        <f>VLOOKUP(A35,'PRODUCTIVIDAD UAC'!$B$3:$C$17,2,0)</f>
        <v xml:space="preserve">MIDEROS OLIVERA ROSA </v>
      </c>
      <c r="C35" s="161">
        <v>12896561</v>
      </c>
      <c r="D35" s="45" t="str">
        <f>VLOOKUP(C35,Homologacion!$E$1:$F$92,2,0)</f>
        <v>COELHO CASTRO HECTOR DIANA</v>
      </c>
      <c r="E35" s="26" t="str">
        <f>VLOOKUP(C35,Homologacion!$E$1:$G$92,3,0)</f>
        <v>Especialista UAC</v>
      </c>
      <c r="F35" s="156">
        <v>30</v>
      </c>
      <c r="G35" s="152">
        <f>VLOOKUP($C35,'PRODUCTIVIDAD UAC'!$K:$O,4,0)</f>
        <v>510</v>
      </c>
      <c r="H35" s="46">
        <f>VLOOKUP($C35,'PRODUCTIVIDAD UAC'!$K:$O,5,0)</f>
        <v>353</v>
      </c>
      <c r="I35" s="47">
        <f t="shared" si="1"/>
        <v>0.69215686274509802</v>
      </c>
      <c r="J35" s="56">
        <f t="shared" si="2"/>
        <v>0.34607843137254901</v>
      </c>
      <c r="K35" s="48">
        <f>IFERROR(VLOOKUP($C35,'SLA UAC'!$G:$I,3,0),0)</f>
        <v>0</v>
      </c>
      <c r="L35" s="46">
        <f>IFERROR(VLOOKUP($C35,'SLA UAC'!$G:$I,2,0),0)</f>
        <v>0</v>
      </c>
      <c r="M35" s="47">
        <f t="shared" si="3"/>
        <v>0</v>
      </c>
      <c r="N35" s="49">
        <f t="shared" si="4"/>
        <v>0</v>
      </c>
      <c r="O35" s="128">
        <f t="shared" si="5"/>
        <v>0.34607843137254901</v>
      </c>
      <c r="P35" s="126">
        <f t="shared" si="6"/>
        <v>0.5</v>
      </c>
      <c r="Q35" s="127">
        <f t="shared" si="7"/>
        <v>0.69</v>
      </c>
      <c r="R35" s="71">
        <f>VLOOKUP(Q35,TABLA!$A$5:$D$16,4,1)</f>
        <v>0.6</v>
      </c>
      <c r="S35" s="50">
        <f>IFERROR(VLOOKUP(C35,CALIDAD!$AK$3:$AM$39,3,0),100%)</f>
        <v>1</v>
      </c>
      <c r="T35" s="72">
        <f>VLOOKUP(S35,TABLA!$A$20:$D$29,4,1)</f>
        <v>1.1000000000000001</v>
      </c>
      <c r="U35" s="152">
        <f>VLOOKUP(A35,EQUIPO!$B$6:$E$19,2,0)</f>
        <v>1005</v>
      </c>
      <c r="V35" s="152">
        <f>VLOOKUP(A35,EQUIPO!$B$6:$E$19,3,0)</f>
        <v>879</v>
      </c>
      <c r="W35" s="155">
        <f t="shared" si="8"/>
        <v>0.87</v>
      </c>
      <c r="X35" s="77">
        <f t="shared" si="0"/>
        <v>495</v>
      </c>
      <c r="Y35" s="53">
        <f>IF(AND(I35&gt;=1,E35="Especialista UAC"),VLOOKUP(W35,TABLA!$A$34:$D$38,4,1),0)/30*F35</f>
        <v>0</v>
      </c>
      <c r="Z35" s="54">
        <f t="shared" si="9"/>
        <v>495</v>
      </c>
      <c r="AA35" s="177"/>
      <c r="AB35" s="27"/>
      <c r="AC35" s="185"/>
      <c r="AD35" s="27"/>
      <c r="AE35" s="194"/>
      <c r="AF35" s="194"/>
    </row>
    <row r="36" spans="1:32" x14ac:dyDescent="0.2">
      <c r="A36" s="43" t="str">
        <f>VLOOKUP(C36,'PRODUCTIVIDAD UAC'!$H$21:$I$78,2,0)</f>
        <v>G7</v>
      </c>
      <c r="B36" s="43" t="str">
        <f>VLOOKUP(A36,'PRODUCTIVIDAD UAC'!$B$3:$C$17,2,0)</f>
        <v xml:space="preserve">MIDEROS OLIVERA ROSA </v>
      </c>
      <c r="C36" s="161">
        <v>12896562</v>
      </c>
      <c r="D36" s="45" t="str">
        <f>VLOOKUP(C36,Homologacion!$E$1:$F$92,2,0)</f>
        <v>COIMBRA ROJAS HUENU LILIAN</v>
      </c>
      <c r="E36" s="26" t="str">
        <f>VLOOKUP(C36,Homologacion!$E$1:$G$92,3,0)</f>
        <v>Especialista UAC</v>
      </c>
      <c r="F36" s="156">
        <v>30</v>
      </c>
      <c r="G36" s="152">
        <f>VLOOKUP($C36,'PRODUCTIVIDAD UAC'!$K:$O,4,0)</f>
        <v>152</v>
      </c>
      <c r="H36" s="46">
        <f>VLOOKUP($C36,'PRODUCTIVIDAD UAC'!$K:$O,5,0)</f>
        <v>168</v>
      </c>
      <c r="I36" s="47">
        <f t="shared" si="1"/>
        <v>1.1052631578947369</v>
      </c>
      <c r="J36" s="56">
        <f t="shared" si="2"/>
        <v>0.55263157894736847</v>
      </c>
      <c r="K36" s="48">
        <f>IFERROR(VLOOKUP($C36,'SLA UAC'!$G:$I,3,0),0)</f>
        <v>0</v>
      </c>
      <c r="L36" s="46">
        <f>IFERROR(VLOOKUP($C36,'SLA UAC'!$G:$I,2,0),0)</f>
        <v>0</v>
      </c>
      <c r="M36" s="47">
        <f t="shared" si="3"/>
        <v>0</v>
      </c>
      <c r="N36" s="49">
        <f t="shared" si="4"/>
        <v>0</v>
      </c>
      <c r="O36" s="128">
        <f t="shared" si="5"/>
        <v>0.55263157894736847</v>
      </c>
      <c r="P36" s="126">
        <f t="shared" si="6"/>
        <v>0.5</v>
      </c>
      <c r="Q36" s="127">
        <f t="shared" si="7"/>
        <v>1.1100000000000001</v>
      </c>
      <c r="R36" s="71">
        <f>VLOOKUP(Q36,TABLA!$A$5:$D$16,4,1)</f>
        <v>1.1499999999999999</v>
      </c>
      <c r="S36" s="50">
        <f>IFERROR(VLOOKUP(C36,CALIDAD!$AK$3:$AM$39,3,0),100%)</f>
        <v>1</v>
      </c>
      <c r="T36" s="72">
        <f>VLOOKUP(S36,TABLA!$A$20:$D$29,4,1)</f>
        <v>1.1000000000000001</v>
      </c>
      <c r="U36" s="152">
        <f>VLOOKUP(A36,EQUIPO!$B$6:$E$19,2,0)</f>
        <v>520</v>
      </c>
      <c r="V36" s="152">
        <f>VLOOKUP(A36,EQUIPO!$B$6:$E$19,3,0)</f>
        <v>520</v>
      </c>
      <c r="W36" s="155">
        <f t="shared" si="8"/>
        <v>1</v>
      </c>
      <c r="X36" s="77">
        <f t="shared" si="0"/>
        <v>948.74999999999989</v>
      </c>
      <c r="Y36" s="53">
        <f>IF(AND(I36&gt;=1,E36="Especialista UAC"),VLOOKUP(W36,TABLA!$A$34:$D$38,4,1),0)/30*F36</f>
        <v>50</v>
      </c>
      <c r="Z36" s="54">
        <f t="shared" si="9"/>
        <v>998.74999999999989</v>
      </c>
      <c r="AA36" s="177"/>
      <c r="AB36" s="27"/>
      <c r="AC36" s="185"/>
      <c r="AD36" s="27"/>
      <c r="AE36" s="194"/>
      <c r="AF36" s="194"/>
    </row>
    <row r="37" spans="1:32" x14ac:dyDescent="0.2">
      <c r="A37" s="43" t="str">
        <f>VLOOKUP(C37,'PRODUCTIVIDAD UAC'!$H$21:$I$78,2,0)</f>
        <v>G7</v>
      </c>
      <c r="B37" s="43" t="str">
        <f>VLOOKUP(A37,'PRODUCTIVIDAD UAC'!$B$3:$C$17,2,0)</f>
        <v xml:space="preserve">MIDEROS OLIVERA ROSA </v>
      </c>
      <c r="C37" s="161">
        <v>12896563</v>
      </c>
      <c r="D37" s="45" t="str">
        <f>VLOOKUP(C37,Homologacion!$E$1:$F$92,2,0)</f>
        <v>COSINGA ORTÍZ HUGO DE</v>
      </c>
      <c r="E37" s="26" t="str">
        <f>VLOOKUP(C37,Homologacion!$E$1:$G$92,3,0)</f>
        <v>Apoyo UAC</v>
      </c>
      <c r="F37" s="156">
        <v>30</v>
      </c>
      <c r="G37" s="152">
        <f>VLOOKUP($C37,'PRODUCTIVIDAD UAC'!$K:$O,4,0)</f>
        <v>152</v>
      </c>
      <c r="H37" s="46">
        <f>VLOOKUP($C37,'PRODUCTIVIDAD UAC'!$K:$O,5,0)</f>
        <v>156</v>
      </c>
      <c r="I37" s="47">
        <f t="shared" si="1"/>
        <v>1.0263157894736843</v>
      </c>
      <c r="J37" s="56">
        <f t="shared" si="2"/>
        <v>0.51315789473684215</v>
      </c>
      <c r="K37" s="48">
        <f>IFERROR(VLOOKUP($C37,'SLA UAC'!$G:$I,3,0),0)</f>
        <v>0</v>
      </c>
      <c r="L37" s="46">
        <f>IFERROR(VLOOKUP($C37,'SLA UAC'!$G:$I,2,0),0)</f>
        <v>0</v>
      </c>
      <c r="M37" s="47">
        <f t="shared" si="3"/>
        <v>0</v>
      </c>
      <c r="N37" s="49">
        <f t="shared" si="4"/>
        <v>0</v>
      </c>
      <c r="O37" s="128">
        <f t="shared" si="5"/>
        <v>0.51315789473684215</v>
      </c>
      <c r="P37" s="126">
        <f t="shared" si="6"/>
        <v>0.5</v>
      </c>
      <c r="Q37" s="127">
        <f t="shared" si="7"/>
        <v>1.03</v>
      </c>
      <c r="R37" s="71">
        <f>VLOOKUP(Q37,TABLA!$A$5:$D$16,4,1)</f>
        <v>1.05</v>
      </c>
      <c r="S37" s="50">
        <f>IFERROR(VLOOKUP(C37,CALIDAD!$AK$3:$AM$39,3,0),100%)</f>
        <v>1</v>
      </c>
      <c r="T37" s="72">
        <f>VLOOKUP(S37,TABLA!$A$20:$D$29,4,1)</f>
        <v>1.1000000000000001</v>
      </c>
      <c r="U37" s="152">
        <f>VLOOKUP(A37,EQUIPO!$B$6:$E$19,2,0)</f>
        <v>520</v>
      </c>
      <c r="V37" s="152">
        <f>VLOOKUP(A37,EQUIPO!$B$6:$E$19,3,0)</f>
        <v>520</v>
      </c>
      <c r="W37" s="155">
        <f t="shared" si="8"/>
        <v>1</v>
      </c>
      <c r="X37" s="77">
        <f t="shared" si="0"/>
        <v>346.50000000000006</v>
      </c>
      <c r="Y37" s="53">
        <f>IF(AND(I37&gt;=1,E37="Especialista UAC"),VLOOKUP(W37,TABLA!$A$34:$D$38,4,1),0)/30*F37</f>
        <v>0</v>
      </c>
      <c r="Z37" s="54">
        <f t="shared" si="9"/>
        <v>346.50000000000006</v>
      </c>
      <c r="AA37" s="177"/>
      <c r="AB37" s="27"/>
      <c r="AC37" s="185"/>
      <c r="AD37" s="27"/>
      <c r="AE37" s="194"/>
      <c r="AF37" s="194"/>
    </row>
    <row r="38" spans="1:32" x14ac:dyDescent="0.2">
      <c r="A38" s="43" t="str">
        <f>VLOOKUP(C38,'PRODUCTIVIDAD UAC'!$H$21:$I$78,2,0)</f>
        <v>G7</v>
      </c>
      <c r="B38" s="43" t="str">
        <f>VLOOKUP(A38,'PRODUCTIVIDAD UAC'!$B$3:$C$17,2,0)</f>
        <v xml:space="preserve">MIDEROS OLIVERA ROSA </v>
      </c>
      <c r="C38" s="161">
        <v>12896564</v>
      </c>
      <c r="D38" s="45" t="str">
        <f>VLOOKUP(C38,Homologacion!$E$1:$F$92,2,0)</f>
        <v>COSTA NÚÑEZ IGNACIO PAULA</v>
      </c>
      <c r="E38" s="26" t="str">
        <f>VLOOKUP(C38,Homologacion!$E$1:$G$92,3,0)</f>
        <v>Apoyo UAC</v>
      </c>
      <c r="F38" s="156">
        <v>15</v>
      </c>
      <c r="G38" s="152">
        <f>VLOOKUP($C38,'PRODUCTIVIDAD UAC'!$K:$O,4,0)</f>
        <v>152</v>
      </c>
      <c r="H38" s="46">
        <f>VLOOKUP($C38,'PRODUCTIVIDAD UAC'!$K:$O,5,0)</f>
        <v>154</v>
      </c>
      <c r="I38" s="47">
        <f t="shared" si="1"/>
        <v>1.013157894736842</v>
      </c>
      <c r="J38" s="56">
        <f t="shared" si="2"/>
        <v>0.50657894736842102</v>
      </c>
      <c r="K38" s="48">
        <f>IFERROR(VLOOKUP($C38,'SLA UAC'!$G:$I,3,0),0)</f>
        <v>0</v>
      </c>
      <c r="L38" s="46">
        <f>IFERROR(VLOOKUP($C38,'SLA UAC'!$G:$I,2,0),0)</f>
        <v>0</v>
      </c>
      <c r="M38" s="47">
        <f t="shared" si="3"/>
        <v>0</v>
      </c>
      <c r="N38" s="49">
        <f t="shared" si="4"/>
        <v>0</v>
      </c>
      <c r="O38" s="128">
        <f t="shared" si="5"/>
        <v>0.50657894736842102</v>
      </c>
      <c r="P38" s="126">
        <f t="shared" si="6"/>
        <v>0.5</v>
      </c>
      <c r="Q38" s="127">
        <f t="shared" si="7"/>
        <v>1.01</v>
      </c>
      <c r="R38" s="71">
        <f>VLOOKUP(Q38,TABLA!$A$5:$D$16,4,1)</f>
        <v>1.05</v>
      </c>
      <c r="S38" s="50">
        <f>IFERROR(VLOOKUP(C38,CALIDAD!$AK$3:$AM$39,3,0),100%)</f>
        <v>1</v>
      </c>
      <c r="T38" s="72">
        <f>VLOOKUP(S38,TABLA!$A$20:$D$29,4,1)</f>
        <v>1.1000000000000001</v>
      </c>
      <c r="U38" s="152">
        <f>VLOOKUP(A38,EQUIPO!$B$6:$E$19,2,0)</f>
        <v>520</v>
      </c>
      <c r="V38" s="152">
        <f>VLOOKUP(A38,EQUIPO!$B$6:$E$19,3,0)</f>
        <v>520</v>
      </c>
      <c r="W38" s="155">
        <f t="shared" si="8"/>
        <v>1</v>
      </c>
      <c r="X38" s="77">
        <f t="shared" si="0"/>
        <v>173.25000000000003</v>
      </c>
      <c r="Y38" s="53">
        <f>IF(AND(I38&gt;=1,E38="Especialista UAC"),VLOOKUP(W38,TABLA!$A$34:$D$38,4,1),0)/30*F38</f>
        <v>0</v>
      </c>
      <c r="Z38" s="54">
        <f t="shared" si="9"/>
        <v>173.25000000000003</v>
      </c>
      <c r="AA38" s="177"/>
      <c r="AB38" s="27"/>
      <c r="AC38" s="185"/>
      <c r="AD38" s="27"/>
      <c r="AE38" s="194"/>
      <c r="AF38" s="194"/>
    </row>
    <row r="39" spans="1:32" x14ac:dyDescent="0.2">
      <c r="A39" s="43" t="str">
        <f>VLOOKUP(C39,'PRODUCTIVIDAD UAC'!$H$21:$I$78,2,0)</f>
        <v>G7</v>
      </c>
      <c r="B39" s="43" t="str">
        <f>VLOOKUP(A39,'PRODUCTIVIDAD UAC'!$B$3:$C$17,2,0)</f>
        <v xml:space="preserve">MIDEROS OLIVERA ROSA </v>
      </c>
      <c r="C39" s="161">
        <v>12896565</v>
      </c>
      <c r="D39" s="45" t="str">
        <f>VLOOKUP(C39,Homologacion!$E$1:$F$92,2,0)</f>
        <v>GONZÁLEZ  LUNA JAVIER CARMEN</v>
      </c>
      <c r="E39" s="26" t="str">
        <f>VLOOKUP(C39,Homologacion!$E$1:$G$92,3,0)</f>
        <v>Especialista UAC</v>
      </c>
      <c r="F39" s="156">
        <v>30</v>
      </c>
      <c r="G39" s="152">
        <f>VLOOKUP($C39,'PRODUCTIVIDAD UAC'!$K:$O,4,0)</f>
        <v>64</v>
      </c>
      <c r="H39" s="46">
        <f>VLOOKUP($C39,'PRODUCTIVIDAD UAC'!$K:$O,5,0)</f>
        <v>42</v>
      </c>
      <c r="I39" s="47">
        <f t="shared" si="1"/>
        <v>0.65625</v>
      </c>
      <c r="J39" s="56">
        <f t="shared" si="2"/>
        <v>0.328125</v>
      </c>
      <c r="K39" s="48">
        <f>IFERROR(VLOOKUP($C39,'SLA UAC'!$G:$I,3,0),0)</f>
        <v>0</v>
      </c>
      <c r="L39" s="46">
        <f>IFERROR(VLOOKUP($C39,'SLA UAC'!$G:$I,2,0),0)</f>
        <v>0</v>
      </c>
      <c r="M39" s="47">
        <f t="shared" si="3"/>
        <v>0</v>
      </c>
      <c r="N39" s="49">
        <f t="shared" si="4"/>
        <v>0</v>
      </c>
      <c r="O39" s="128">
        <f t="shared" si="5"/>
        <v>0.328125</v>
      </c>
      <c r="P39" s="126">
        <f t="shared" si="6"/>
        <v>0.5</v>
      </c>
      <c r="Q39" s="127">
        <f t="shared" si="7"/>
        <v>0.66</v>
      </c>
      <c r="R39" s="71">
        <f>VLOOKUP(Q39,TABLA!$A$5:$D$16,4,1)</f>
        <v>0.6</v>
      </c>
      <c r="S39" s="50">
        <f>IFERROR(VLOOKUP(C39,CALIDAD!$AK$3:$AM$39,3,0),100%)</f>
        <v>1</v>
      </c>
      <c r="T39" s="72">
        <f>VLOOKUP(S39,TABLA!$A$20:$D$29,4,1)</f>
        <v>1.1000000000000001</v>
      </c>
      <c r="U39" s="152">
        <f>VLOOKUP(A39,EQUIPO!$B$6:$E$19,2,0)</f>
        <v>520</v>
      </c>
      <c r="V39" s="152">
        <f>VLOOKUP(A39,EQUIPO!$B$6:$E$19,3,0)</f>
        <v>520</v>
      </c>
      <c r="W39" s="155">
        <f t="shared" si="8"/>
        <v>1</v>
      </c>
      <c r="X39" s="77">
        <f t="shared" si="0"/>
        <v>495</v>
      </c>
      <c r="Y39" s="53">
        <f>IF(AND(I39&gt;=1,E39="Especialista UAC"),VLOOKUP(W39,TABLA!$A$34:$D$38,4,1),0)/30*F39</f>
        <v>0</v>
      </c>
      <c r="Z39" s="54">
        <f t="shared" si="9"/>
        <v>495</v>
      </c>
      <c r="AA39" s="177"/>
      <c r="AB39" s="27"/>
      <c r="AC39" s="185"/>
      <c r="AD39" s="27"/>
      <c r="AE39" s="194"/>
      <c r="AF39" s="194"/>
    </row>
    <row r="40" spans="1:32" x14ac:dyDescent="0.2">
      <c r="A40" s="43" t="str">
        <f>VLOOKUP(C40,'PRODUCTIVIDAD UAC'!$H$21:$I$78,2,0)</f>
        <v>Impugnaciones</v>
      </c>
      <c r="B40" s="43" t="str">
        <f>VLOOKUP(A40,'PRODUCTIVIDAD UAC'!$B$3:$C$17,2,0)</f>
        <v xml:space="preserve">MIDEROS OLIVERA ROSA </v>
      </c>
      <c r="C40" s="161">
        <v>12896566</v>
      </c>
      <c r="D40" s="45" t="str">
        <f>VLOOKUP(C40,Homologacion!$E$1:$F$92,2,0)</f>
        <v>RODRÍGUEZ JUÁREZ JOAQUIN JANNINA</v>
      </c>
      <c r="E40" s="26" t="str">
        <f>VLOOKUP(C40,Homologacion!$E$1:$G$92,3,0)</f>
        <v>Apoyo UAC</v>
      </c>
      <c r="F40" s="156">
        <v>15</v>
      </c>
      <c r="G40" s="152">
        <f>VLOOKUP($C40,'PRODUCTIVIDAD UAC'!$K:$O,4,0)</f>
        <v>152</v>
      </c>
      <c r="H40" s="46">
        <f>VLOOKUP($C40,'PRODUCTIVIDAD UAC'!$K:$O,5,0)</f>
        <v>124</v>
      </c>
      <c r="I40" s="47">
        <f t="shared" si="1"/>
        <v>0.81578947368421051</v>
      </c>
      <c r="J40" s="56">
        <f t="shared" si="2"/>
        <v>0.40789473684210525</v>
      </c>
      <c r="K40" s="48">
        <f>IFERROR(VLOOKUP($C40,'SLA UAC'!$G:$I,3,0),0)</f>
        <v>227</v>
      </c>
      <c r="L40" s="46">
        <f>IFERROR(VLOOKUP($C40,'SLA UAC'!$G:$I,2,0),0)</f>
        <v>199</v>
      </c>
      <c r="M40" s="47">
        <f t="shared" si="3"/>
        <v>0.87665198237885467</v>
      </c>
      <c r="N40" s="49">
        <f t="shared" si="4"/>
        <v>0.43832599118942733</v>
      </c>
      <c r="O40" s="128">
        <f t="shared" si="5"/>
        <v>0.84622072803153259</v>
      </c>
      <c r="P40" s="126">
        <f t="shared" si="6"/>
        <v>1</v>
      </c>
      <c r="Q40" s="127">
        <f t="shared" si="7"/>
        <v>0.85</v>
      </c>
      <c r="R40" s="71">
        <f>VLOOKUP(Q40,TABLA!$A$5:$D$16,4,1)</f>
        <v>0.8</v>
      </c>
      <c r="S40" s="50">
        <f>IFERROR(VLOOKUP(C40,CALIDAD!$AK$3:$AM$39,3,0),100%)</f>
        <v>1</v>
      </c>
      <c r="T40" s="72">
        <f>VLOOKUP(S40,TABLA!$A$20:$D$29,4,1)</f>
        <v>1.1000000000000001</v>
      </c>
      <c r="U40" s="152">
        <f>VLOOKUP(A40,EQUIPO!$B$6:$E$19,2,0)</f>
        <v>392</v>
      </c>
      <c r="V40" s="152">
        <f>VLOOKUP(A40,EQUIPO!$B$6:$E$19,3,0)</f>
        <v>296</v>
      </c>
      <c r="W40" s="155">
        <f t="shared" si="8"/>
        <v>0.76</v>
      </c>
      <c r="X40" s="77">
        <f t="shared" si="0"/>
        <v>132.00000000000003</v>
      </c>
      <c r="Y40" s="53">
        <f>IF(AND(I40&gt;=1,E40="Especialista UAC"),VLOOKUP(W40,TABLA!$A$34:$D$38,4,1),0)/30*F40</f>
        <v>0</v>
      </c>
      <c r="Z40" s="54">
        <f t="shared" si="9"/>
        <v>132.00000000000003</v>
      </c>
      <c r="AA40" s="177"/>
      <c r="AB40" s="27"/>
      <c r="AC40" s="185"/>
      <c r="AD40" s="27"/>
      <c r="AE40" s="194"/>
      <c r="AF40" s="194"/>
    </row>
    <row r="41" spans="1:32" x14ac:dyDescent="0.2">
      <c r="A41" s="43" t="str">
        <f>VLOOKUP(C41,'PRODUCTIVIDAD UAC'!$H$21:$I$78,2,0)</f>
        <v>Impugnaciones</v>
      </c>
      <c r="B41" s="43" t="str">
        <f>VLOOKUP(A41,'PRODUCTIVIDAD UAC'!$B$3:$C$17,2,0)</f>
        <v xml:space="preserve">MIDEROS OLIVERA ROSA </v>
      </c>
      <c r="C41" s="161">
        <v>12896567</v>
      </c>
      <c r="D41" s="45" t="str">
        <f>VLOOKUP(C41,Homologacion!$E$1:$F$92,2,0)</f>
        <v>PÉREZ CABRERA JORGE SUSANA</v>
      </c>
      <c r="E41" s="26" t="str">
        <f>VLOOKUP(C41,Homologacion!$E$1:$G$92,3,0)</f>
        <v>Especialista UAC</v>
      </c>
      <c r="F41" s="156">
        <v>30</v>
      </c>
      <c r="G41" s="152">
        <f>VLOOKUP($C41,'PRODUCTIVIDAD UAC'!$K:$O,4,0)</f>
        <v>152</v>
      </c>
      <c r="H41" s="46">
        <f>VLOOKUP($C41,'PRODUCTIVIDAD UAC'!$K:$O,5,0)</f>
        <v>106</v>
      </c>
      <c r="I41" s="47">
        <f t="shared" si="1"/>
        <v>0.69736842105263153</v>
      </c>
      <c r="J41" s="56">
        <f t="shared" si="2"/>
        <v>0.34868421052631576</v>
      </c>
      <c r="K41" s="48">
        <f>IFERROR(VLOOKUP($C41,'SLA UAC'!$G:$I,3,0),0)</f>
        <v>0</v>
      </c>
      <c r="L41" s="46">
        <f>IFERROR(VLOOKUP($C41,'SLA UAC'!$G:$I,2,0),0)</f>
        <v>0</v>
      </c>
      <c r="M41" s="47">
        <f t="shared" si="3"/>
        <v>0</v>
      </c>
      <c r="N41" s="49">
        <f t="shared" si="4"/>
        <v>0</v>
      </c>
      <c r="O41" s="128">
        <f t="shared" si="5"/>
        <v>0.34868421052631576</v>
      </c>
      <c r="P41" s="126">
        <f t="shared" si="6"/>
        <v>0.5</v>
      </c>
      <c r="Q41" s="127">
        <f t="shared" si="7"/>
        <v>0.7</v>
      </c>
      <c r="R41" s="71">
        <f>VLOOKUP(Q41,TABLA!$A$5:$D$16,4,1)</f>
        <v>0.6</v>
      </c>
      <c r="S41" s="50">
        <f>IFERROR(VLOOKUP(C41,CALIDAD!$AK$3:$AM$39,3,0),100%)</f>
        <v>1</v>
      </c>
      <c r="T41" s="72">
        <f>VLOOKUP(S41,TABLA!$A$20:$D$29,4,1)</f>
        <v>1.1000000000000001</v>
      </c>
      <c r="U41" s="152">
        <f>VLOOKUP(A41,EQUIPO!$B$6:$E$19,2,0)</f>
        <v>392</v>
      </c>
      <c r="V41" s="152">
        <f>VLOOKUP(A41,EQUIPO!$B$6:$E$19,3,0)</f>
        <v>296</v>
      </c>
      <c r="W41" s="155">
        <f t="shared" si="8"/>
        <v>0.76</v>
      </c>
      <c r="X41" s="77">
        <f t="shared" si="0"/>
        <v>495</v>
      </c>
      <c r="Y41" s="53">
        <f>IF(AND(I41&gt;=1,E41="Especialista UAC"),VLOOKUP(W41,TABLA!$A$34:$D$38,4,1),0)/30*F41</f>
        <v>0</v>
      </c>
      <c r="Z41" s="54">
        <f t="shared" si="9"/>
        <v>495</v>
      </c>
      <c r="AA41" s="177"/>
      <c r="AB41" s="27"/>
      <c r="AC41" s="185"/>
      <c r="AD41" s="27"/>
      <c r="AE41" s="194"/>
      <c r="AF41" s="194"/>
    </row>
    <row r="42" spans="1:32" x14ac:dyDescent="0.2">
      <c r="A42" s="43" t="str">
        <f>VLOOKUP(C42,'PRODUCTIVIDAD UAC'!$H$21:$I$78,2,0)</f>
        <v>Impugnaciones</v>
      </c>
      <c r="B42" s="43" t="str">
        <f>VLOOKUP(A42,'PRODUCTIVIDAD UAC'!$B$3:$C$17,2,0)</f>
        <v xml:space="preserve">MIDEROS OLIVERA ROSA </v>
      </c>
      <c r="C42" s="161">
        <v>12896568</v>
      </c>
      <c r="D42" s="45" t="str">
        <f>VLOOKUP(C42,Homologacion!$E$1:$F$92,2,0)</f>
        <v>HERNÁNDEZ RÍOS JOSÉ GLADYZ</v>
      </c>
      <c r="E42" s="26" t="str">
        <f>VLOOKUP(C42,Homologacion!$E$1:$G$92,3,0)</f>
        <v>Especialista UAC</v>
      </c>
      <c r="F42" s="156">
        <v>30</v>
      </c>
      <c r="G42" s="152">
        <f>VLOOKUP($C42,'PRODUCTIVIDAD UAC'!$K:$O,4,0)</f>
        <v>48</v>
      </c>
      <c r="H42" s="46">
        <f>VLOOKUP($C42,'PRODUCTIVIDAD UAC'!$K:$O,5,0)</f>
        <v>35</v>
      </c>
      <c r="I42" s="47">
        <f t="shared" si="1"/>
        <v>0.72916666666666663</v>
      </c>
      <c r="J42" s="56">
        <f t="shared" si="2"/>
        <v>0.36458333333333331</v>
      </c>
      <c r="K42" s="48">
        <f>IFERROR(VLOOKUP($C42,'SLA UAC'!$G:$I,3,0),0)</f>
        <v>0</v>
      </c>
      <c r="L42" s="46">
        <f>IFERROR(VLOOKUP($C42,'SLA UAC'!$G:$I,2,0),0)</f>
        <v>0</v>
      </c>
      <c r="M42" s="47">
        <f t="shared" si="3"/>
        <v>0</v>
      </c>
      <c r="N42" s="49">
        <f t="shared" si="4"/>
        <v>0</v>
      </c>
      <c r="O42" s="128">
        <f t="shared" si="5"/>
        <v>0.36458333333333331</v>
      </c>
      <c r="P42" s="126">
        <f t="shared" si="6"/>
        <v>0.5</v>
      </c>
      <c r="Q42" s="127">
        <f t="shared" si="7"/>
        <v>0.73</v>
      </c>
      <c r="R42" s="71">
        <f>VLOOKUP(Q42,TABLA!$A$5:$D$16,4,1)</f>
        <v>0.6</v>
      </c>
      <c r="S42" s="50">
        <f>IFERROR(VLOOKUP(C42,CALIDAD!$AK$3:$AM$39,3,0),100%)</f>
        <v>1</v>
      </c>
      <c r="T42" s="72">
        <f>VLOOKUP(S42,TABLA!$A$20:$D$29,4,1)</f>
        <v>1.1000000000000001</v>
      </c>
      <c r="U42" s="152">
        <f>VLOOKUP(A42,EQUIPO!$B$6:$E$19,2,0)</f>
        <v>392</v>
      </c>
      <c r="V42" s="152">
        <f>VLOOKUP(A42,EQUIPO!$B$6:$E$19,3,0)</f>
        <v>296</v>
      </c>
      <c r="W42" s="155">
        <f t="shared" si="8"/>
        <v>0.76</v>
      </c>
      <c r="X42" s="77">
        <f t="shared" si="0"/>
        <v>495</v>
      </c>
      <c r="Y42" s="53">
        <f>IF(AND(I42&gt;=1,E42="Especialista UAC"),VLOOKUP(W42,TABLA!$A$34:$D$38,4,1),0)/30*F42</f>
        <v>0</v>
      </c>
      <c r="Z42" s="54">
        <f t="shared" si="9"/>
        <v>495</v>
      </c>
      <c r="AA42" s="177"/>
      <c r="AB42" s="27"/>
      <c r="AC42" s="185"/>
      <c r="AD42" s="27"/>
      <c r="AE42" s="194"/>
      <c r="AF42" s="194"/>
    </row>
    <row r="43" spans="1:32" x14ac:dyDescent="0.2">
      <c r="A43" s="43" t="str">
        <f>VLOOKUP(C43,'PRODUCTIVIDAD UAC'!$H$21:$I$78,2,0)</f>
        <v>Impugnaciones</v>
      </c>
      <c r="B43" s="43" t="str">
        <f>VLOOKUP(A43,'PRODUCTIVIDAD UAC'!$B$3:$C$17,2,0)</f>
        <v xml:space="preserve">MIDEROS OLIVERA ROSA </v>
      </c>
      <c r="C43" s="161">
        <v>12896569</v>
      </c>
      <c r="D43" s="45" t="str">
        <f>VLOOKUP(C43,Homologacion!$E$1:$F$92,2,0)</f>
        <v>GARCÍA FERREYRA JUAN LINDERIKA</v>
      </c>
      <c r="E43" s="26" t="str">
        <f>VLOOKUP(C43,Homologacion!$E$1:$G$92,3,0)</f>
        <v>Especialista UAC</v>
      </c>
      <c r="F43" s="156">
        <v>28</v>
      </c>
      <c r="G43" s="152">
        <f>VLOOKUP($C43,'PRODUCTIVIDAD UAC'!$K:$O,4,0)</f>
        <v>40</v>
      </c>
      <c r="H43" s="46">
        <f>VLOOKUP($C43,'PRODUCTIVIDAD UAC'!$K:$O,5,0)</f>
        <v>31</v>
      </c>
      <c r="I43" s="47">
        <f t="shared" si="1"/>
        <v>0.77500000000000002</v>
      </c>
      <c r="J43" s="56">
        <f t="shared" si="2"/>
        <v>0.38750000000000001</v>
      </c>
      <c r="K43" s="48">
        <f>IFERROR(VLOOKUP($C43,'SLA UAC'!$G:$I,3,0),0)</f>
        <v>0</v>
      </c>
      <c r="L43" s="46">
        <f>IFERROR(VLOOKUP($C43,'SLA UAC'!$G:$I,2,0),0)</f>
        <v>0</v>
      </c>
      <c r="M43" s="47">
        <f t="shared" si="3"/>
        <v>0</v>
      </c>
      <c r="N43" s="49">
        <f t="shared" si="4"/>
        <v>0</v>
      </c>
      <c r="O43" s="128">
        <f t="shared" si="5"/>
        <v>0.38750000000000001</v>
      </c>
      <c r="P43" s="126">
        <f t="shared" si="6"/>
        <v>0.5</v>
      </c>
      <c r="Q43" s="127">
        <f t="shared" si="7"/>
        <v>0.78</v>
      </c>
      <c r="R43" s="71">
        <f>VLOOKUP(Q43,TABLA!$A$5:$D$16,4,1)</f>
        <v>0.6</v>
      </c>
      <c r="S43" s="50">
        <f>IFERROR(VLOOKUP(C43,CALIDAD!$AK$3:$AM$39,3,0),100%)</f>
        <v>1</v>
      </c>
      <c r="T43" s="72">
        <f>VLOOKUP(S43,TABLA!$A$20:$D$29,4,1)</f>
        <v>1.1000000000000001</v>
      </c>
      <c r="U43" s="152">
        <f>VLOOKUP(A43,EQUIPO!$B$6:$E$19,2,0)</f>
        <v>392</v>
      </c>
      <c r="V43" s="152">
        <f>VLOOKUP(A43,EQUIPO!$B$6:$E$19,3,0)</f>
        <v>296</v>
      </c>
      <c r="W43" s="155">
        <f t="shared" si="8"/>
        <v>0.76</v>
      </c>
      <c r="X43" s="77">
        <f t="shared" si="0"/>
        <v>462</v>
      </c>
      <c r="Y43" s="53">
        <f>IF(AND(I43&gt;=1,E43="Especialista UAC"),VLOOKUP(W43,TABLA!$A$34:$D$38,4,1),0)/30*F43</f>
        <v>0</v>
      </c>
      <c r="Z43" s="54">
        <f t="shared" si="9"/>
        <v>462</v>
      </c>
      <c r="AA43" s="177"/>
      <c r="AB43" s="27"/>
      <c r="AC43" s="185"/>
      <c r="AD43" s="27"/>
      <c r="AE43" s="194"/>
      <c r="AF43" s="194"/>
    </row>
    <row r="44" spans="1:32" x14ac:dyDescent="0.2">
      <c r="A44" s="43" t="str">
        <f>VLOOKUP(C44,'PRODUCTIVIDAD UAC'!$H$21:$I$78,2,0)</f>
        <v>G3</v>
      </c>
      <c r="B44" s="43" t="str">
        <f>VLOOKUP(A44,'PRODUCTIVIDAD UAC'!$B$3:$C$17,2,0)</f>
        <v xml:space="preserve">MINAURO DUARTE TREICY </v>
      </c>
      <c r="C44" s="161">
        <v>12896570</v>
      </c>
      <c r="D44" s="45" t="str">
        <f>VLOOKUP(C44,Homologacion!$E$1:$F$92,2,0)</f>
        <v>MARTÍNEZ GODOY JULIAN MARINA</v>
      </c>
      <c r="E44" s="26" t="str">
        <f>VLOOKUP(C44,Homologacion!$E$1:$G$92,3,0)</f>
        <v>Apoyo UAC</v>
      </c>
      <c r="F44" s="156">
        <v>30</v>
      </c>
      <c r="G44" s="152">
        <f>VLOOKUP($C44,'PRODUCTIVIDAD UAC'!$K:$O,4,0)</f>
        <v>152</v>
      </c>
      <c r="H44" s="46">
        <f>VLOOKUP($C44,'PRODUCTIVIDAD UAC'!$K:$O,5,0)</f>
        <v>212</v>
      </c>
      <c r="I44" s="47">
        <f t="shared" si="1"/>
        <v>1.3947368421052631</v>
      </c>
      <c r="J44" s="56">
        <f t="shared" si="2"/>
        <v>0.69736842105263153</v>
      </c>
      <c r="K44" s="48">
        <f>IFERROR(VLOOKUP($C44,'SLA UAC'!$G:$I,3,0),0)</f>
        <v>0</v>
      </c>
      <c r="L44" s="46">
        <f>IFERROR(VLOOKUP($C44,'SLA UAC'!$G:$I,2,0),0)</f>
        <v>0</v>
      </c>
      <c r="M44" s="47">
        <f t="shared" si="3"/>
        <v>0</v>
      </c>
      <c r="N44" s="49">
        <f t="shared" si="4"/>
        <v>0</v>
      </c>
      <c r="O44" s="128">
        <f t="shared" si="5"/>
        <v>0.69736842105263153</v>
      </c>
      <c r="P44" s="126">
        <f t="shared" si="6"/>
        <v>0.5</v>
      </c>
      <c r="Q44" s="127">
        <f t="shared" si="7"/>
        <v>1.39</v>
      </c>
      <c r="R44" s="71">
        <f>VLOOKUP(Q44,TABLA!$A$5:$D$16,4,1)</f>
        <v>1.2</v>
      </c>
      <c r="S44" s="50">
        <f>IFERROR(VLOOKUP(C44,CALIDAD!$AK$3:$AM$39,3,0),100%)</f>
        <v>1</v>
      </c>
      <c r="T44" s="72">
        <f>VLOOKUP(S44,TABLA!$A$20:$D$29,4,1)</f>
        <v>1.1000000000000001</v>
      </c>
      <c r="U44" s="152">
        <f>VLOOKUP(A44,EQUIPO!$B$6:$E$19,2,0)</f>
        <v>1530.2222222222219</v>
      </c>
      <c r="V44" s="152">
        <f>VLOOKUP(A44,EQUIPO!$B$6:$E$19,3,0)</f>
        <v>1400</v>
      </c>
      <c r="W44" s="155">
        <f t="shared" si="8"/>
        <v>0.91</v>
      </c>
      <c r="X44" s="77">
        <f t="shared" si="0"/>
        <v>396</v>
      </c>
      <c r="Y44" s="53">
        <f>IF(AND(I44&gt;=1,E44="Especialista UAC"),VLOOKUP(W44,TABLA!$A$34:$D$38,4,1),0)/30*F44</f>
        <v>0</v>
      </c>
      <c r="Z44" s="54">
        <f t="shared" si="9"/>
        <v>396</v>
      </c>
      <c r="AA44" s="177"/>
      <c r="AB44" s="27"/>
      <c r="AC44" s="185"/>
      <c r="AD44" s="27"/>
      <c r="AE44" s="194"/>
      <c r="AF44" s="194"/>
    </row>
    <row r="45" spans="1:32" x14ac:dyDescent="0.2">
      <c r="A45" s="43" t="str">
        <f>VLOOKUP(C45,'PRODUCTIVIDAD UAC'!$H$21:$I$78,2,0)</f>
        <v>G3</v>
      </c>
      <c r="B45" s="43" t="str">
        <f>VLOOKUP(A45,'PRODUCTIVIDAD UAC'!$B$3:$C$17,2,0)</f>
        <v xml:space="preserve">MINAURO DUARTE TREICY </v>
      </c>
      <c r="C45" s="161">
        <v>12896571</v>
      </c>
      <c r="D45" s="45" t="str">
        <f>VLOOKUP(C45,Homologacion!$E$1:$F$92,2,0)</f>
        <v>SÁNCHEZ MORALES JULIO JORGE</v>
      </c>
      <c r="E45" s="26" t="str">
        <f>VLOOKUP(C45,Homologacion!$E$1:$G$92,3,0)</f>
        <v>Apoyo UAC</v>
      </c>
      <c r="F45" s="156">
        <v>30</v>
      </c>
      <c r="G45" s="152">
        <f>VLOOKUP($C45,'PRODUCTIVIDAD UAC'!$K:$O,4,0)</f>
        <v>152</v>
      </c>
      <c r="H45" s="46">
        <f>VLOOKUP($C45,'PRODUCTIVIDAD UAC'!$K:$O,5,0)</f>
        <v>155</v>
      </c>
      <c r="I45" s="47">
        <f t="shared" si="1"/>
        <v>1.0197368421052631</v>
      </c>
      <c r="J45" s="56">
        <f t="shared" si="2"/>
        <v>0.50986842105263153</v>
      </c>
      <c r="K45" s="48">
        <f>IFERROR(VLOOKUP($C45,'SLA UAC'!$G:$I,3,0),0)</f>
        <v>0</v>
      </c>
      <c r="L45" s="46">
        <f>IFERROR(VLOOKUP($C45,'SLA UAC'!$G:$I,2,0),0)</f>
        <v>0</v>
      </c>
      <c r="M45" s="47">
        <f t="shared" si="3"/>
        <v>0</v>
      </c>
      <c r="N45" s="49">
        <f t="shared" si="4"/>
        <v>0</v>
      </c>
      <c r="O45" s="128">
        <f t="shared" si="5"/>
        <v>0.50986842105263153</v>
      </c>
      <c r="P45" s="126">
        <f t="shared" si="6"/>
        <v>0.5</v>
      </c>
      <c r="Q45" s="127">
        <f t="shared" si="7"/>
        <v>1.02</v>
      </c>
      <c r="R45" s="71">
        <f>VLOOKUP(Q45,TABLA!$A$5:$D$16,4,1)</f>
        <v>1.05</v>
      </c>
      <c r="S45" s="50">
        <f>IFERROR(VLOOKUP(C45,CALIDAD!$AK$3:$AM$39,3,0),100%)</f>
        <v>1</v>
      </c>
      <c r="T45" s="72">
        <f>VLOOKUP(S45,TABLA!$A$20:$D$29,4,1)</f>
        <v>1.1000000000000001</v>
      </c>
      <c r="U45" s="152">
        <f>VLOOKUP(A45,EQUIPO!$B$6:$E$19,2,0)</f>
        <v>1530.2222222222219</v>
      </c>
      <c r="V45" s="152">
        <f>VLOOKUP(A45,EQUIPO!$B$6:$E$19,3,0)</f>
        <v>1400</v>
      </c>
      <c r="W45" s="155">
        <f t="shared" si="8"/>
        <v>0.91</v>
      </c>
      <c r="X45" s="77">
        <f t="shared" si="0"/>
        <v>346.50000000000006</v>
      </c>
      <c r="Y45" s="53">
        <f>IF(AND(I45&gt;=1,E45="Especialista UAC"),VLOOKUP(W45,TABLA!$A$34:$D$38,4,1),0)/30*F45</f>
        <v>0</v>
      </c>
      <c r="Z45" s="54">
        <f t="shared" si="9"/>
        <v>346.50000000000006</v>
      </c>
      <c r="AA45" s="177"/>
      <c r="AB45" s="27"/>
      <c r="AC45" s="185"/>
      <c r="AD45" s="27"/>
      <c r="AE45" s="194"/>
      <c r="AF45" s="194"/>
    </row>
    <row r="46" spans="1:32" x14ac:dyDescent="0.2">
      <c r="A46" s="43" t="str">
        <f>VLOOKUP(C46,'PRODUCTIVIDAD UAC'!$H$21:$I$78,2,0)</f>
        <v>G3</v>
      </c>
      <c r="B46" s="43" t="str">
        <f>VLOOKUP(A46,'PRODUCTIVIDAD UAC'!$B$3:$C$17,2,0)</f>
        <v xml:space="preserve">MINAURO DUARTE TREICY </v>
      </c>
      <c r="C46" s="161">
        <v>12896572</v>
      </c>
      <c r="D46" s="45" t="str">
        <f>VLOOKUP(C46,Homologacion!$E$1:$F$92,2,0)</f>
        <v>LÓPEZ DOMÍNGUEZ LEONARDO JORGE</v>
      </c>
      <c r="E46" s="26" t="str">
        <f>VLOOKUP(C46,Homologacion!$E$1:$G$92,3,0)</f>
        <v>Apoyo UAC</v>
      </c>
      <c r="F46" s="156">
        <v>28</v>
      </c>
      <c r="G46" s="152">
        <f>VLOOKUP($C46,'PRODUCTIVIDAD UAC'!$K:$O,4,0)</f>
        <v>149</v>
      </c>
      <c r="H46" s="46">
        <f>VLOOKUP($C46,'PRODUCTIVIDAD UAC'!$K:$O,5,0)</f>
        <v>153</v>
      </c>
      <c r="I46" s="47">
        <f t="shared" si="1"/>
        <v>1.0268456375838926</v>
      </c>
      <c r="J46" s="56">
        <f t="shared" si="2"/>
        <v>0.51342281879194629</v>
      </c>
      <c r="K46" s="48">
        <f>IFERROR(VLOOKUP($C46,'SLA UAC'!$G:$I,3,0),0)</f>
        <v>0</v>
      </c>
      <c r="L46" s="46">
        <f>IFERROR(VLOOKUP($C46,'SLA UAC'!$G:$I,2,0),0)</f>
        <v>0</v>
      </c>
      <c r="M46" s="47">
        <f t="shared" si="3"/>
        <v>0</v>
      </c>
      <c r="N46" s="49">
        <f t="shared" si="4"/>
        <v>0</v>
      </c>
      <c r="O46" s="128">
        <f t="shared" si="5"/>
        <v>0.51342281879194629</v>
      </c>
      <c r="P46" s="126">
        <f t="shared" si="6"/>
        <v>0.5</v>
      </c>
      <c r="Q46" s="127">
        <f t="shared" si="7"/>
        <v>1.03</v>
      </c>
      <c r="R46" s="71">
        <f>VLOOKUP(Q46,TABLA!$A$5:$D$16,4,1)</f>
        <v>1.05</v>
      </c>
      <c r="S46" s="50">
        <f>IFERROR(VLOOKUP(C46,CALIDAD!$AK$3:$AM$39,3,0),100%)</f>
        <v>1</v>
      </c>
      <c r="T46" s="72">
        <f>VLOOKUP(S46,TABLA!$A$20:$D$29,4,1)</f>
        <v>1.1000000000000001</v>
      </c>
      <c r="U46" s="152">
        <f>VLOOKUP(A46,EQUIPO!$B$6:$E$19,2,0)</f>
        <v>1530.2222222222219</v>
      </c>
      <c r="V46" s="152">
        <f>VLOOKUP(A46,EQUIPO!$B$6:$E$19,3,0)</f>
        <v>1400</v>
      </c>
      <c r="W46" s="155">
        <f t="shared" si="8"/>
        <v>0.91</v>
      </c>
      <c r="X46" s="77">
        <f t="shared" si="0"/>
        <v>323.40000000000009</v>
      </c>
      <c r="Y46" s="53">
        <f>IF(AND(I46&gt;=1,E46="Especialista UAC"),VLOOKUP(W46,TABLA!$A$34:$D$38,4,1),0)/30*F46</f>
        <v>0</v>
      </c>
      <c r="Z46" s="54">
        <f t="shared" si="9"/>
        <v>323.40000000000009</v>
      </c>
      <c r="AA46" s="177"/>
      <c r="AB46" s="27"/>
      <c r="AC46" s="185"/>
      <c r="AD46" s="27"/>
      <c r="AE46" s="194"/>
      <c r="AF46" s="194"/>
    </row>
    <row r="47" spans="1:32" x14ac:dyDescent="0.2">
      <c r="A47" s="43" t="str">
        <f>VLOOKUP(C47,'PRODUCTIVIDAD UAC'!$H$21:$I$78,2,0)</f>
        <v>G3</v>
      </c>
      <c r="B47" s="43" t="str">
        <f>VLOOKUP(A47,'PRODUCTIVIDAD UAC'!$B$3:$C$17,2,0)</f>
        <v xml:space="preserve">MINAURO DUARTE TREICY </v>
      </c>
      <c r="C47" s="161">
        <v>12896573</v>
      </c>
      <c r="D47" s="45" t="str">
        <f>VLOOKUP(C47,Homologacion!$E$1:$F$92,2,0)</f>
        <v>DÍAZ MORENO LICHUEN WIDSENIA</v>
      </c>
      <c r="E47" s="26" t="str">
        <f>VLOOKUP(C47,Homologacion!$E$1:$G$92,3,0)</f>
        <v>Apoyo UAC</v>
      </c>
      <c r="F47" s="156">
        <v>30</v>
      </c>
      <c r="G47" s="152">
        <f>VLOOKUP($C47,'PRODUCTIVIDAD UAC'!$K:$O,4,0)</f>
        <v>149</v>
      </c>
      <c r="H47" s="46">
        <f>VLOOKUP($C47,'PRODUCTIVIDAD UAC'!$K:$O,5,0)</f>
        <v>148</v>
      </c>
      <c r="I47" s="47">
        <f t="shared" si="1"/>
        <v>0.99328859060402686</v>
      </c>
      <c r="J47" s="56">
        <f t="shared" si="2"/>
        <v>0.49664429530201343</v>
      </c>
      <c r="K47" s="48">
        <f>IFERROR(VLOOKUP($C47,'SLA UAC'!$G:$I,3,0),0)</f>
        <v>376</v>
      </c>
      <c r="L47" s="46">
        <f>IFERROR(VLOOKUP($C47,'SLA UAC'!$G:$I,2,0),0)</f>
        <v>29</v>
      </c>
      <c r="M47" s="47">
        <f t="shared" si="3"/>
        <v>7.7127659574468085E-2</v>
      </c>
      <c r="N47" s="49">
        <f t="shared" si="4"/>
        <v>3.8563829787234043E-2</v>
      </c>
      <c r="O47" s="128">
        <f t="shared" si="5"/>
        <v>0.53520812508924742</v>
      </c>
      <c r="P47" s="126">
        <f t="shared" si="6"/>
        <v>1</v>
      </c>
      <c r="Q47" s="127">
        <f t="shared" si="7"/>
        <v>0.54</v>
      </c>
      <c r="R47" s="71">
        <f>VLOOKUP(Q47,TABLA!$A$5:$D$16,4,1)</f>
        <v>0</v>
      </c>
      <c r="S47" s="50">
        <f>IFERROR(VLOOKUP(C47,CALIDAD!$AK$3:$AM$39,3,0),100%)</f>
        <v>1</v>
      </c>
      <c r="T47" s="72">
        <f>VLOOKUP(S47,TABLA!$A$20:$D$29,4,1)</f>
        <v>1.1000000000000001</v>
      </c>
      <c r="U47" s="152">
        <f>VLOOKUP(A47,EQUIPO!$B$6:$E$19,2,0)</f>
        <v>1530.2222222222219</v>
      </c>
      <c r="V47" s="152">
        <f>VLOOKUP(A47,EQUIPO!$B$6:$E$19,3,0)</f>
        <v>1400</v>
      </c>
      <c r="W47" s="155">
        <f t="shared" si="8"/>
        <v>0.91</v>
      </c>
      <c r="X47" s="77">
        <f t="shared" si="0"/>
        <v>0</v>
      </c>
      <c r="Y47" s="53">
        <f>IF(AND(I47&gt;=1,E47="Especialista UAC"),VLOOKUP(W47,TABLA!$A$34:$D$38,4,1),0)/30*F47</f>
        <v>0</v>
      </c>
      <c r="Z47" s="54">
        <f t="shared" si="9"/>
        <v>0</v>
      </c>
      <c r="AA47" s="177"/>
      <c r="AB47" s="27"/>
      <c r="AC47" s="185"/>
      <c r="AD47" s="27"/>
      <c r="AE47" s="194"/>
      <c r="AF47" s="194"/>
    </row>
    <row r="48" spans="1:32" x14ac:dyDescent="0.2">
      <c r="A48" s="43" t="str">
        <f>VLOOKUP(C48,'PRODUCTIVIDAD UAC'!$H$21:$I$78,2,0)</f>
        <v>G3</v>
      </c>
      <c r="B48" s="43" t="str">
        <f>VLOOKUP(A48,'PRODUCTIVIDAD UAC'!$B$3:$C$17,2,0)</f>
        <v xml:space="preserve">MINAURO DUARTE TREICY </v>
      </c>
      <c r="C48" s="161">
        <v>12896574</v>
      </c>
      <c r="D48" s="45" t="str">
        <f>VLOOKUP(C48,Homologacion!$E$1:$F$92,2,0)</f>
        <v>ROJAS PERALTA LOLA URSULA</v>
      </c>
      <c r="E48" s="26" t="str">
        <f>VLOOKUP(C48,Homologacion!$E$1:$G$92,3,0)</f>
        <v>Especialista UAC</v>
      </c>
      <c r="F48" s="156">
        <v>30</v>
      </c>
      <c r="G48" s="152">
        <f>VLOOKUP($C48,'PRODUCTIVIDAD UAC'!$K:$O,4,0)</f>
        <v>152</v>
      </c>
      <c r="H48" s="46">
        <f>VLOOKUP($C48,'PRODUCTIVIDAD UAC'!$K:$O,5,0)</f>
        <v>141</v>
      </c>
      <c r="I48" s="47">
        <f t="shared" si="1"/>
        <v>0.92763157894736847</v>
      </c>
      <c r="J48" s="56">
        <f t="shared" si="2"/>
        <v>0.46381578947368424</v>
      </c>
      <c r="K48" s="48">
        <f>IFERROR(VLOOKUP($C48,'SLA UAC'!$G:$I,3,0),0)</f>
        <v>506</v>
      </c>
      <c r="L48" s="46">
        <f>IFERROR(VLOOKUP($C48,'SLA UAC'!$G:$I,2,0),0)</f>
        <v>332</v>
      </c>
      <c r="M48" s="47">
        <f t="shared" si="3"/>
        <v>0.65612648221343872</v>
      </c>
      <c r="N48" s="49">
        <f t="shared" si="4"/>
        <v>0.32806324110671936</v>
      </c>
      <c r="O48" s="128">
        <f t="shared" si="5"/>
        <v>0.79187903058040354</v>
      </c>
      <c r="P48" s="126">
        <f t="shared" si="6"/>
        <v>1</v>
      </c>
      <c r="Q48" s="127">
        <f t="shared" si="7"/>
        <v>0.79</v>
      </c>
      <c r="R48" s="71">
        <f>VLOOKUP(Q48,TABLA!$A$5:$D$16,4,1)</f>
        <v>0.6</v>
      </c>
      <c r="S48" s="50">
        <f>IFERROR(VLOOKUP(C48,CALIDAD!$AK$3:$AM$39,3,0),100%)</f>
        <v>1</v>
      </c>
      <c r="T48" s="72">
        <f>VLOOKUP(S48,TABLA!$A$20:$D$29,4,1)</f>
        <v>1.1000000000000001</v>
      </c>
      <c r="U48" s="152">
        <f>VLOOKUP(A48,EQUIPO!$B$6:$E$19,2,0)</f>
        <v>1530.2222222222219</v>
      </c>
      <c r="V48" s="152">
        <f>VLOOKUP(A48,EQUIPO!$B$6:$E$19,3,0)</f>
        <v>1400</v>
      </c>
      <c r="W48" s="155">
        <f t="shared" si="8"/>
        <v>0.91</v>
      </c>
      <c r="X48" s="77">
        <f t="shared" si="0"/>
        <v>495</v>
      </c>
      <c r="Y48" s="53">
        <f>IF(AND(I48&gt;=1,E48="Especialista UAC"),VLOOKUP(W48,TABLA!$A$34:$D$38,4,1),0)/30*F48</f>
        <v>0</v>
      </c>
      <c r="Z48" s="54">
        <f t="shared" si="9"/>
        <v>495</v>
      </c>
      <c r="AA48" s="177"/>
      <c r="AB48" s="27"/>
      <c r="AC48" s="185"/>
      <c r="AD48" s="27"/>
      <c r="AE48" s="194"/>
      <c r="AF48" s="194"/>
    </row>
    <row r="49" spans="1:32" x14ac:dyDescent="0.2">
      <c r="A49" s="43" t="str">
        <f>VLOOKUP(C49,'PRODUCTIVIDAD UAC'!$H$21:$I$78,2,0)</f>
        <v>G3</v>
      </c>
      <c r="B49" s="43" t="str">
        <f>VLOOKUP(A49,'PRODUCTIVIDAD UAC'!$B$3:$C$17,2,0)</f>
        <v xml:space="preserve">MINAURO DUARTE TREICY </v>
      </c>
      <c r="C49" s="161">
        <v>12896575</v>
      </c>
      <c r="D49" s="45" t="str">
        <f>VLOOKUP(C49,Homologacion!$E$1:$F$92,2,0)</f>
        <v>RAMÍREZ VEGA LUCHO MIRIAM</v>
      </c>
      <c r="E49" s="26" t="str">
        <f>VLOOKUP(C49,Homologacion!$E$1:$G$92,3,0)</f>
        <v>Apoyo UAC</v>
      </c>
      <c r="F49" s="156">
        <v>23</v>
      </c>
      <c r="G49" s="152">
        <f>VLOOKUP($C49,'PRODUCTIVIDAD UAC'!$K:$O,4,0)</f>
        <v>149</v>
      </c>
      <c r="H49" s="46">
        <f>VLOOKUP($C49,'PRODUCTIVIDAD UAC'!$K:$O,5,0)</f>
        <v>119</v>
      </c>
      <c r="I49" s="47">
        <f t="shared" si="1"/>
        <v>0.79865771812080533</v>
      </c>
      <c r="J49" s="56">
        <f t="shared" si="2"/>
        <v>0.39932885906040266</v>
      </c>
      <c r="K49" s="48">
        <f>IFERROR(VLOOKUP($C49,'SLA UAC'!$G:$I,3,0),0)</f>
        <v>189</v>
      </c>
      <c r="L49" s="46">
        <f>IFERROR(VLOOKUP($C49,'SLA UAC'!$G:$I,2,0),0)</f>
        <v>126</v>
      </c>
      <c r="M49" s="47">
        <f t="shared" si="3"/>
        <v>0.66666666666666663</v>
      </c>
      <c r="N49" s="49">
        <f t="shared" si="4"/>
        <v>0.33333333333333331</v>
      </c>
      <c r="O49" s="128">
        <f t="shared" si="5"/>
        <v>0.73266219239373598</v>
      </c>
      <c r="P49" s="126">
        <f t="shared" si="6"/>
        <v>1</v>
      </c>
      <c r="Q49" s="127">
        <f t="shared" si="7"/>
        <v>0.73</v>
      </c>
      <c r="R49" s="71">
        <f>VLOOKUP(Q49,TABLA!$A$5:$D$16,4,1)</f>
        <v>0.6</v>
      </c>
      <c r="S49" s="50">
        <f>IFERROR(VLOOKUP(C49,CALIDAD!$AK$3:$AM$39,3,0),100%)</f>
        <v>1</v>
      </c>
      <c r="T49" s="72">
        <f>VLOOKUP(S49,TABLA!$A$20:$D$29,4,1)</f>
        <v>1.1000000000000001</v>
      </c>
      <c r="U49" s="152">
        <f>VLOOKUP(A49,EQUIPO!$B$6:$E$19,2,0)</f>
        <v>1530.2222222222219</v>
      </c>
      <c r="V49" s="152">
        <f>VLOOKUP(A49,EQUIPO!$B$6:$E$19,3,0)</f>
        <v>1400</v>
      </c>
      <c r="W49" s="155">
        <f t="shared" si="8"/>
        <v>0.91</v>
      </c>
      <c r="X49" s="77">
        <f t="shared" si="0"/>
        <v>151.79999999999998</v>
      </c>
      <c r="Y49" s="53">
        <f>IF(AND(I49&gt;=1,E49="Especialista UAC"),VLOOKUP(W49,TABLA!$A$34:$D$38,4,1),0)/30*F49</f>
        <v>0</v>
      </c>
      <c r="Z49" s="54">
        <f t="shared" si="9"/>
        <v>151.79999999999998</v>
      </c>
      <c r="AA49" s="177"/>
      <c r="AB49" s="27"/>
      <c r="AC49" s="185"/>
      <c r="AD49" s="27"/>
      <c r="AE49" s="194"/>
      <c r="AF49" s="194"/>
    </row>
    <row r="50" spans="1:32" x14ac:dyDescent="0.2">
      <c r="A50" s="43" t="str">
        <f>VLOOKUP(C50,'PRODUCTIVIDAD UAC'!$H$21:$I$78,2,0)</f>
        <v>G3</v>
      </c>
      <c r="B50" s="43" t="str">
        <f>VLOOKUP(A50,'PRODUCTIVIDAD UAC'!$B$3:$C$17,2,0)</f>
        <v xml:space="preserve">MINAURO DUARTE TREICY </v>
      </c>
      <c r="C50" s="161">
        <v>12896576</v>
      </c>
      <c r="D50" s="45" t="str">
        <f>VLOOKUP(C50,Homologacion!$E$1:$F$92,2,0)</f>
        <v>CASTILLO CARRIZO LUIS KATHERINE</v>
      </c>
      <c r="E50" s="26" t="str">
        <f>VLOOKUP(C50,Homologacion!$E$1:$G$92,3,0)</f>
        <v>Apoyo UAC</v>
      </c>
      <c r="F50" s="156">
        <v>29</v>
      </c>
      <c r="G50" s="152">
        <f>VLOOKUP($C50,'PRODUCTIVIDAD UAC'!$K:$O,4,0)</f>
        <v>152</v>
      </c>
      <c r="H50" s="46">
        <f>VLOOKUP($C50,'PRODUCTIVIDAD UAC'!$K:$O,5,0)</f>
        <v>109</v>
      </c>
      <c r="I50" s="47">
        <f t="shared" si="1"/>
        <v>0.71710526315789469</v>
      </c>
      <c r="J50" s="56">
        <f t="shared" si="2"/>
        <v>0.35855263157894735</v>
      </c>
      <c r="K50" s="48">
        <f>IFERROR(VLOOKUP($C50,'SLA UAC'!$G:$I,3,0),0)</f>
        <v>222</v>
      </c>
      <c r="L50" s="46">
        <f>IFERROR(VLOOKUP($C50,'SLA UAC'!$G:$I,2,0),0)</f>
        <v>136</v>
      </c>
      <c r="M50" s="47">
        <f t="shared" si="3"/>
        <v>0.61261261261261257</v>
      </c>
      <c r="N50" s="49">
        <f t="shared" si="4"/>
        <v>0.30630630630630629</v>
      </c>
      <c r="O50" s="128">
        <f t="shared" si="5"/>
        <v>0.66485893788525363</v>
      </c>
      <c r="P50" s="126">
        <f t="shared" si="6"/>
        <v>1</v>
      </c>
      <c r="Q50" s="127">
        <f t="shared" si="7"/>
        <v>0.66</v>
      </c>
      <c r="R50" s="71">
        <f>VLOOKUP(Q50,TABLA!$A$5:$D$16,4,1)</f>
        <v>0.6</v>
      </c>
      <c r="S50" s="50">
        <f>IFERROR(VLOOKUP(C50,CALIDAD!$AK$3:$AM$39,3,0),100%)</f>
        <v>1</v>
      </c>
      <c r="T50" s="72">
        <f>VLOOKUP(S50,TABLA!$A$20:$D$29,4,1)</f>
        <v>1.1000000000000001</v>
      </c>
      <c r="U50" s="152">
        <f>VLOOKUP(A50,EQUIPO!$B$6:$E$19,2,0)</f>
        <v>1530.2222222222219</v>
      </c>
      <c r="V50" s="152">
        <f>VLOOKUP(A50,EQUIPO!$B$6:$E$19,3,0)</f>
        <v>1400</v>
      </c>
      <c r="W50" s="155">
        <f t="shared" si="8"/>
        <v>0.91</v>
      </c>
      <c r="X50" s="77">
        <f t="shared" si="0"/>
        <v>191.39999999999998</v>
      </c>
      <c r="Y50" s="53">
        <f>IF(AND(I50&gt;=1,E50="Especialista UAC"),VLOOKUP(W50,TABLA!$A$34:$D$38,4,1),0)/30*F50</f>
        <v>0</v>
      </c>
      <c r="Z50" s="54">
        <f t="shared" si="9"/>
        <v>191.39999999999998</v>
      </c>
      <c r="AA50" s="177"/>
      <c r="AB50" s="27"/>
      <c r="AC50" s="185"/>
      <c r="AD50" s="27"/>
      <c r="AE50" s="194"/>
      <c r="AF50" s="194"/>
    </row>
    <row r="51" spans="1:32" x14ac:dyDescent="0.2">
      <c r="A51" s="43" t="str">
        <f>VLOOKUP(C51,'PRODUCTIVIDAD UAC'!$H$21:$I$78,2,0)</f>
        <v>G3</v>
      </c>
      <c r="B51" s="43" t="str">
        <f>VLOOKUP(A51,'PRODUCTIVIDAD UAC'!$B$3:$C$17,2,0)</f>
        <v xml:space="preserve">MINAURO DUARTE TREICY </v>
      </c>
      <c r="C51" s="161">
        <v>12896577</v>
      </c>
      <c r="D51" s="45" t="str">
        <f>VLOOKUP(C51,Homologacion!$E$1:$F$92,2,0)</f>
        <v>GÓMEZ QUIROGA MAITEN DENISE</v>
      </c>
      <c r="E51" s="26" t="str">
        <f>VLOOKUP(C51,Homologacion!$E$1:$G$92,3,0)</f>
        <v>Apoyo UAC</v>
      </c>
      <c r="F51" s="156">
        <v>24</v>
      </c>
      <c r="G51" s="152">
        <f>VLOOKUP($C51,'PRODUCTIVIDAD UAC'!$K:$O,4,0)</f>
        <v>109</v>
      </c>
      <c r="H51" s="46">
        <f>VLOOKUP($C51,'PRODUCTIVIDAD UAC'!$K:$O,5,0)</f>
        <v>94</v>
      </c>
      <c r="I51" s="47">
        <f t="shared" si="1"/>
        <v>0.86238532110091748</v>
      </c>
      <c r="J51" s="56">
        <f t="shared" si="2"/>
        <v>0.43119266055045874</v>
      </c>
      <c r="K51" s="48">
        <f>IFERROR(VLOOKUP($C51,'SLA UAC'!$G:$I,3,0),0)</f>
        <v>305</v>
      </c>
      <c r="L51" s="46">
        <f>IFERROR(VLOOKUP($C51,'SLA UAC'!$G:$I,2,0),0)</f>
        <v>60</v>
      </c>
      <c r="M51" s="47">
        <f t="shared" si="3"/>
        <v>0.19672131147540983</v>
      </c>
      <c r="N51" s="49">
        <f t="shared" si="4"/>
        <v>9.8360655737704916E-2</v>
      </c>
      <c r="O51" s="128">
        <f t="shared" si="5"/>
        <v>0.5295533162881636</v>
      </c>
      <c r="P51" s="126">
        <f t="shared" si="6"/>
        <v>1</v>
      </c>
      <c r="Q51" s="127">
        <f t="shared" si="7"/>
        <v>0.53</v>
      </c>
      <c r="R51" s="71">
        <f>VLOOKUP(Q51,TABLA!$A$5:$D$16,4,1)</f>
        <v>0</v>
      </c>
      <c r="S51" s="50">
        <f>IFERROR(VLOOKUP(C51,CALIDAD!$AK$3:$AM$39,3,0),100%)</f>
        <v>1</v>
      </c>
      <c r="T51" s="72">
        <f>VLOOKUP(S51,TABLA!$A$20:$D$29,4,1)</f>
        <v>1.1000000000000001</v>
      </c>
      <c r="U51" s="152">
        <f>VLOOKUP(A51,EQUIPO!$B$6:$E$19,2,0)</f>
        <v>1530.2222222222219</v>
      </c>
      <c r="V51" s="152">
        <f>VLOOKUP(A51,EQUIPO!$B$6:$E$19,3,0)</f>
        <v>1400</v>
      </c>
      <c r="W51" s="155">
        <f t="shared" si="8"/>
        <v>0.91</v>
      </c>
      <c r="X51" s="77">
        <f t="shared" si="0"/>
        <v>0</v>
      </c>
      <c r="Y51" s="53">
        <f>IF(AND(I51&gt;=1,E51="Especialista UAC"),VLOOKUP(W51,TABLA!$A$34:$D$38,4,1),0)/30*F51</f>
        <v>0</v>
      </c>
      <c r="Z51" s="54">
        <f t="shared" si="9"/>
        <v>0</v>
      </c>
      <c r="AA51" s="177"/>
      <c r="AB51" s="27"/>
      <c r="AC51" s="185"/>
      <c r="AD51" s="27"/>
      <c r="AE51" s="194"/>
      <c r="AF51" s="194"/>
    </row>
    <row r="52" spans="1:32" x14ac:dyDescent="0.2">
      <c r="A52" s="43" t="str">
        <f>VLOOKUP(C52,'PRODUCTIVIDAD UAC'!$H$21:$I$78,2,0)</f>
        <v>G3</v>
      </c>
      <c r="B52" s="43" t="str">
        <f>VLOOKUP(A52,'PRODUCTIVIDAD UAC'!$B$3:$C$17,2,0)</f>
        <v xml:space="preserve">MINAURO DUARTE TREICY </v>
      </c>
      <c r="C52" s="161">
        <v>12896578</v>
      </c>
      <c r="D52" s="45" t="str">
        <f>VLOOKUP(C52,Homologacion!$E$1:$F$92,2,0)</f>
        <v>ROMERO CASTILLO MANQUE JOEL</v>
      </c>
      <c r="E52" s="26" t="str">
        <f>VLOOKUP(C52,Homologacion!$E$1:$G$92,3,0)</f>
        <v>Apoyo UAC</v>
      </c>
      <c r="F52" s="156">
        <v>30</v>
      </c>
      <c r="G52" s="152">
        <f>VLOOKUP($C52,'PRODUCTIVIDAD UAC'!$K:$O,4,0)</f>
        <v>118.222222222222</v>
      </c>
      <c r="H52" s="46">
        <f>VLOOKUP($C52,'PRODUCTIVIDAD UAC'!$K:$O,5,0)</f>
        <v>89</v>
      </c>
      <c r="I52" s="47">
        <f t="shared" si="1"/>
        <v>0.75281954887218183</v>
      </c>
      <c r="J52" s="56">
        <f t="shared" si="2"/>
        <v>0.37640977443609092</v>
      </c>
      <c r="K52" s="48">
        <f>IFERROR(VLOOKUP($C52,'SLA UAC'!$G:$I,3,0),0)</f>
        <v>438</v>
      </c>
      <c r="L52" s="46">
        <f>IFERROR(VLOOKUP($C52,'SLA UAC'!$G:$I,2,0),0)</f>
        <v>279</v>
      </c>
      <c r="M52" s="47">
        <f t="shared" si="3"/>
        <v>0.63698630136986301</v>
      </c>
      <c r="N52" s="49">
        <f t="shared" si="4"/>
        <v>0.3184931506849315</v>
      </c>
      <c r="O52" s="128">
        <f t="shared" si="5"/>
        <v>0.69490292512102236</v>
      </c>
      <c r="P52" s="126">
        <f t="shared" si="6"/>
        <v>1</v>
      </c>
      <c r="Q52" s="127">
        <f t="shared" si="7"/>
        <v>0.69</v>
      </c>
      <c r="R52" s="71">
        <f>VLOOKUP(Q52,TABLA!$A$5:$D$16,4,1)</f>
        <v>0.6</v>
      </c>
      <c r="S52" s="50">
        <f>IFERROR(VLOOKUP(C52,CALIDAD!$AK$3:$AM$39,3,0),100%)</f>
        <v>1</v>
      </c>
      <c r="T52" s="72">
        <f>VLOOKUP(S52,TABLA!$A$20:$D$29,4,1)</f>
        <v>1.1000000000000001</v>
      </c>
      <c r="U52" s="152">
        <f>VLOOKUP(A52,EQUIPO!$B$6:$E$19,2,0)</f>
        <v>1530.2222222222219</v>
      </c>
      <c r="V52" s="152">
        <f>VLOOKUP(A52,EQUIPO!$B$6:$E$19,3,0)</f>
        <v>1400</v>
      </c>
      <c r="W52" s="155">
        <f t="shared" si="8"/>
        <v>0.91</v>
      </c>
      <c r="X52" s="77">
        <f t="shared" si="0"/>
        <v>198</v>
      </c>
      <c r="Y52" s="53">
        <f>IF(AND(I52&gt;=1,E52="Especialista UAC"),VLOOKUP(W52,TABLA!$A$34:$D$38,4,1),0)/30*F52</f>
        <v>0</v>
      </c>
      <c r="Z52" s="54">
        <f t="shared" si="9"/>
        <v>198</v>
      </c>
      <c r="AA52" s="177"/>
      <c r="AB52" s="27"/>
      <c r="AC52" s="185"/>
      <c r="AD52" s="27"/>
      <c r="AE52" s="194"/>
      <c r="AF52" s="194"/>
    </row>
    <row r="53" spans="1:32" x14ac:dyDescent="0.2">
      <c r="A53" s="43" t="str">
        <f>VLOOKUP(C53,'PRODUCTIVIDAD UAC'!$H$21:$I$78,2,0)</f>
        <v>G3</v>
      </c>
      <c r="B53" s="43" t="str">
        <f>VLOOKUP(A53,'PRODUCTIVIDAD UAC'!$B$3:$C$17,2,0)</f>
        <v xml:space="preserve">MINAURO DUARTE TREICY </v>
      </c>
      <c r="C53" s="161">
        <v>12896579</v>
      </c>
      <c r="D53" s="45" t="str">
        <f>VLOOKUP(C53,Homologacion!$E$1:$F$92,2,0)</f>
        <v>FERNANDEZ LEDESMA MANUEL HELMUD</v>
      </c>
      <c r="E53" s="26" t="str">
        <f>VLOOKUP(C53,Homologacion!$E$1:$G$92,3,0)</f>
        <v>Especialista UAC</v>
      </c>
      <c r="F53" s="156">
        <v>30</v>
      </c>
      <c r="G53" s="152">
        <f>VLOOKUP($C53,'PRODUCTIVIDAD UAC'!$K:$O,4,0)</f>
        <v>152</v>
      </c>
      <c r="H53" s="46">
        <f>VLOOKUP($C53,'PRODUCTIVIDAD UAC'!$K:$O,5,0)</f>
        <v>78</v>
      </c>
      <c r="I53" s="47">
        <f t="shared" si="1"/>
        <v>0.51315789473684215</v>
      </c>
      <c r="J53" s="56">
        <f t="shared" si="2"/>
        <v>0.25657894736842107</v>
      </c>
      <c r="K53" s="48">
        <f>IFERROR(VLOOKUP($C53,'SLA UAC'!$G:$I,3,0),0)</f>
        <v>526</v>
      </c>
      <c r="L53" s="46">
        <f>IFERROR(VLOOKUP($C53,'SLA UAC'!$G:$I,2,0),0)</f>
        <v>494</v>
      </c>
      <c r="M53" s="47">
        <f t="shared" si="3"/>
        <v>0.93916349809885935</v>
      </c>
      <c r="N53" s="49">
        <f t="shared" si="4"/>
        <v>0.46958174904942968</v>
      </c>
      <c r="O53" s="128">
        <f t="shared" si="5"/>
        <v>0.72616069641785075</v>
      </c>
      <c r="P53" s="126">
        <f t="shared" si="6"/>
        <v>1</v>
      </c>
      <c r="Q53" s="127">
        <f t="shared" si="7"/>
        <v>0.73</v>
      </c>
      <c r="R53" s="71">
        <f>VLOOKUP(Q53,TABLA!$A$5:$D$16,4,1)</f>
        <v>0.6</v>
      </c>
      <c r="S53" s="50">
        <f>IFERROR(VLOOKUP(C53,CALIDAD!$AK$3:$AM$39,3,0),100%)</f>
        <v>1</v>
      </c>
      <c r="T53" s="72">
        <f>VLOOKUP(S53,TABLA!$A$20:$D$29,4,1)</f>
        <v>1.1000000000000001</v>
      </c>
      <c r="U53" s="152">
        <f>VLOOKUP(A53,EQUIPO!$B$6:$E$19,2,0)</f>
        <v>1530.2222222222219</v>
      </c>
      <c r="V53" s="152">
        <f>VLOOKUP(A53,EQUIPO!$B$6:$E$19,3,0)</f>
        <v>1400</v>
      </c>
      <c r="W53" s="155">
        <f t="shared" si="8"/>
        <v>0.91</v>
      </c>
      <c r="X53" s="77">
        <f t="shared" si="0"/>
        <v>495</v>
      </c>
      <c r="Y53" s="53">
        <f>IF(AND(I53&gt;=1,E53="Especialista UAC"),VLOOKUP(W53,TABLA!$A$34:$D$38,4,1),0)/30*F53</f>
        <v>0</v>
      </c>
      <c r="Z53" s="54">
        <f t="shared" si="9"/>
        <v>495</v>
      </c>
      <c r="AA53" s="177"/>
      <c r="AB53" s="27"/>
      <c r="AC53" s="185"/>
      <c r="AD53" s="27"/>
      <c r="AE53" s="194"/>
      <c r="AF53" s="194"/>
    </row>
    <row r="54" spans="1:32" x14ac:dyDescent="0.2">
      <c r="A54" s="43" t="str">
        <f>VLOOKUP(C54,'PRODUCTIVIDAD UAC'!$H$21:$I$78,2,0)</f>
        <v>G3</v>
      </c>
      <c r="B54" s="43" t="str">
        <f>VLOOKUP(A54,'PRODUCTIVIDAD UAC'!$B$3:$C$17,2,0)</f>
        <v xml:space="preserve">MINAURO DUARTE TREICY </v>
      </c>
      <c r="C54" s="161">
        <v>12896580</v>
      </c>
      <c r="D54" s="45" t="str">
        <f>VLOOKUP(C54,Homologacion!$E$1:$F$92,2,0)</f>
        <v>TORRES MUÑOZ MARCELO DENISSE</v>
      </c>
      <c r="E54" s="26" t="str">
        <f>VLOOKUP(C54,Homologacion!$E$1:$G$92,3,0)</f>
        <v>Apoyo UAC</v>
      </c>
      <c r="F54" s="156">
        <v>30</v>
      </c>
      <c r="G54" s="152">
        <f>VLOOKUP($C54,'PRODUCTIVIDAD UAC'!$K:$O,4,0)</f>
        <v>56</v>
      </c>
      <c r="H54" s="46">
        <f>VLOOKUP($C54,'PRODUCTIVIDAD UAC'!$K:$O,5,0)</f>
        <v>68</v>
      </c>
      <c r="I54" s="47">
        <f t="shared" si="1"/>
        <v>1.2142857142857142</v>
      </c>
      <c r="J54" s="56">
        <f t="shared" si="2"/>
        <v>0.6071428571428571</v>
      </c>
      <c r="K54" s="48">
        <f>IFERROR(VLOOKUP($C54,'SLA UAC'!$G:$I,3,0),0)</f>
        <v>353</v>
      </c>
      <c r="L54" s="46">
        <f>IFERROR(VLOOKUP($C54,'SLA UAC'!$G:$I,2,0),0)</f>
        <v>289</v>
      </c>
      <c r="M54" s="47">
        <f t="shared" si="3"/>
        <v>0.81869688385269124</v>
      </c>
      <c r="N54" s="49">
        <f t="shared" si="4"/>
        <v>0.40934844192634562</v>
      </c>
      <c r="O54" s="128">
        <f t="shared" si="5"/>
        <v>1.0164912990692028</v>
      </c>
      <c r="P54" s="126">
        <f t="shared" si="6"/>
        <v>1</v>
      </c>
      <c r="Q54" s="127">
        <f t="shared" si="7"/>
        <v>1.02</v>
      </c>
      <c r="R54" s="71">
        <f>VLOOKUP(Q54,TABLA!$A$5:$D$16,4,1)</f>
        <v>1.05</v>
      </c>
      <c r="S54" s="50">
        <f>IFERROR(VLOOKUP(C54,CALIDAD!$AK$3:$AM$39,3,0),100%)</f>
        <v>1</v>
      </c>
      <c r="T54" s="72">
        <f>VLOOKUP(S54,TABLA!$A$20:$D$29,4,1)</f>
        <v>1.1000000000000001</v>
      </c>
      <c r="U54" s="152">
        <f>VLOOKUP(A54,EQUIPO!$B$6:$E$19,2,0)</f>
        <v>1530.2222222222219</v>
      </c>
      <c r="V54" s="152">
        <f>VLOOKUP(A54,EQUIPO!$B$6:$E$19,3,0)</f>
        <v>1400</v>
      </c>
      <c r="W54" s="155">
        <f t="shared" si="8"/>
        <v>0.91</v>
      </c>
      <c r="X54" s="77">
        <f t="shared" si="0"/>
        <v>346.50000000000006</v>
      </c>
      <c r="Y54" s="53">
        <f>IF(AND(I54&gt;=1,E54="Especialista UAC"),VLOOKUP(W54,TABLA!$A$34:$D$38,4,1),0)/30*F54</f>
        <v>0</v>
      </c>
      <c r="Z54" s="54">
        <f t="shared" si="9"/>
        <v>346.50000000000006</v>
      </c>
      <c r="AA54" s="177"/>
      <c r="AB54" s="27"/>
      <c r="AC54" s="185"/>
      <c r="AD54" s="27"/>
      <c r="AE54" s="194"/>
      <c r="AF54" s="194"/>
    </row>
    <row r="55" spans="1:32" x14ac:dyDescent="0.2">
      <c r="A55" s="43" t="str">
        <f>VLOOKUP(C55,'PRODUCTIVIDAD UAC'!$H$21:$I$78,2,0)</f>
        <v>G3</v>
      </c>
      <c r="B55" s="43" t="str">
        <f>VLOOKUP(A55,'PRODUCTIVIDAD UAC'!$B$3:$C$17,2,0)</f>
        <v xml:space="preserve">MINAURO DUARTE TREICY </v>
      </c>
      <c r="C55" s="161">
        <v>12896581</v>
      </c>
      <c r="D55" s="45" t="str">
        <f>VLOOKUP(C55,Homologacion!$E$1:$F$92,2,0)</f>
        <v>MENDOZA OJEDA MARCO LUIS</v>
      </c>
      <c r="E55" s="26" t="str">
        <f>VLOOKUP(C55,Homologacion!$E$1:$G$92,3,0)</f>
        <v>Apoyo UAC</v>
      </c>
      <c r="F55" s="156">
        <v>30</v>
      </c>
      <c r="G55" s="152">
        <f>VLOOKUP($C55,'PRODUCTIVIDAD UAC'!$K:$O,4,0)</f>
        <v>40</v>
      </c>
      <c r="H55" s="46">
        <f>VLOOKUP($C55,'PRODUCTIVIDAD UAC'!$K:$O,5,0)</f>
        <v>34</v>
      </c>
      <c r="I55" s="47">
        <f t="shared" si="1"/>
        <v>0.85</v>
      </c>
      <c r="J55" s="56">
        <f t="shared" si="2"/>
        <v>0.42499999999999999</v>
      </c>
      <c r="K55" s="48">
        <f>IFERROR(VLOOKUP($C55,'SLA UAC'!$G:$I,3,0),0)</f>
        <v>0</v>
      </c>
      <c r="L55" s="46">
        <f>IFERROR(VLOOKUP($C55,'SLA UAC'!$G:$I,2,0),0)</f>
        <v>0</v>
      </c>
      <c r="M55" s="47">
        <f t="shared" si="3"/>
        <v>0</v>
      </c>
      <c r="N55" s="49">
        <f t="shared" si="4"/>
        <v>0</v>
      </c>
      <c r="O55" s="128">
        <f t="shared" si="5"/>
        <v>0.42499999999999999</v>
      </c>
      <c r="P55" s="126">
        <f t="shared" si="6"/>
        <v>0.5</v>
      </c>
      <c r="Q55" s="127">
        <f t="shared" si="7"/>
        <v>0.85</v>
      </c>
      <c r="R55" s="71">
        <f>VLOOKUP(Q55,TABLA!$A$5:$D$16,4,1)</f>
        <v>0.8</v>
      </c>
      <c r="S55" s="50">
        <f>IFERROR(VLOOKUP(C55,CALIDAD!$AK$3:$AM$39,3,0),100%)</f>
        <v>1</v>
      </c>
      <c r="T55" s="72">
        <f>VLOOKUP(S55,TABLA!$A$20:$D$29,4,1)</f>
        <v>1.1000000000000001</v>
      </c>
      <c r="U55" s="152">
        <f>VLOOKUP(A55,EQUIPO!$B$6:$E$19,2,0)</f>
        <v>1530.2222222222219</v>
      </c>
      <c r="V55" s="152">
        <f>VLOOKUP(A55,EQUIPO!$B$6:$E$19,3,0)</f>
        <v>1400</v>
      </c>
      <c r="W55" s="155">
        <f t="shared" si="8"/>
        <v>0.91</v>
      </c>
      <c r="X55" s="77">
        <f t="shared" si="0"/>
        <v>264.00000000000006</v>
      </c>
      <c r="Y55" s="53">
        <f>IF(AND(I55&gt;=1,E55="Especialista UAC"),VLOOKUP(W55,TABLA!$A$34:$D$38,4,1),0)/30*F55</f>
        <v>0</v>
      </c>
      <c r="Z55" s="54">
        <f t="shared" si="9"/>
        <v>264.00000000000006</v>
      </c>
      <c r="AA55" s="177"/>
      <c r="AB55" s="27"/>
      <c r="AC55" s="185"/>
      <c r="AD55" s="27"/>
      <c r="AE55" s="194"/>
      <c r="AF55" s="194"/>
    </row>
    <row r="56" spans="1:32" x14ac:dyDescent="0.2">
      <c r="A56" s="43" t="str">
        <f>VLOOKUP(C56,'PRODUCTIVIDAD UAC'!$H$21:$I$78,2,0)</f>
        <v>G4</v>
      </c>
      <c r="B56" s="43" t="str">
        <f>VLOOKUP(A56,'PRODUCTIVIDAD UAC'!$B$3:$C$17,2,0)</f>
        <v xml:space="preserve">MINAURO DUARTE TREICY </v>
      </c>
      <c r="C56" s="161">
        <v>12896582</v>
      </c>
      <c r="D56" s="45" t="str">
        <f>VLOOKUP(C56,Homologacion!$E$1:$F$92,2,0)</f>
        <v>MEDINA PONCE MIGUEL DAVID</v>
      </c>
      <c r="E56" s="26" t="str">
        <f>VLOOKUP(C56,Homologacion!$E$1:$G$92,3,0)</f>
        <v>Apoyo UAC</v>
      </c>
      <c r="F56" s="156">
        <v>30</v>
      </c>
      <c r="G56" s="152">
        <f>VLOOKUP($C56,'PRODUCTIVIDAD UAC'!$K:$O,4,0)</f>
        <v>198.66666666666666</v>
      </c>
      <c r="H56" s="46">
        <f>VLOOKUP($C56,'PRODUCTIVIDAD UAC'!$K:$O,5,0)</f>
        <v>228</v>
      </c>
      <c r="I56" s="47">
        <f t="shared" si="1"/>
        <v>1.1476510067114094</v>
      </c>
      <c r="J56" s="56">
        <f t="shared" si="2"/>
        <v>0.5738255033557047</v>
      </c>
      <c r="K56" s="48">
        <f>IFERROR(VLOOKUP($C56,'SLA UAC'!$G:$I,3,0),0)</f>
        <v>0</v>
      </c>
      <c r="L56" s="46">
        <f>IFERROR(VLOOKUP($C56,'SLA UAC'!$G:$I,2,0),0)</f>
        <v>0</v>
      </c>
      <c r="M56" s="47">
        <f t="shared" si="3"/>
        <v>0</v>
      </c>
      <c r="N56" s="49">
        <f t="shared" si="4"/>
        <v>0</v>
      </c>
      <c r="O56" s="128">
        <f t="shared" si="5"/>
        <v>0.5738255033557047</v>
      </c>
      <c r="P56" s="126">
        <f t="shared" si="6"/>
        <v>0.5</v>
      </c>
      <c r="Q56" s="127">
        <f t="shared" si="7"/>
        <v>1.1499999999999999</v>
      </c>
      <c r="R56" s="71">
        <f>VLOOKUP(Q56,TABLA!$A$5:$D$16,4,1)</f>
        <v>1.2</v>
      </c>
      <c r="S56" s="50">
        <f>IFERROR(VLOOKUP(C56,CALIDAD!$AK$3:$AM$39,3,0),100%)</f>
        <v>1</v>
      </c>
      <c r="T56" s="72">
        <f>VLOOKUP(S56,TABLA!$A$20:$D$29,4,1)</f>
        <v>1.1000000000000001</v>
      </c>
      <c r="U56" s="152">
        <f>VLOOKUP(A56,EQUIPO!$B$6:$E$19,2,0)</f>
        <v>198.66666666666666</v>
      </c>
      <c r="V56" s="152">
        <f>VLOOKUP(A56,EQUIPO!$B$6:$E$19,3,0)</f>
        <v>228</v>
      </c>
      <c r="W56" s="155">
        <f t="shared" si="8"/>
        <v>1.1499999999999999</v>
      </c>
      <c r="X56" s="77">
        <f t="shared" si="0"/>
        <v>396</v>
      </c>
      <c r="Y56" s="53">
        <f>IF(AND(I56&gt;=1,E56="Especialista UAC"),VLOOKUP(W56,TABLA!$A$34:$D$38,4,1),0)/30*F56</f>
        <v>0</v>
      </c>
      <c r="Z56" s="54">
        <f t="shared" si="9"/>
        <v>396</v>
      </c>
      <c r="AA56" s="177"/>
      <c r="AB56" s="27"/>
      <c r="AC56" s="185"/>
      <c r="AD56" s="27"/>
      <c r="AE56" s="194"/>
      <c r="AF56" s="194"/>
    </row>
    <row r="57" spans="1:32" x14ac:dyDescent="0.2">
      <c r="A57" s="43" t="str">
        <f>VLOOKUP(C57,'PRODUCTIVIDAD UAC'!$H$21:$I$78,2,0)</f>
        <v>G8</v>
      </c>
      <c r="B57" s="43" t="str">
        <f>VLOOKUP(A57,'PRODUCTIVIDAD UAC'!$B$3:$C$17,2,0)</f>
        <v xml:space="preserve">MINAURO DUARTE TREICY </v>
      </c>
      <c r="C57" s="161">
        <v>12896583</v>
      </c>
      <c r="D57" s="45" t="str">
        <f>VLOOKUP(C57,Homologacion!$E$1:$F$92,2,0)</f>
        <v>MORENO VERA NAHUEL NEHUEN ANAVELA</v>
      </c>
      <c r="E57" s="26" t="str">
        <f>VLOOKUP(C57,Homologacion!$E$1:$G$92,3,0)</f>
        <v>Especialista UAC</v>
      </c>
      <c r="F57" s="156">
        <v>28</v>
      </c>
      <c r="G57" s="152">
        <f>VLOOKUP($C57,'PRODUCTIVIDAD UAC'!$K:$O,4,0)</f>
        <v>149</v>
      </c>
      <c r="H57" s="46">
        <f>VLOOKUP($C57,'PRODUCTIVIDAD UAC'!$K:$O,5,0)</f>
        <v>220</v>
      </c>
      <c r="I57" s="47">
        <f t="shared" si="1"/>
        <v>1.476510067114094</v>
      </c>
      <c r="J57" s="56">
        <f t="shared" si="2"/>
        <v>0.73825503355704702</v>
      </c>
      <c r="K57" s="48">
        <f>IFERROR(VLOOKUP($C57,'SLA UAC'!$G:$I,3,0),0)</f>
        <v>0</v>
      </c>
      <c r="L57" s="46">
        <f>IFERROR(VLOOKUP($C57,'SLA UAC'!$G:$I,2,0),0)</f>
        <v>0</v>
      </c>
      <c r="M57" s="47">
        <f t="shared" si="3"/>
        <v>0</v>
      </c>
      <c r="N57" s="49">
        <f t="shared" si="4"/>
        <v>0</v>
      </c>
      <c r="O57" s="128">
        <f t="shared" si="5"/>
        <v>0.73825503355704702</v>
      </c>
      <c r="P57" s="126">
        <f t="shared" si="6"/>
        <v>0.5</v>
      </c>
      <c r="Q57" s="127">
        <f t="shared" si="7"/>
        <v>1.48</v>
      </c>
      <c r="R57" s="71">
        <f>VLOOKUP(Q57,TABLA!$A$5:$D$16,4,1)</f>
        <v>1.2</v>
      </c>
      <c r="S57" s="50">
        <f>IFERROR(VLOOKUP(C57,CALIDAD!$AK$3:$AM$39,3,0),100%)</f>
        <v>1</v>
      </c>
      <c r="T57" s="72">
        <f>VLOOKUP(S57,TABLA!$A$20:$D$29,4,1)</f>
        <v>1.1000000000000001</v>
      </c>
      <c r="U57" s="152">
        <f>VLOOKUP(A57,EQUIPO!$B$6:$E$19,2,0)</f>
        <v>882</v>
      </c>
      <c r="V57" s="152">
        <f>VLOOKUP(A57,EQUIPO!$B$6:$E$19,3,0)</f>
        <v>1084</v>
      </c>
      <c r="W57" s="155">
        <f t="shared" si="8"/>
        <v>1.23</v>
      </c>
      <c r="X57" s="77">
        <f t="shared" si="0"/>
        <v>924</v>
      </c>
      <c r="Y57" s="53">
        <f>IF(AND(I57&gt;=1,E57="Especialista UAC"),VLOOKUP(W57,TABLA!$A$34:$D$38,4,1),0)/30*F57</f>
        <v>186.66666666666669</v>
      </c>
      <c r="Z57" s="54">
        <f t="shared" si="9"/>
        <v>1110.6666666666667</v>
      </c>
      <c r="AA57" s="177"/>
      <c r="AB57" s="27"/>
      <c r="AC57" s="185"/>
      <c r="AD57" s="27"/>
      <c r="AE57" s="194"/>
      <c r="AF57" s="194"/>
    </row>
    <row r="58" spans="1:32" x14ac:dyDescent="0.2">
      <c r="A58" s="43" t="str">
        <f>VLOOKUP(C58,'PRODUCTIVIDAD UAC'!$H$21:$I$82,2,0)</f>
        <v>G8</v>
      </c>
      <c r="B58" s="43" t="str">
        <f>VLOOKUP(A58,'PRODUCTIVIDAD UAC'!$B$3:$C$17,2,0)</f>
        <v xml:space="preserve">MINAURO DUARTE TREICY </v>
      </c>
      <c r="C58" s="161">
        <v>12896584</v>
      </c>
      <c r="D58" s="45" t="str">
        <f>VLOOKUP(C58,Homologacion!$E$1:$F$92,2,0)</f>
        <v>GUTIÉRREZ VÁZQUEZ NEYEN GRECIA</v>
      </c>
      <c r="E58" s="26" t="str">
        <f>VLOOKUP(C58,Homologacion!$E$1:$G$92,3,0)</f>
        <v>Especialista UAC</v>
      </c>
      <c r="F58" s="156">
        <v>30</v>
      </c>
      <c r="G58" s="152">
        <f>VLOOKUP($C58,'PRODUCTIVIDAD UAC'!$K:$O,4,0)</f>
        <v>152</v>
      </c>
      <c r="H58" s="46">
        <f>VLOOKUP($C58,'PRODUCTIVIDAD UAC'!$K:$O,5,0)</f>
        <v>211</v>
      </c>
      <c r="I58" s="47">
        <f t="shared" ref="I58:I65" si="10">IFERROR((H58/G58),0)</f>
        <v>1.388157894736842</v>
      </c>
      <c r="J58" s="56">
        <f t="shared" ref="J58:J65" si="11">+I58*$J$6</f>
        <v>0.69407894736842102</v>
      </c>
      <c r="K58" s="48">
        <f>IFERROR(VLOOKUP($C58,'SLA UAC'!$G:$I,3,0),0)</f>
        <v>0</v>
      </c>
      <c r="L58" s="46">
        <f>IFERROR(VLOOKUP($C58,'SLA UAC'!$G:$I,2,0),0)</f>
        <v>0</v>
      </c>
      <c r="M58" s="47">
        <f t="shared" ref="M58:M65" si="12">IFERROR((L58/K58),0)</f>
        <v>0</v>
      </c>
      <c r="N58" s="49">
        <f t="shared" ref="N58:N65" si="13">+M58*$N$6</f>
        <v>0</v>
      </c>
      <c r="O58" s="128">
        <f t="shared" si="5"/>
        <v>0.69407894736842102</v>
      </c>
      <c r="P58" s="126">
        <f t="shared" si="6"/>
        <v>0.5</v>
      </c>
      <c r="Q58" s="127">
        <f t="shared" si="7"/>
        <v>1.39</v>
      </c>
      <c r="R58" s="71">
        <f>VLOOKUP(Q58,TABLA!$A$5:$D$16,4,1)</f>
        <v>1.2</v>
      </c>
      <c r="S58" s="50">
        <f>IFERROR(VLOOKUP(C58,CALIDAD!$AK$3:$AM$39,3,0),100%)</f>
        <v>1</v>
      </c>
      <c r="T58" s="72">
        <f>VLOOKUP(S58,TABLA!$A$20:$D$29,4,1)</f>
        <v>1.1000000000000001</v>
      </c>
      <c r="U58" s="152">
        <f>VLOOKUP(A58,EQUIPO!$B$6:$E$19,2,0)</f>
        <v>882</v>
      </c>
      <c r="V58" s="152">
        <f>VLOOKUP(A58,EQUIPO!$B$6:$E$19,3,0)</f>
        <v>1084</v>
      </c>
      <c r="W58" s="155">
        <f t="shared" ref="W58:W65" si="14">ROUND(V58/U58,2)</f>
        <v>1.23</v>
      </c>
      <c r="X58" s="77">
        <f t="shared" ref="X58:X65" si="15">IFERROR(IF(OR(M58&gt;=60%,K58=0),(R58*T58)*VLOOKUP(E58,$S$2:$U$4,3,0),0),0)/30*F58</f>
        <v>990</v>
      </c>
      <c r="Y58" s="53">
        <f>IF(AND(I58&gt;=1,E58="Especialista UAC"),VLOOKUP(W58,TABLA!$A$34:$D$38,4,1),0)/30*F58</f>
        <v>200</v>
      </c>
      <c r="Z58" s="54">
        <f t="shared" ref="Z58:Z65" si="16">SUM(X58:Y58)</f>
        <v>1190</v>
      </c>
      <c r="AA58" s="177"/>
      <c r="AB58" s="27"/>
      <c r="AC58" s="185"/>
      <c r="AD58" s="27"/>
      <c r="AE58" s="194"/>
      <c r="AF58" s="194"/>
    </row>
    <row r="59" spans="1:32" x14ac:dyDescent="0.2">
      <c r="A59" s="43" t="str">
        <f>VLOOKUP(C59,'PRODUCTIVIDAD UAC'!$H$21:$I$83,2,0)</f>
        <v>G8</v>
      </c>
      <c r="B59" s="43" t="str">
        <f>VLOOKUP(A59,'PRODUCTIVIDAD UAC'!$B$3:$C$17,2,0)</f>
        <v xml:space="preserve">MINAURO DUARTE TREICY </v>
      </c>
      <c r="C59" s="161">
        <v>12896585</v>
      </c>
      <c r="D59" s="45" t="str">
        <f>VLOOKUP(C59,Homologacion!$E$1:$F$92,2,0)</f>
        <v>DOCARMO VILLALBA NICOLAS LUYO</v>
      </c>
      <c r="E59" s="26" t="str">
        <f>VLOOKUP(C59,Homologacion!$E$1:$G$92,3,0)</f>
        <v>Especialista UAC</v>
      </c>
      <c r="F59" s="156">
        <v>27</v>
      </c>
      <c r="G59" s="152">
        <f>VLOOKUP($C59,'PRODUCTIVIDAD UAC'!$K:$O,4,0)</f>
        <v>152</v>
      </c>
      <c r="H59" s="46">
        <f>VLOOKUP($C59,'PRODUCTIVIDAD UAC'!$K:$O,5,0)</f>
        <v>202</v>
      </c>
      <c r="I59" s="47">
        <f t="shared" si="10"/>
        <v>1.3289473684210527</v>
      </c>
      <c r="J59" s="56">
        <f t="shared" si="11"/>
        <v>0.66447368421052633</v>
      </c>
      <c r="K59" s="48">
        <f>IFERROR(VLOOKUP($C59,'SLA UAC'!$G:$I,3,0),0)</f>
        <v>28</v>
      </c>
      <c r="L59" s="46">
        <f>IFERROR(VLOOKUP($C59,'SLA UAC'!$G:$I,2,0),0)</f>
        <v>18</v>
      </c>
      <c r="M59" s="47">
        <f t="shared" si="12"/>
        <v>0.6428571428571429</v>
      </c>
      <c r="N59" s="49">
        <f t="shared" si="13"/>
        <v>0.32142857142857145</v>
      </c>
      <c r="O59" s="128">
        <f t="shared" si="5"/>
        <v>0.98590225563909772</v>
      </c>
      <c r="P59" s="126">
        <f t="shared" si="6"/>
        <v>1</v>
      </c>
      <c r="Q59" s="127">
        <f t="shared" si="7"/>
        <v>0.99</v>
      </c>
      <c r="R59" s="71">
        <f>VLOOKUP(Q59,TABLA!$A$5:$D$16,4,1)</f>
        <v>1</v>
      </c>
      <c r="S59" s="50">
        <f>IFERROR(VLOOKUP(C59,CALIDAD!$AK$3:$AM$39,3,0),100%)</f>
        <v>1</v>
      </c>
      <c r="T59" s="72">
        <f>VLOOKUP(S59,TABLA!$A$20:$D$29,4,1)</f>
        <v>1.1000000000000001</v>
      </c>
      <c r="U59" s="152">
        <f>VLOOKUP(A59,EQUIPO!$B$6:$E$19,2,0)</f>
        <v>882</v>
      </c>
      <c r="V59" s="152">
        <f>VLOOKUP(A59,EQUIPO!$B$6:$E$19,3,0)</f>
        <v>1084</v>
      </c>
      <c r="W59" s="155">
        <f t="shared" si="14"/>
        <v>1.23</v>
      </c>
      <c r="X59" s="77">
        <f t="shared" si="15"/>
        <v>742.50000000000011</v>
      </c>
      <c r="Y59" s="53">
        <f>IF(AND(I59&gt;=1,E59="Especialista UAC"),VLOOKUP(W59,TABLA!$A$34:$D$38,4,1),0)/30*F59</f>
        <v>180</v>
      </c>
      <c r="Z59" s="54">
        <f t="shared" si="16"/>
        <v>922.50000000000011</v>
      </c>
      <c r="AA59" s="177"/>
      <c r="AB59" s="27"/>
      <c r="AC59" s="185"/>
      <c r="AD59" s="27"/>
      <c r="AE59" s="194"/>
      <c r="AF59" s="194"/>
    </row>
    <row r="60" spans="1:32" x14ac:dyDescent="0.2">
      <c r="A60" s="43" t="str">
        <f>VLOOKUP(C60,'PRODUCTIVIDAD UAC'!$H$21:$I$83,2,0)</f>
        <v>G8</v>
      </c>
      <c r="B60" s="43" t="str">
        <f>VLOOKUP(A60,'PRODUCTIVIDAD UAC'!$B$3:$C$17,2,0)</f>
        <v xml:space="preserve">MINAURO DUARTE TREICY </v>
      </c>
      <c r="C60" s="161">
        <v>12896586</v>
      </c>
      <c r="D60" s="45" t="str">
        <f>VLOOKUP(C60,Homologacion!$E$1:$F$92,2,0)</f>
        <v>DOMINGUES CARDOZO NULPI YEFERSON</v>
      </c>
      <c r="E60" s="26" t="str">
        <f>VLOOKUP(C60,Homologacion!$E$1:$G$92,3,0)</f>
        <v>Apoyo UAC</v>
      </c>
      <c r="F60" s="156">
        <v>30</v>
      </c>
      <c r="G60" s="152">
        <f>VLOOKUP($C60,'PRODUCTIVIDAD UAC'!$K:$O,4,0)</f>
        <v>136</v>
      </c>
      <c r="H60" s="46">
        <f>VLOOKUP($C60,'PRODUCTIVIDAD UAC'!$K:$O,5,0)</f>
        <v>162</v>
      </c>
      <c r="I60" s="47">
        <f t="shared" si="10"/>
        <v>1.1911764705882353</v>
      </c>
      <c r="J60" s="56">
        <f t="shared" si="11"/>
        <v>0.59558823529411764</v>
      </c>
      <c r="K60" s="48">
        <f>IFERROR(VLOOKUP($C60,'SLA UAC'!$G:$I,3,0),0)</f>
        <v>124</v>
      </c>
      <c r="L60" s="46">
        <f>IFERROR(VLOOKUP($C60,'SLA UAC'!$G:$I,2,0),0)</f>
        <v>124</v>
      </c>
      <c r="M60" s="47">
        <f t="shared" si="12"/>
        <v>1</v>
      </c>
      <c r="N60" s="49">
        <f t="shared" si="13"/>
        <v>0.5</v>
      </c>
      <c r="O60" s="128">
        <f t="shared" si="5"/>
        <v>1.0955882352941178</v>
      </c>
      <c r="P60" s="126">
        <f t="shared" si="6"/>
        <v>1</v>
      </c>
      <c r="Q60" s="127">
        <f t="shared" si="7"/>
        <v>1.1000000000000001</v>
      </c>
      <c r="R60" s="71">
        <f>VLOOKUP(Q60,TABLA!$A$5:$D$16,4,1)</f>
        <v>1.1000000000000001</v>
      </c>
      <c r="S60" s="50">
        <f>IFERROR(VLOOKUP(C60,CALIDAD!$AK$3:$AM$39,3,0),100%)</f>
        <v>1</v>
      </c>
      <c r="T60" s="72">
        <f>VLOOKUP(S60,TABLA!$A$20:$D$29,4,1)</f>
        <v>1.1000000000000001</v>
      </c>
      <c r="U60" s="152">
        <f>VLOOKUP(A60,EQUIPO!$B$6:$E$19,2,0)</f>
        <v>882</v>
      </c>
      <c r="V60" s="152">
        <f>VLOOKUP(A60,EQUIPO!$B$6:$E$19,3,0)</f>
        <v>1084</v>
      </c>
      <c r="W60" s="155">
        <f t="shared" si="14"/>
        <v>1.23</v>
      </c>
      <c r="X60" s="77">
        <f t="shared" si="15"/>
        <v>363.00000000000006</v>
      </c>
      <c r="Y60" s="53">
        <f>IF(AND(I60&gt;=1,E60="Especialista UAC"),VLOOKUP(W60,TABLA!$A$34:$D$38,4,1),0)/30*F60</f>
        <v>0</v>
      </c>
      <c r="Z60" s="54">
        <f t="shared" si="16"/>
        <v>363.00000000000006</v>
      </c>
      <c r="AA60" s="177"/>
      <c r="AB60" s="27"/>
      <c r="AC60" s="185"/>
      <c r="AD60" s="27"/>
      <c r="AE60" s="194"/>
      <c r="AF60" s="194"/>
    </row>
    <row r="61" spans="1:32" x14ac:dyDescent="0.2">
      <c r="A61" s="43" t="str">
        <f>VLOOKUP(C61,'PRODUCTIVIDAD UAC'!$H$21:$I$83,2,0)</f>
        <v>G8</v>
      </c>
      <c r="B61" s="43" t="str">
        <f>VLOOKUP(A61,'PRODUCTIVIDAD UAC'!$B$3:$C$17,2,0)</f>
        <v xml:space="preserve">MINAURO DUARTE TREICY </v>
      </c>
      <c r="C61" s="161">
        <v>12896587</v>
      </c>
      <c r="D61" s="45" t="str">
        <f>VLOOKUP(C61,Homologacion!$E$1:$F$92,2,0)</f>
        <v>DORADOR NAVARRO PABLO HAROLD</v>
      </c>
      <c r="E61" s="26" t="str">
        <f>VLOOKUP(C61,Homologacion!$E$1:$G$92,3,0)</f>
        <v>Apoyo UAC</v>
      </c>
      <c r="F61" s="156">
        <v>30</v>
      </c>
      <c r="G61" s="152">
        <f>VLOOKUP($C61,'PRODUCTIVIDAD UAC'!$K:$O,4,0)</f>
        <v>152</v>
      </c>
      <c r="H61" s="46">
        <f>VLOOKUP($C61,'PRODUCTIVIDAD UAC'!$K:$O,5,0)</f>
        <v>146</v>
      </c>
      <c r="I61" s="47">
        <f t="shared" si="10"/>
        <v>0.96052631578947367</v>
      </c>
      <c r="J61" s="56">
        <f t="shared" si="11"/>
        <v>0.48026315789473684</v>
      </c>
      <c r="K61" s="48">
        <f>IFERROR(VLOOKUP($C61,'SLA UAC'!$G:$I,3,0),0)</f>
        <v>84</v>
      </c>
      <c r="L61" s="46">
        <f>IFERROR(VLOOKUP($C61,'SLA UAC'!$G:$I,2,0),0)</f>
        <v>84</v>
      </c>
      <c r="M61" s="47">
        <f t="shared" si="12"/>
        <v>1</v>
      </c>
      <c r="N61" s="49">
        <f t="shared" si="13"/>
        <v>0.5</v>
      </c>
      <c r="O61" s="128">
        <f t="shared" si="5"/>
        <v>0.98026315789473684</v>
      </c>
      <c r="P61" s="126">
        <f t="shared" si="6"/>
        <v>1</v>
      </c>
      <c r="Q61" s="127">
        <f t="shared" si="7"/>
        <v>0.98</v>
      </c>
      <c r="R61" s="71">
        <f>VLOOKUP(Q61,TABLA!$A$5:$D$16,4,1)</f>
        <v>1</v>
      </c>
      <c r="S61" s="50">
        <f>IFERROR(VLOOKUP(C61,CALIDAD!$AK$3:$AM$39,3,0),100%)</f>
        <v>1</v>
      </c>
      <c r="T61" s="72">
        <f>VLOOKUP(S61,TABLA!$A$20:$D$29,4,1)</f>
        <v>1.1000000000000001</v>
      </c>
      <c r="U61" s="152">
        <f>VLOOKUP(A61,EQUIPO!$B$6:$E$19,2,0)</f>
        <v>882</v>
      </c>
      <c r="V61" s="152">
        <f>VLOOKUP(A61,EQUIPO!$B$6:$E$19,3,0)</f>
        <v>1084</v>
      </c>
      <c r="W61" s="47">
        <f t="shared" si="14"/>
        <v>1.23</v>
      </c>
      <c r="X61" s="77">
        <f t="shared" si="15"/>
        <v>330</v>
      </c>
      <c r="Y61" s="53">
        <f>IF(AND(I61&gt;=1,E61="Especialista UAC"),VLOOKUP(W61,TABLA!$A$34:$D$38,4,1),0)/30*F61</f>
        <v>0</v>
      </c>
      <c r="Z61" s="54">
        <f t="shared" si="16"/>
        <v>330</v>
      </c>
      <c r="AA61" s="177"/>
      <c r="AB61" s="27"/>
      <c r="AC61" s="185"/>
      <c r="AD61" s="27"/>
      <c r="AE61" s="194"/>
      <c r="AF61" s="194"/>
    </row>
    <row r="62" spans="1:32" x14ac:dyDescent="0.2">
      <c r="A62" s="43" t="str">
        <f>VLOOKUP(C62,'PRODUCTIVIDAD UAC'!$H$21:$I$82,2,0)</f>
        <v>G8</v>
      </c>
      <c r="B62" s="43" t="str">
        <f>VLOOKUP(A62,'PRODUCTIVIDAD UAC'!$B$3:$C$17,2,0)</f>
        <v xml:space="preserve">MINAURO DUARTE TREICY </v>
      </c>
      <c r="C62" s="161">
        <v>12896588</v>
      </c>
      <c r="D62" s="45" t="str">
        <f>VLOOKUP(C62,Homologacion!$E$1:$F$92,2,0)</f>
        <v>DORREGO RAMOS PATRÍCIO SANTOS</v>
      </c>
      <c r="E62" s="26" t="str">
        <f>VLOOKUP(C62,Homologacion!$E$1:$G$92,3,0)</f>
        <v>Apoyo UAC</v>
      </c>
      <c r="F62" s="156">
        <v>22</v>
      </c>
      <c r="G62" s="152">
        <f>VLOOKUP($C62,'PRODUCTIVIDAD UAC'!$K:$O,4,0)</f>
        <v>141</v>
      </c>
      <c r="H62" s="46">
        <f>VLOOKUP($C62,'PRODUCTIVIDAD UAC'!$K:$O,5,0)</f>
        <v>143</v>
      </c>
      <c r="I62" s="47">
        <f t="shared" si="10"/>
        <v>1.0141843971631206</v>
      </c>
      <c r="J62" s="56">
        <f t="shared" si="11"/>
        <v>0.50709219858156029</v>
      </c>
      <c r="K62" s="48">
        <f>IFERROR(VLOOKUP($C62,'SLA UAC'!$G:$I,3,0),0)</f>
        <v>26</v>
      </c>
      <c r="L62" s="46">
        <f>IFERROR(VLOOKUP($C62,'SLA UAC'!$G:$I,2,0),0)</f>
        <v>23</v>
      </c>
      <c r="M62" s="47">
        <f t="shared" si="12"/>
        <v>0.88461538461538458</v>
      </c>
      <c r="N62" s="49">
        <f t="shared" si="13"/>
        <v>0.44230769230769229</v>
      </c>
      <c r="O62" s="128">
        <f t="shared" si="5"/>
        <v>0.94939989088925258</v>
      </c>
      <c r="P62" s="126">
        <f t="shared" si="6"/>
        <v>1</v>
      </c>
      <c r="Q62" s="127">
        <f t="shared" si="7"/>
        <v>0.95</v>
      </c>
      <c r="R62" s="71">
        <f>VLOOKUP(Q62,TABLA!$A$5:$D$16,4,1)</f>
        <v>0.95</v>
      </c>
      <c r="S62" s="50">
        <f>IFERROR(VLOOKUP(C62,CALIDAD!$AK$3:$AM$39,3,0),100%)</f>
        <v>1</v>
      </c>
      <c r="T62" s="72">
        <f>VLOOKUP(S62,TABLA!$A$20:$D$29,4,1)</f>
        <v>1.1000000000000001</v>
      </c>
      <c r="U62" s="152">
        <f>VLOOKUP(A62,EQUIPO!$B$6:$E$19,2,0)</f>
        <v>882</v>
      </c>
      <c r="V62" s="152">
        <f>VLOOKUP(A62,EQUIPO!$B$6:$E$19,3,0)</f>
        <v>1084</v>
      </c>
      <c r="W62" s="155">
        <f t="shared" si="14"/>
        <v>1.23</v>
      </c>
      <c r="X62" s="77">
        <f t="shared" si="15"/>
        <v>229.89999999999998</v>
      </c>
      <c r="Y62" s="53">
        <f>IF(AND(I62&gt;=1,E62="Especialista UAC"),VLOOKUP(W62,TABLA!$A$34:$D$38,4,1),0)/30*F62</f>
        <v>0</v>
      </c>
      <c r="Z62" s="54">
        <f t="shared" si="16"/>
        <v>229.89999999999998</v>
      </c>
      <c r="AA62" s="177"/>
      <c r="AB62" s="27"/>
      <c r="AC62" s="185"/>
      <c r="AD62" s="27"/>
      <c r="AE62" s="194"/>
      <c r="AF62" s="194"/>
    </row>
    <row r="63" spans="1:32" x14ac:dyDescent="0.2">
      <c r="A63" s="43" t="str">
        <f>VLOOKUP(C63,'PRODUCTIVIDAD UAC'!$H$21:$I$82,2,0)</f>
        <v>Alo Banco</v>
      </c>
      <c r="B63" s="43" t="str">
        <f>VLOOKUP(A63,'PRODUCTIVIDAD UAC'!$B$3:$C$17,2,0)</f>
        <v>Elka Mendoza Reategui</v>
      </c>
      <c r="C63" s="161">
        <v>12896589</v>
      </c>
      <c r="D63" s="45" t="str">
        <f>VLOOKUP(C63,Homologacion!$E$1:$F$92,2,0)</f>
        <v>DOS ARIAS PEDRO ELISA</v>
      </c>
      <c r="E63" s="26" t="str">
        <f>VLOOKUP(C63,Homologacion!$E$1:$G$92,3,0)</f>
        <v>Apoyo UAC</v>
      </c>
      <c r="F63" s="156">
        <v>21</v>
      </c>
      <c r="G63" s="152">
        <f>VLOOKUP($C63,'PRODUCTIVIDAD UAC'!$K:$O,4,0)</f>
        <v>90</v>
      </c>
      <c r="H63" s="46">
        <f>VLOOKUP($C63,'PRODUCTIVIDAD UAC'!$K:$O,5,0)</f>
        <v>87</v>
      </c>
      <c r="I63" s="47">
        <f t="shared" si="10"/>
        <v>0.96666666666666667</v>
      </c>
      <c r="J63" s="56">
        <f t="shared" si="11"/>
        <v>0.48333333333333334</v>
      </c>
      <c r="K63" s="48">
        <f>IFERROR(VLOOKUP($C63,'SLA UAC'!$G:$I,3,0),0)</f>
        <v>85</v>
      </c>
      <c r="L63" s="46">
        <f>IFERROR(VLOOKUP($C63,'SLA UAC'!$G:$I,2,0),0)</f>
        <v>63</v>
      </c>
      <c r="M63" s="47">
        <f t="shared" si="12"/>
        <v>0.74117647058823533</v>
      </c>
      <c r="N63" s="49">
        <f t="shared" si="13"/>
        <v>0.37058823529411766</v>
      </c>
      <c r="O63" s="128">
        <f t="shared" si="5"/>
        <v>0.85392156862745106</v>
      </c>
      <c r="P63" s="126">
        <f t="shared" si="6"/>
        <v>1</v>
      </c>
      <c r="Q63" s="127">
        <f t="shared" si="7"/>
        <v>0.85</v>
      </c>
      <c r="R63" s="71">
        <f>VLOOKUP(Q63,TABLA!$A$5:$D$16,4,1)</f>
        <v>0.8</v>
      </c>
      <c r="S63" s="50">
        <f>IFERROR(VLOOKUP(C63,CALIDAD!$AK$3:$AM$39,3,0),100%)</f>
        <v>1</v>
      </c>
      <c r="T63" s="72">
        <f>VLOOKUP(S63,TABLA!$A$20:$D$29,4,1)</f>
        <v>1.1000000000000001</v>
      </c>
      <c r="U63" s="152">
        <f>VLOOKUP(A63,EQUIPO!$B$6:$E$19,2,0)</f>
        <v>123.75</v>
      </c>
      <c r="V63" s="152">
        <f>VLOOKUP(A63,EQUIPO!$B$6:$E$19,3,0)</f>
        <v>132</v>
      </c>
      <c r="W63" s="155">
        <f t="shared" si="14"/>
        <v>1.07</v>
      </c>
      <c r="X63" s="77">
        <f t="shared" si="15"/>
        <v>184.80000000000004</v>
      </c>
      <c r="Y63" s="53">
        <f>IF(AND(I63&gt;=1,E63="Especialista UAC"),VLOOKUP(W63,TABLA!$A$34:$D$38,4,1),0)/30*F63</f>
        <v>0</v>
      </c>
      <c r="Z63" s="54">
        <f t="shared" si="16"/>
        <v>184.80000000000004</v>
      </c>
      <c r="AA63" s="177"/>
      <c r="AB63" s="27"/>
      <c r="AC63" s="185"/>
      <c r="AD63" s="27"/>
      <c r="AE63" s="194"/>
      <c r="AF63" s="194"/>
    </row>
    <row r="64" spans="1:32" x14ac:dyDescent="0.2">
      <c r="A64" s="43" t="str">
        <f>VLOOKUP(C64,'PRODUCTIVIDAD UAC'!$H$21:$I$82,2,0)</f>
        <v>Alo Banco</v>
      </c>
      <c r="B64" s="43" t="str">
        <f>VLOOKUP(A64,'PRODUCTIVIDAD UAC'!$B$3:$C$17,2,0)</f>
        <v>Elka Mendoza Reategui</v>
      </c>
      <c r="C64" s="161">
        <v>12896590</v>
      </c>
      <c r="D64" s="45" t="str">
        <f>VLOOKUP(C64,Homologacion!$E$1:$F$92,2,0)</f>
        <v>DOSANTOS CORONEL PEHUEN JESSENIA</v>
      </c>
      <c r="E64" s="26" t="str">
        <f>VLOOKUP(C64,Homologacion!$E$1:$G$92,3,0)</f>
        <v>Apoyo UAC</v>
      </c>
      <c r="F64" s="156">
        <v>15</v>
      </c>
      <c r="G64" s="152">
        <f>VLOOKUP($C64,'PRODUCTIVIDAD UAC'!$K:$O,4,0)</f>
        <v>33.75</v>
      </c>
      <c r="H64" s="46">
        <f>VLOOKUP($C64,'PRODUCTIVIDAD UAC'!$K:$O,5,0)</f>
        <v>45</v>
      </c>
      <c r="I64" s="47">
        <f t="shared" si="10"/>
        <v>1.3333333333333333</v>
      </c>
      <c r="J64" s="56">
        <f t="shared" si="11"/>
        <v>0.66666666666666663</v>
      </c>
      <c r="K64" s="48">
        <f>IFERROR(VLOOKUP($C64,'SLA UAC'!$G:$I,3,0),0)</f>
        <v>39</v>
      </c>
      <c r="L64" s="46">
        <f>IFERROR(VLOOKUP($C64,'SLA UAC'!$G:$I,2,0),0)</f>
        <v>31</v>
      </c>
      <c r="M64" s="47">
        <f t="shared" si="12"/>
        <v>0.79487179487179482</v>
      </c>
      <c r="N64" s="49">
        <f t="shared" si="13"/>
        <v>0.39743589743589741</v>
      </c>
      <c r="O64" s="128">
        <f t="shared" si="5"/>
        <v>1.0641025641025641</v>
      </c>
      <c r="P64" s="126">
        <f t="shared" si="6"/>
        <v>1</v>
      </c>
      <c r="Q64" s="127">
        <f t="shared" si="7"/>
        <v>1.06</v>
      </c>
      <c r="R64" s="71">
        <f>VLOOKUP(Q64,TABLA!$A$5:$D$16,4,1)</f>
        <v>1.1000000000000001</v>
      </c>
      <c r="S64" s="50">
        <f>IFERROR(VLOOKUP(C64,CALIDAD!$AK$3:$AM$39,3,0),100%)</f>
        <v>1</v>
      </c>
      <c r="T64" s="72">
        <f>VLOOKUP(S64,TABLA!$A$20:$D$29,4,1)</f>
        <v>1.1000000000000001</v>
      </c>
      <c r="U64" s="152">
        <f>VLOOKUP(A64,EQUIPO!$B$6:$E$19,2,0)</f>
        <v>123.75</v>
      </c>
      <c r="V64" s="152">
        <f>VLOOKUP(A64,EQUIPO!$B$6:$E$19,3,0)</f>
        <v>132</v>
      </c>
      <c r="W64" s="155">
        <f t="shared" si="14"/>
        <v>1.07</v>
      </c>
      <c r="X64" s="77">
        <f t="shared" si="15"/>
        <v>181.50000000000003</v>
      </c>
      <c r="Y64" s="53">
        <f>IF(AND(I64&gt;=1,E64="Especialista UAC"),VLOOKUP(W64,TABLA!$A$34:$D$38,4,1),0)/30*F64</f>
        <v>0</v>
      </c>
      <c r="Z64" s="54">
        <f t="shared" si="16"/>
        <v>181.50000000000003</v>
      </c>
      <c r="AA64" s="177"/>
      <c r="AB64" s="27"/>
      <c r="AC64" s="185"/>
      <c r="AD64" s="27"/>
      <c r="AE64" s="194"/>
      <c r="AF64" s="194"/>
    </row>
    <row r="65" spans="1:32" x14ac:dyDescent="0.2">
      <c r="A65" s="43" t="str">
        <f>VLOOKUP(C65,'PRODUCTIVIDAD UAC'!$H$21:$I$83,2,0)</f>
        <v>Masivos</v>
      </c>
      <c r="B65" s="43" t="str">
        <f>VLOOKUP(A65,'PRODUCTIVIDAD UAC'!$B$3:$C$17,2,0)</f>
        <v>Elka Mendoza Reategui</v>
      </c>
      <c r="C65" s="161">
        <v>12896591</v>
      </c>
      <c r="D65" s="45" t="str">
        <f>VLOOKUP(C65,Homologacion!$E$1:$F$92,2,0)</f>
        <v>EVANGELISTA CÓRDOBA PICHI JANETH</v>
      </c>
      <c r="E65" s="26" t="str">
        <f>VLOOKUP(C65,Homologacion!$E$1:$G$92,3,0)</f>
        <v>Especialista UAC</v>
      </c>
      <c r="F65" s="156">
        <v>27</v>
      </c>
      <c r="G65" s="152">
        <f>VLOOKUP($C65,'PRODUCTIVIDAD UAC'!$K:$O,4,0)</f>
        <v>60</v>
      </c>
      <c r="H65" s="46">
        <f>VLOOKUP($C65,'PRODUCTIVIDAD UAC'!$K:$O,5,0)</f>
        <v>110</v>
      </c>
      <c r="I65" s="47">
        <f t="shared" si="10"/>
        <v>1.8333333333333333</v>
      </c>
      <c r="J65" s="56">
        <f t="shared" si="11"/>
        <v>0.91666666666666663</v>
      </c>
      <c r="K65" s="48">
        <f>IFERROR(VLOOKUP($C65,'SLA UAC'!$G:$I,3,0),0)</f>
        <v>93</v>
      </c>
      <c r="L65" s="46">
        <f>IFERROR(VLOOKUP($C65,'SLA UAC'!$G:$I,2,0),0)</f>
        <v>73</v>
      </c>
      <c r="M65" s="47">
        <f t="shared" si="12"/>
        <v>0.78494623655913975</v>
      </c>
      <c r="N65" s="49">
        <f t="shared" si="13"/>
        <v>0.39247311827956988</v>
      </c>
      <c r="O65" s="128">
        <f t="shared" si="5"/>
        <v>1.3091397849462365</v>
      </c>
      <c r="P65" s="126">
        <f t="shared" si="6"/>
        <v>1</v>
      </c>
      <c r="Q65" s="127">
        <f t="shared" si="7"/>
        <v>1.31</v>
      </c>
      <c r="R65" s="71">
        <f>VLOOKUP(Q65,TABLA!$A$5:$D$16,4,1)</f>
        <v>1.2</v>
      </c>
      <c r="S65" s="50">
        <f>IFERROR(VLOOKUP(C65,CALIDAD!$AK$3:$AM$39,3,0),100%)</f>
        <v>1</v>
      </c>
      <c r="T65" s="72">
        <f>VLOOKUP(S65,TABLA!$A$20:$D$29,4,1)</f>
        <v>1.1000000000000001</v>
      </c>
      <c r="U65" s="152">
        <f>VLOOKUP(A65,EQUIPO!$B$6:$E$19,2,0)</f>
        <v>60</v>
      </c>
      <c r="V65" s="152">
        <f>VLOOKUP(A65,EQUIPO!$B$6:$E$19,3,0)</f>
        <v>110</v>
      </c>
      <c r="W65" s="155">
        <f t="shared" si="14"/>
        <v>1.83</v>
      </c>
      <c r="X65" s="77">
        <f t="shared" si="15"/>
        <v>891</v>
      </c>
      <c r="Y65" s="53">
        <f>IF(AND(I65&gt;=1,E65="Especialista UAC"),VLOOKUP(W65,TABLA!$A$34:$D$38,4,1),0)/30*F65</f>
        <v>180</v>
      </c>
      <c r="Z65" s="54">
        <f t="shared" si="16"/>
        <v>1071</v>
      </c>
      <c r="AA65" s="177"/>
      <c r="AB65" s="27"/>
      <c r="AC65" s="185"/>
      <c r="AD65" s="27"/>
      <c r="AE65" s="194"/>
      <c r="AF65" s="194"/>
    </row>
    <row r="66" spans="1:32" x14ac:dyDescent="0.2">
      <c r="A66" s="43"/>
      <c r="B66" s="43"/>
      <c r="C66" s="60">
        <v>12896603</v>
      </c>
      <c r="D66" s="45" t="str">
        <f>VLOOKUP(C66,Homologacion!$E$1:$F$92,2,0)</f>
        <v>JUNIOR MÉNDEZ VICENTE CANDY</v>
      </c>
      <c r="E66" s="26" t="str">
        <f>VLOOKUP(C66,Homologacion!$E$1:$G$92,3,0)</f>
        <v>Apoyo UAC</v>
      </c>
      <c r="F66" s="156">
        <v>27</v>
      </c>
      <c r="G66" s="152"/>
      <c r="H66" s="46"/>
      <c r="I66" s="47"/>
      <c r="J66" s="56"/>
      <c r="K66" s="48"/>
      <c r="L66" s="46"/>
      <c r="M66" s="47"/>
      <c r="N66" s="49"/>
      <c r="O66" s="128">
        <f>SUM(J66,N66)</f>
        <v>0</v>
      </c>
      <c r="P66" s="126">
        <f>SUMIF(K66,"&lt;&gt;0",$N$6)+SUMIF(G66,"&lt;&gt;0",$J$6)</f>
        <v>1</v>
      </c>
      <c r="Q66" s="127">
        <f>ROUND(O66/P66,2)</f>
        <v>0</v>
      </c>
      <c r="R66" s="71">
        <f>VLOOKUP(Q66,TABLA!$A$5:$D$16,4,1)</f>
        <v>0</v>
      </c>
      <c r="S66" s="50"/>
      <c r="T66" s="72"/>
      <c r="U66" s="44"/>
      <c r="V66" s="46"/>
      <c r="W66" s="47"/>
      <c r="X66" s="77">
        <v>544.44333333333327</v>
      </c>
      <c r="Y66" s="53">
        <f>IF(AND(I66&gt;=1,E66="Especialista UAC"),VLOOKUP(W66,TABLA!$A$34:$D$38,4,1),0)/30*F66</f>
        <v>0</v>
      </c>
      <c r="Z66" s="54">
        <f>+X66*F66/30</f>
        <v>489.99899999999991</v>
      </c>
      <c r="AA66" s="177"/>
      <c r="AB66" s="27"/>
      <c r="AC66" s="185"/>
      <c r="AD66" s="27"/>
      <c r="AE66" s="194"/>
      <c r="AF66" s="194"/>
    </row>
    <row r="67" spans="1:32" x14ac:dyDescent="0.2">
      <c r="A67" s="43"/>
      <c r="B67" s="43"/>
      <c r="C67" s="161">
        <v>12896604</v>
      </c>
      <c r="D67" s="45" t="str">
        <f>VLOOKUP(C67,Homologacion!$E$1:$F$92,2,0)</f>
        <v>LEANDRO LUCERO VICTOR ROSA</v>
      </c>
      <c r="E67" s="26" t="str">
        <f>VLOOKUP(C67,Homologacion!$E$1:$G$92,3,0)</f>
        <v>Apoyo UAC</v>
      </c>
      <c r="F67" s="156">
        <v>15</v>
      </c>
      <c r="G67" s="152"/>
      <c r="H67" s="46"/>
      <c r="I67" s="47"/>
      <c r="J67" s="56"/>
      <c r="K67" s="48"/>
      <c r="L67" s="46"/>
      <c r="M67" s="47"/>
      <c r="N67" s="49"/>
      <c r="O67" s="128">
        <f>SUM(J67,N67)</f>
        <v>0</v>
      </c>
      <c r="P67" s="126">
        <f>SUMIF(K67,"&lt;&gt;0",$N$6)+SUMIF(G67,"&lt;&gt;0",$J$6)</f>
        <v>1</v>
      </c>
      <c r="Q67" s="127">
        <f>ROUND(O67/P67,2)</f>
        <v>0</v>
      </c>
      <c r="R67" s="71">
        <f>VLOOKUP(Q67,TABLA!$A$5:$D$16,4,1)</f>
        <v>0</v>
      </c>
      <c r="S67" s="50"/>
      <c r="T67" s="72"/>
      <c r="U67" s="152"/>
      <c r="V67" s="152"/>
      <c r="W67" s="155"/>
      <c r="X67" s="77">
        <v>285.89999999999998</v>
      </c>
      <c r="Y67" s="53">
        <f>IF(AND(I67&gt;=1,E67="Especialista UAC"),VLOOKUP(W67,TABLA!$A$34:$D$38,4,1),0)/30*F67</f>
        <v>0</v>
      </c>
      <c r="Z67" s="54">
        <f>+X67*F67/30</f>
        <v>142.94999999999999</v>
      </c>
      <c r="AA67" s="177"/>
      <c r="AB67" s="27"/>
      <c r="AC67" s="185"/>
      <c r="AD67" s="27"/>
      <c r="AE67" s="194"/>
      <c r="AF67" s="194"/>
    </row>
    <row r="68" spans="1:32" x14ac:dyDescent="0.2">
      <c r="A68" s="43"/>
      <c r="B68" s="43"/>
      <c r="C68" s="161">
        <v>12896605</v>
      </c>
      <c r="D68" s="45" t="str">
        <f>VLOOKUP(C68,Homologacion!$E$1:$F$92,2,0)</f>
        <v>LEAO CRUZ XAVIER YACO YOEL</v>
      </c>
      <c r="E68" s="26" t="str">
        <f>VLOOKUP(C68,Homologacion!$E$1:$G$92,3,0)</f>
        <v>Apoyo UAC</v>
      </c>
      <c r="F68" s="156">
        <v>30</v>
      </c>
      <c r="G68" s="152"/>
      <c r="H68" s="46"/>
      <c r="I68" s="47"/>
      <c r="J68" s="56"/>
      <c r="K68" s="48"/>
      <c r="L68" s="46"/>
      <c r="M68" s="47"/>
      <c r="N68" s="49"/>
      <c r="O68" s="128">
        <f>SUM(J68,N68)</f>
        <v>0</v>
      </c>
      <c r="P68" s="126">
        <f>SUMIF(K68,"&lt;&gt;0",$N$6)+SUMIF(G68,"&lt;&gt;0",$J$6)</f>
        <v>1</v>
      </c>
      <c r="Q68" s="127">
        <f>ROUND(O68/P68,2)</f>
        <v>0</v>
      </c>
      <c r="R68" s="71">
        <f>VLOOKUP(Q68,TABLA!$A$5:$D$16,4,1)</f>
        <v>0</v>
      </c>
      <c r="S68" s="50"/>
      <c r="T68" s="72"/>
      <c r="U68" s="152"/>
      <c r="V68" s="152"/>
      <c r="W68" s="155"/>
      <c r="X68" s="77">
        <v>297</v>
      </c>
      <c r="Y68" s="53">
        <f>IF(AND(I68&gt;=1,E68="Especialista UAC"),VLOOKUP(W68,TABLA!$A$34:$D$38,4,1),0)/30*F68</f>
        <v>0</v>
      </c>
      <c r="Z68" s="54">
        <f>+X68*F68/30</f>
        <v>297</v>
      </c>
      <c r="AA68" s="177"/>
      <c r="AB68" s="27"/>
      <c r="AC68" s="185"/>
      <c r="AD68" s="27"/>
      <c r="AE68" s="194"/>
      <c r="AF68" s="194"/>
    </row>
  </sheetData>
  <autoFilter ref="A7:Z68"/>
  <sortState ref="C8:AE93">
    <sortCondition ref="E8:E93"/>
  </sortState>
  <mergeCells count="11">
    <mergeCell ref="G6:I6"/>
    <mergeCell ref="K6:M6"/>
    <mergeCell ref="O6:R6"/>
    <mergeCell ref="Z4:Z5"/>
    <mergeCell ref="AA4:AA5"/>
    <mergeCell ref="AA6:AA7"/>
    <mergeCell ref="S3:T3"/>
    <mergeCell ref="S2:T2"/>
    <mergeCell ref="S4:T4"/>
    <mergeCell ref="U6:W6"/>
    <mergeCell ref="S6:T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47"/>
  <sheetViews>
    <sheetView zoomScale="75" zoomScaleNormal="75" workbookViewId="0">
      <selection activeCell="A12" sqref="A12"/>
    </sheetView>
  </sheetViews>
  <sheetFormatPr baseColWidth="10" defaultColWidth="11.42578125" defaultRowHeight="12.75" outlineLevelCol="1" x14ac:dyDescent="0.2"/>
  <cols>
    <col min="1" max="1" width="27" style="20" bestFit="1" customWidth="1"/>
    <col min="2" max="2" width="15.7109375" style="20" bestFit="1" customWidth="1"/>
    <col min="3" max="3" width="6.28515625" style="80" bestFit="1" customWidth="1"/>
    <col min="4" max="4" width="12.85546875" style="80" bestFit="1" customWidth="1"/>
    <col min="5" max="5" width="19.5703125" style="73" bestFit="1" customWidth="1"/>
    <col min="6" max="6" width="19.140625" style="73" bestFit="1" customWidth="1"/>
    <col min="7" max="7" width="40" style="73" bestFit="1" customWidth="1"/>
    <col min="8" max="8" width="15.7109375" style="20" bestFit="1" customWidth="1"/>
    <col min="9" max="15" width="7.140625" style="73" customWidth="1" outlineLevel="1"/>
    <col min="16" max="16" width="7.140625" style="114" customWidth="1"/>
    <col min="17" max="18" width="7.140625" style="73" customWidth="1" outlineLevel="1"/>
    <col min="19" max="19" width="7.140625" style="114" customWidth="1"/>
    <col min="20" max="20" width="7.140625" style="73" customWidth="1" outlineLevel="1"/>
    <col min="21" max="21" width="7.140625" style="114" customWidth="1"/>
    <col min="22" max="23" width="7.140625" style="73" customWidth="1" outlineLevel="1"/>
    <col min="24" max="24" width="7.140625" style="114" customWidth="1"/>
    <col min="25" max="28" width="7.140625" style="73" customWidth="1" outlineLevel="1"/>
    <col min="29" max="29" width="7.140625" style="114" customWidth="1"/>
    <col min="30" max="32" width="7.140625" style="73" customWidth="1" outlineLevel="1"/>
    <col min="33" max="33" width="7.140625" style="73" customWidth="1"/>
    <col min="34" max="34" width="12.7109375" style="73" bestFit="1" customWidth="1"/>
    <col min="35" max="35" width="7.140625" style="73" customWidth="1"/>
    <col min="36" max="36" width="11.42578125" style="115"/>
    <col min="37" max="37" width="18.28515625" style="115" bestFit="1" customWidth="1"/>
    <col min="38" max="38" width="28.28515625" style="115" bestFit="1" customWidth="1"/>
    <col min="39" max="39" width="17.28515625" style="115" customWidth="1"/>
    <col min="40" max="40" width="10.42578125" style="115" bestFit="1" customWidth="1"/>
    <col min="41" max="113" width="11.42578125" style="115"/>
    <col min="114" max="16384" width="11.42578125" style="20"/>
  </cols>
  <sheetData>
    <row r="1" spans="1:113" ht="13.5" thickBot="1" x14ac:dyDescent="0.25">
      <c r="A1" s="91"/>
      <c r="B1" s="91"/>
      <c r="C1" s="92"/>
      <c r="D1" s="92"/>
      <c r="E1" s="93"/>
      <c r="F1" s="93"/>
      <c r="G1" s="93"/>
      <c r="H1" s="91"/>
      <c r="I1" s="94" t="s">
        <v>128</v>
      </c>
      <c r="J1" s="95"/>
      <c r="K1" s="95"/>
      <c r="L1" s="95"/>
      <c r="M1" s="95"/>
      <c r="N1" s="95"/>
      <c r="O1" s="95"/>
      <c r="P1" s="96"/>
      <c r="Q1" s="94" t="s">
        <v>129</v>
      </c>
      <c r="R1" s="95"/>
      <c r="S1" s="96"/>
      <c r="T1" s="94" t="s">
        <v>130</v>
      </c>
      <c r="U1" s="96"/>
      <c r="V1" s="94" t="s">
        <v>131</v>
      </c>
      <c r="W1" s="95"/>
      <c r="X1" s="96"/>
      <c r="Y1" s="94" t="s">
        <v>132</v>
      </c>
      <c r="Z1" s="95"/>
      <c r="AA1" s="95"/>
      <c r="AB1" s="95"/>
      <c r="AC1" s="96"/>
      <c r="AD1" s="94" t="s">
        <v>133</v>
      </c>
      <c r="AE1" s="95"/>
      <c r="AF1" s="95"/>
      <c r="AG1" s="96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</row>
    <row r="2" spans="1:113" ht="64.5" thickBot="1" x14ac:dyDescent="0.3">
      <c r="A2" s="97" t="s">
        <v>134</v>
      </c>
      <c r="B2" s="95" t="s">
        <v>135</v>
      </c>
      <c r="C2" s="98" t="s">
        <v>136</v>
      </c>
      <c r="D2" s="98" t="s">
        <v>137</v>
      </c>
      <c r="E2" s="97" t="s">
        <v>138</v>
      </c>
      <c r="F2" s="138" t="s">
        <v>147</v>
      </c>
      <c r="G2" s="95" t="s">
        <v>139</v>
      </c>
      <c r="H2" s="97" t="s">
        <v>140</v>
      </c>
      <c r="I2" s="99">
        <v>1</v>
      </c>
      <c r="J2" s="100">
        <v>2</v>
      </c>
      <c r="K2" s="100">
        <v>3</v>
      </c>
      <c r="L2" s="100">
        <v>4</v>
      </c>
      <c r="M2" s="100">
        <v>5</v>
      </c>
      <c r="N2" s="100">
        <v>6</v>
      </c>
      <c r="O2" s="100">
        <v>7</v>
      </c>
      <c r="P2" s="101" t="s">
        <v>128</v>
      </c>
      <c r="Q2" s="99">
        <v>8</v>
      </c>
      <c r="R2" s="102">
        <v>9</v>
      </c>
      <c r="S2" s="101" t="s">
        <v>141</v>
      </c>
      <c r="T2" s="103">
        <v>10</v>
      </c>
      <c r="U2" s="101" t="s">
        <v>130</v>
      </c>
      <c r="V2" s="99">
        <v>11</v>
      </c>
      <c r="W2" s="102">
        <v>12</v>
      </c>
      <c r="X2" s="101" t="s">
        <v>131</v>
      </c>
      <c r="Y2" s="99">
        <v>13</v>
      </c>
      <c r="Z2" s="100">
        <v>14</v>
      </c>
      <c r="AA2" s="100">
        <v>15</v>
      </c>
      <c r="AB2" s="100">
        <v>16</v>
      </c>
      <c r="AC2" s="101" t="s">
        <v>142</v>
      </c>
      <c r="AD2" s="99">
        <v>17</v>
      </c>
      <c r="AE2" s="100">
        <v>18</v>
      </c>
      <c r="AF2" s="102">
        <v>19</v>
      </c>
      <c r="AG2" s="101" t="s">
        <v>143</v>
      </c>
      <c r="AH2" s="94" t="s">
        <v>144</v>
      </c>
      <c r="AI2" s="104" t="s">
        <v>145</v>
      </c>
      <c r="AJ2" s="20"/>
      <c r="AK2" s="1" t="s">
        <v>147</v>
      </c>
      <c r="AL2" s="1" t="s">
        <v>138</v>
      </c>
      <c r="AM2" t="s">
        <v>146</v>
      </c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</row>
    <row r="3" spans="1:113" ht="15" x14ac:dyDescent="0.25">
      <c r="A3" s="105" t="s">
        <v>194</v>
      </c>
      <c r="B3" s="105">
        <v>42860</v>
      </c>
      <c r="C3" s="106">
        <v>5</v>
      </c>
      <c r="D3" s="106">
        <v>1993106</v>
      </c>
      <c r="E3" s="107" t="s">
        <v>302</v>
      </c>
      <c r="F3" s="116">
        <f>VLOOKUP(E3,Homologacion!$B:$E,4,0)</f>
        <v>12896534</v>
      </c>
      <c r="G3" s="107" t="s">
        <v>181</v>
      </c>
      <c r="H3" s="105" t="s">
        <v>202</v>
      </c>
      <c r="I3" s="108">
        <v>0.15</v>
      </c>
      <c r="J3" s="108">
        <v>0.05</v>
      </c>
      <c r="K3" s="108">
        <v>0.1</v>
      </c>
      <c r="L3" s="108">
        <v>0.08</v>
      </c>
      <c r="M3" s="108">
        <v>0.05</v>
      </c>
      <c r="N3" s="108">
        <v>0.05</v>
      </c>
      <c r="O3" s="108">
        <v>0.05</v>
      </c>
      <c r="P3" s="109">
        <v>0.53</v>
      </c>
      <c r="Q3" s="108">
        <v>0.05</v>
      </c>
      <c r="R3" s="108">
        <v>0.03</v>
      </c>
      <c r="S3" s="109">
        <v>0.08</v>
      </c>
      <c r="T3" s="108">
        <v>0.04</v>
      </c>
      <c r="U3" s="109">
        <v>0.04</v>
      </c>
      <c r="V3" s="108">
        <v>0.08</v>
      </c>
      <c r="W3" s="108">
        <v>0.06</v>
      </c>
      <c r="X3" s="109">
        <v>0.14000000000000001</v>
      </c>
      <c r="Y3" s="108">
        <v>0.05</v>
      </c>
      <c r="Z3" s="108">
        <v>0.06</v>
      </c>
      <c r="AA3" s="108">
        <v>0.04</v>
      </c>
      <c r="AB3" s="108">
        <v>0.06</v>
      </c>
      <c r="AC3" s="109">
        <v>0.21</v>
      </c>
      <c r="AD3" s="110">
        <v>0</v>
      </c>
      <c r="AE3" s="110">
        <v>0</v>
      </c>
      <c r="AF3" s="110">
        <v>0</v>
      </c>
      <c r="AG3" s="111">
        <v>0</v>
      </c>
      <c r="AH3" s="112">
        <v>1.0000000000000002</v>
      </c>
      <c r="AI3" s="113" t="s">
        <v>170</v>
      </c>
      <c r="AJ3" s="20"/>
      <c r="AK3" s="10">
        <v>7002736</v>
      </c>
      <c r="AL3" s="10" t="s">
        <v>166</v>
      </c>
      <c r="AM3" s="11">
        <v>1.0000000000000002</v>
      </c>
      <c r="AN3" s="20" t="e">
        <f>VLOOKUP(AK3,ESPECIALISTA!$C$7:$C$80,1,0)</f>
        <v>#N/A</v>
      </c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</row>
    <row r="4" spans="1:113" ht="15" x14ac:dyDescent="0.25">
      <c r="A4" s="105" t="s">
        <v>194</v>
      </c>
      <c r="B4" s="105">
        <v>42860</v>
      </c>
      <c r="C4" s="106">
        <v>5</v>
      </c>
      <c r="D4" s="106">
        <v>2000638</v>
      </c>
      <c r="E4" s="107" t="s">
        <v>303</v>
      </c>
      <c r="F4" s="116">
        <f>VLOOKUP(E4,Homologacion!$B:$E,4,0)</f>
        <v>12896535</v>
      </c>
      <c r="G4" s="107" t="s">
        <v>193</v>
      </c>
      <c r="H4" s="105" t="s">
        <v>202</v>
      </c>
      <c r="I4" s="108">
        <v>0.15</v>
      </c>
      <c r="J4" s="108">
        <v>0.05</v>
      </c>
      <c r="K4" s="108">
        <v>0.1</v>
      </c>
      <c r="L4" s="108">
        <v>0.08</v>
      </c>
      <c r="M4" s="108">
        <v>0.05</v>
      </c>
      <c r="N4" s="108">
        <v>0.05</v>
      </c>
      <c r="O4" s="108">
        <v>0.05</v>
      </c>
      <c r="P4" s="109">
        <v>0.53</v>
      </c>
      <c r="Q4" s="108">
        <v>0.05</v>
      </c>
      <c r="R4" s="108">
        <v>0.03</v>
      </c>
      <c r="S4" s="109">
        <v>0.08</v>
      </c>
      <c r="T4" s="108">
        <v>0.04</v>
      </c>
      <c r="U4" s="109">
        <v>0.04</v>
      </c>
      <c r="V4" s="108">
        <v>0.08</v>
      </c>
      <c r="W4" s="108">
        <v>0.06</v>
      </c>
      <c r="X4" s="109">
        <v>0.14000000000000001</v>
      </c>
      <c r="Y4" s="108">
        <v>0.05</v>
      </c>
      <c r="Z4" s="108">
        <v>0.06</v>
      </c>
      <c r="AA4" s="108">
        <v>0</v>
      </c>
      <c r="AB4" s="108">
        <v>0.06</v>
      </c>
      <c r="AC4" s="109">
        <v>0.16999999999999998</v>
      </c>
      <c r="AD4" s="110">
        <v>0</v>
      </c>
      <c r="AE4" s="110">
        <v>0</v>
      </c>
      <c r="AF4" s="110">
        <v>0</v>
      </c>
      <c r="AG4" s="111">
        <v>0</v>
      </c>
      <c r="AH4" s="112">
        <v>0.96000000000000019</v>
      </c>
      <c r="AI4" s="113" t="s">
        <v>169</v>
      </c>
      <c r="AJ4" s="20"/>
      <c r="AK4" s="10">
        <v>50028026</v>
      </c>
      <c r="AL4" s="10" t="s">
        <v>43</v>
      </c>
      <c r="AM4" s="11">
        <v>1.0000000000000002</v>
      </c>
      <c r="AN4" s="20" t="e">
        <f>VLOOKUP(AK4,ESPECIALISTA!$C$7:$C$80,1,0)</f>
        <v>#N/A</v>
      </c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</row>
    <row r="5" spans="1:113" ht="15" x14ac:dyDescent="0.25">
      <c r="A5" s="105" t="s">
        <v>194</v>
      </c>
      <c r="B5" s="105">
        <v>42860</v>
      </c>
      <c r="C5" s="106">
        <v>5</v>
      </c>
      <c r="D5" s="106">
        <v>1936822</v>
      </c>
      <c r="E5" s="107" t="s">
        <v>368</v>
      </c>
      <c r="F5" s="116">
        <f>VLOOKUP(E5,Homologacion!$B:$E,4,0)</f>
        <v>12896536</v>
      </c>
      <c r="G5" s="107" t="s">
        <v>193</v>
      </c>
      <c r="H5" s="105" t="s">
        <v>202</v>
      </c>
      <c r="I5" s="108">
        <v>0.15</v>
      </c>
      <c r="J5" s="108">
        <v>0.05</v>
      </c>
      <c r="K5" s="108">
        <v>0.1</v>
      </c>
      <c r="L5" s="108">
        <v>0.08</v>
      </c>
      <c r="M5" s="108">
        <v>0.05</v>
      </c>
      <c r="N5" s="108">
        <v>0.05</v>
      </c>
      <c r="O5" s="108">
        <v>0.05</v>
      </c>
      <c r="P5" s="109">
        <v>0.53</v>
      </c>
      <c r="Q5" s="108">
        <v>0.05</v>
      </c>
      <c r="R5" s="108">
        <v>0.03</v>
      </c>
      <c r="S5" s="109">
        <v>0.08</v>
      </c>
      <c r="T5" s="108">
        <v>0.04</v>
      </c>
      <c r="U5" s="109">
        <v>0.04</v>
      </c>
      <c r="V5" s="108">
        <v>0.08</v>
      </c>
      <c r="W5" s="108">
        <v>0.06</v>
      </c>
      <c r="X5" s="109">
        <v>0.14000000000000001</v>
      </c>
      <c r="Y5" s="108">
        <v>0.05</v>
      </c>
      <c r="Z5" s="108">
        <v>0.06</v>
      </c>
      <c r="AA5" s="108">
        <v>0.04</v>
      </c>
      <c r="AB5" s="108">
        <v>0.06</v>
      </c>
      <c r="AC5" s="109">
        <v>0.21</v>
      </c>
      <c r="AD5" s="110">
        <v>0</v>
      </c>
      <c r="AE5" s="110">
        <v>0</v>
      </c>
      <c r="AF5" s="110">
        <v>0</v>
      </c>
      <c r="AG5" s="111">
        <v>0</v>
      </c>
      <c r="AH5" s="112">
        <v>1.0000000000000002</v>
      </c>
      <c r="AI5" s="113" t="s">
        <v>170</v>
      </c>
      <c r="AJ5" s="20"/>
      <c r="AK5" s="10">
        <v>50016385</v>
      </c>
      <c r="AL5" s="10" t="s">
        <v>44</v>
      </c>
      <c r="AM5" s="11">
        <v>1.0000000000000002</v>
      </c>
      <c r="AN5" s="20" t="e">
        <f>VLOOKUP(AK5,ESPECIALISTA!$C$7:$C$80,1,0)</f>
        <v>#N/A</v>
      </c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</row>
    <row r="6" spans="1:113" ht="15" x14ac:dyDescent="0.25">
      <c r="A6" s="105" t="s">
        <v>195</v>
      </c>
      <c r="B6" s="105">
        <v>42867</v>
      </c>
      <c r="C6" s="106">
        <v>5</v>
      </c>
      <c r="D6" s="106">
        <v>1952066</v>
      </c>
      <c r="E6" s="107" t="s">
        <v>304</v>
      </c>
      <c r="F6" s="116">
        <f>VLOOKUP(E6,Homologacion!$B:$E,4,0)</f>
        <v>12896537</v>
      </c>
      <c r="G6" s="107" t="s">
        <v>181</v>
      </c>
      <c r="H6" s="105" t="s">
        <v>202</v>
      </c>
      <c r="I6" s="108">
        <v>0.15</v>
      </c>
      <c r="J6" s="108">
        <v>0</v>
      </c>
      <c r="K6" s="108">
        <v>0.1</v>
      </c>
      <c r="L6" s="108">
        <v>0.08</v>
      </c>
      <c r="M6" s="108">
        <v>0.05</v>
      </c>
      <c r="N6" s="108">
        <v>0.05</v>
      </c>
      <c r="O6" s="108">
        <v>0.05</v>
      </c>
      <c r="P6" s="109">
        <v>0.48</v>
      </c>
      <c r="Q6" s="108">
        <v>0.05</v>
      </c>
      <c r="R6" s="108">
        <v>0.03</v>
      </c>
      <c r="S6" s="109">
        <v>0.08</v>
      </c>
      <c r="T6" s="108">
        <v>0.04</v>
      </c>
      <c r="U6" s="109">
        <v>0.04</v>
      </c>
      <c r="V6" s="108">
        <v>0.08</v>
      </c>
      <c r="W6" s="108">
        <v>0.06</v>
      </c>
      <c r="X6" s="109">
        <v>0.14000000000000001</v>
      </c>
      <c r="Y6" s="108">
        <v>0.05</v>
      </c>
      <c r="Z6" s="108">
        <v>0.06</v>
      </c>
      <c r="AA6" s="108">
        <v>0.04</v>
      </c>
      <c r="AB6" s="108">
        <v>0.06</v>
      </c>
      <c r="AC6" s="109">
        <v>0.21</v>
      </c>
      <c r="AD6" s="110">
        <v>0</v>
      </c>
      <c r="AE6" s="110">
        <v>0</v>
      </c>
      <c r="AF6" s="110">
        <v>0</v>
      </c>
      <c r="AG6" s="111">
        <v>0</v>
      </c>
      <c r="AH6" s="112">
        <v>0.95000000000000018</v>
      </c>
      <c r="AI6" s="113" t="s">
        <v>169</v>
      </c>
      <c r="AJ6" s="20"/>
      <c r="AK6" s="10">
        <v>50019405</v>
      </c>
      <c r="AL6" s="10" t="s">
        <v>103</v>
      </c>
      <c r="AM6" s="11">
        <v>1.0000000000000002</v>
      </c>
      <c r="AN6" s="20" t="e">
        <f>VLOOKUP(AK6,ESPECIALISTA!$C$7:$C$80,1,0)</f>
        <v>#N/A</v>
      </c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</row>
    <row r="7" spans="1:113" ht="15" x14ac:dyDescent="0.25">
      <c r="A7" s="105" t="s">
        <v>195</v>
      </c>
      <c r="B7" s="105">
        <v>42867</v>
      </c>
      <c r="C7" s="106">
        <v>5</v>
      </c>
      <c r="D7" s="106">
        <v>1891128</v>
      </c>
      <c r="E7" s="107" t="s">
        <v>369</v>
      </c>
      <c r="F7" s="116">
        <f>VLOOKUP(E7,Homologacion!$B:$E,4,0)</f>
        <v>12896538</v>
      </c>
      <c r="G7" s="107" t="s">
        <v>199</v>
      </c>
      <c r="H7" s="105" t="s">
        <v>202</v>
      </c>
      <c r="I7" s="108">
        <v>0</v>
      </c>
      <c r="J7" s="108">
        <v>0.05</v>
      </c>
      <c r="K7" s="108">
        <v>0.1</v>
      </c>
      <c r="L7" s="108">
        <v>0.08</v>
      </c>
      <c r="M7" s="108">
        <v>0.05</v>
      </c>
      <c r="N7" s="108">
        <v>0.05</v>
      </c>
      <c r="O7" s="108">
        <v>0.05</v>
      </c>
      <c r="P7" s="109">
        <v>0.38</v>
      </c>
      <c r="Q7" s="108">
        <v>0.05</v>
      </c>
      <c r="R7" s="108">
        <v>0.03</v>
      </c>
      <c r="S7" s="109">
        <v>0.08</v>
      </c>
      <c r="T7" s="108">
        <v>0.04</v>
      </c>
      <c r="U7" s="109">
        <v>0.04</v>
      </c>
      <c r="V7" s="108">
        <v>0.08</v>
      </c>
      <c r="W7" s="108">
        <v>0.06</v>
      </c>
      <c r="X7" s="109">
        <v>0.14000000000000001</v>
      </c>
      <c r="Y7" s="108">
        <v>0.05</v>
      </c>
      <c r="Z7" s="108">
        <v>0.06</v>
      </c>
      <c r="AA7" s="108">
        <v>0.04</v>
      </c>
      <c r="AB7" s="108">
        <v>0.06</v>
      </c>
      <c r="AC7" s="109">
        <v>0.21</v>
      </c>
      <c r="AD7" s="110">
        <v>0</v>
      </c>
      <c r="AE7" s="110">
        <v>1</v>
      </c>
      <c r="AF7" s="110">
        <v>0</v>
      </c>
      <c r="AG7" s="111">
        <v>1</v>
      </c>
      <c r="AH7" s="112">
        <v>0</v>
      </c>
      <c r="AI7" s="113" t="s">
        <v>169</v>
      </c>
      <c r="AJ7" s="20"/>
      <c r="AK7" s="10">
        <v>50015007</v>
      </c>
      <c r="AL7" s="10" t="s">
        <v>101</v>
      </c>
      <c r="AM7" s="11">
        <v>0.95000000000000018</v>
      </c>
      <c r="AN7" s="20" t="e">
        <f>VLOOKUP(AK7,ESPECIALISTA!$C$7:$C$80,1,0)</f>
        <v>#N/A</v>
      </c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</row>
    <row r="8" spans="1:113" ht="15" x14ac:dyDescent="0.25">
      <c r="A8" s="105" t="s">
        <v>195</v>
      </c>
      <c r="B8" s="105">
        <v>42867</v>
      </c>
      <c r="C8" s="106">
        <v>5</v>
      </c>
      <c r="D8" s="106">
        <v>2001726</v>
      </c>
      <c r="E8" s="107" t="s">
        <v>370</v>
      </c>
      <c r="F8" s="116">
        <f>VLOOKUP(E8,Homologacion!$B:$E,4,0)</f>
        <v>12896539</v>
      </c>
      <c r="G8" s="107" t="s">
        <v>181</v>
      </c>
      <c r="H8" s="105" t="s">
        <v>202</v>
      </c>
      <c r="I8" s="108">
        <v>0.15</v>
      </c>
      <c r="J8" s="108">
        <v>0.05</v>
      </c>
      <c r="K8" s="108">
        <v>0.1</v>
      </c>
      <c r="L8" s="108">
        <v>0.08</v>
      </c>
      <c r="M8" s="108">
        <v>0.05</v>
      </c>
      <c r="N8" s="108">
        <v>0.05</v>
      </c>
      <c r="O8" s="108">
        <v>0.05</v>
      </c>
      <c r="P8" s="109">
        <v>0.53</v>
      </c>
      <c r="Q8" s="108">
        <v>0.05</v>
      </c>
      <c r="R8" s="108">
        <v>0.03</v>
      </c>
      <c r="S8" s="109">
        <v>0.08</v>
      </c>
      <c r="T8" s="108">
        <v>0.04</v>
      </c>
      <c r="U8" s="109">
        <v>0.04</v>
      </c>
      <c r="V8" s="108">
        <v>0.08</v>
      </c>
      <c r="W8" s="108">
        <v>0.06</v>
      </c>
      <c r="X8" s="109">
        <v>0.14000000000000001</v>
      </c>
      <c r="Y8" s="108">
        <v>0.05</v>
      </c>
      <c r="Z8" s="108">
        <v>0.06</v>
      </c>
      <c r="AA8" s="108">
        <v>0.04</v>
      </c>
      <c r="AB8" s="108">
        <v>0.06</v>
      </c>
      <c r="AC8" s="109">
        <v>0.21</v>
      </c>
      <c r="AD8" s="110">
        <v>0</v>
      </c>
      <c r="AE8" s="110">
        <v>0</v>
      </c>
      <c r="AF8" s="110">
        <v>0</v>
      </c>
      <c r="AG8" s="111">
        <v>0</v>
      </c>
      <c r="AH8" s="112">
        <v>1.0000000000000002</v>
      </c>
      <c r="AI8" s="113" t="s">
        <v>170</v>
      </c>
      <c r="AJ8" s="20"/>
      <c r="AK8" s="10">
        <v>50050491</v>
      </c>
      <c r="AL8" s="10" t="s">
        <v>150</v>
      </c>
      <c r="AM8" s="11">
        <v>1.0000000000000002</v>
      </c>
      <c r="AN8" s="20" t="e">
        <f>VLOOKUP(AK8,ESPECIALISTA!$C$7:$C$80,1,0)</f>
        <v>#N/A</v>
      </c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</row>
    <row r="9" spans="1:113" ht="15" x14ac:dyDescent="0.25">
      <c r="A9" s="105" t="s">
        <v>196</v>
      </c>
      <c r="B9" s="105">
        <v>42874</v>
      </c>
      <c r="C9" s="106">
        <v>5</v>
      </c>
      <c r="D9" s="106">
        <v>1992350</v>
      </c>
      <c r="E9" s="107" t="s">
        <v>371</v>
      </c>
      <c r="F9" s="116">
        <f>VLOOKUP(E9,Homologacion!$B:$E,4,0)</f>
        <v>12896540</v>
      </c>
      <c r="G9" s="107" t="s">
        <v>193</v>
      </c>
      <c r="H9" s="105" t="s">
        <v>202</v>
      </c>
      <c r="I9" s="108">
        <v>0.15</v>
      </c>
      <c r="J9" s="108">
        <v>0</v>
      </c>
      <c r="K9" s="108">
        <v>0.1</v>
      </c>
      <c r="L9" s="108">
        <v>0.08</v>
      </c>
      <c r="M9" s="108">
        <v>0.05</v>
      </c>
      <c r="N9" s="108">
        <v>0.05</v>
      </c>
      <c r="O9" s="108">
        <v>0.05</v>
      </c>
      <c r="P9" s="109">
        <v>0.48</v>
      </c>
      <c r="Q9" s="108">
        <v>0.05</v>
      </c>
      <c r="R9" s="108">
        <v>0.03</v>
      </c>
      <c r="S9" s="109">
        <v>0.08</v>
      </c>
      <c r="T9" s="108">
        <v>0.04</v>
      </c>
      <c r="U9" s="109">
        <v>0.04</v>
      </c>
      <c r="V9" s="108">
        <v>0.08</v>
      </c>
      <c r="W9" s="108">
        <v>0.06</v>
      </c>
      <c r="X9" s="109">
        <v>0.14000000000000001</v>
      </c>
      <c r="Y9" s="108">
        <v>0.05</v>
      </c>
      <c r="Z9" s="108">
        <v>0.06</v>
      </c>
      <c r="AA9" s="108">
        <v>0.04</v>
      </c>
      <c r="AB9" s="108">
        <v>0.06</v>
      </c>
      <c r="AC9" s="109">
        <v>0.21</v>
      </c>
      <c r="AD9" s="110">
        <v>0</v>
      </c>
      <c r="AE9" s="110">
        <v>0</v>
      </c>
      <c r="AF9" s="110">
        <v>0</v>
      </c>
      <c r="AG9" s="111">
        <v>0</v>
      </c>
      <c r="AH9" s="112">
        <v>0.95000000000000018</v>
      </c>
      <c r="AI9" s="113" t="s">
        <v>169</v>
      </c>
      <c r="AJ9" s="20"/>
      <c r="AK9" s="10">
        <v>7019425</v>
      </c>
      <c r="AL9" s="10" t="s">
        <v>164</v>
      </c>
      <c r="AM9" s="11">
        <v>1.0000000000000002</v>
      </c>
      <c r="AN9" s="20" t="e">
        <f>VLOOKUP(AK9,ESPECIALISTA!$C$7:$C$80,1,0)</f>
        <v>#N/A</v>
      </c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</row>
    <row r="10" spans="1:113" ht="15" x14ac:dyDescent="0.25">
      <c r="A10" s="105" t="s">
        <v>196</v>
      </c>
      <c r="B10" s="105">
        <v>42874</v>
      </c>
      <c r="C10" s="106">
        <v>5</v>
      </c>
      <c r="D10" s="106">
        <v>1850406</v>
      </c>
      <c r="E10" s="107" t="s">
        <v>372</v>
      </c>
      <c r="F10" s="116">
        <f>VLOOKUP(E10,Homologacion!$B:$E,4,0)</f>
        <v>12896541</v>
      </c>
      <c r="G10" s="107" t="s">
        <v>181</v>
      </c>
      <c r="H10" s="105" t="s">
        <v>202</v>
      </c>
      <c r="I10" s="108">
        <v>0.15</v>
      </c>
      <c r="J10" s="108">
        <v>0.05</v>
      </c>
      <c r="K10" s="108">
        <v>0.1</v>
      </c>
      <c r="L10" s="108">
        <v>0.08</v>
      </c>
      <c r="M10" s="108">
        <v>0.05</v>
      </c>
      <c r="N10" s="108">
        <v>0.05</v>
      </c>
      <c r="O10" s="108">
        <v>0.05</v>
      </c>
      <c r="P10" s="109">
        <v>0.53</v>
      </c>
      <c r="Q10" s="108">
        <v>0.05</v>
      </c>
      <c r="R10" s="108">
        <v>0.03</v>
      </c>
      <c r="S10" s="109">
        <v>0.08</v>
      </c>
      <c r="T10" s="108">
        <v>0.04</v>
      </c>
      <c r="U10" s="109">
        <v>0.04</v>
      </c>
      <c r="V10" s="108">
        <v>0.08</v>
      </c>
      <c r="W10" s="108">
        <v>0.06</v>
      </c>
      <c r="X10" s="109">
        <v>0.14000000000000001</v>
      </c>
      <c r="Y10" s="108">
        <v>0.05</v>
      </c>
      <c r="Z10" s="108">
        <v>0.06</v>
      </c>
      <c r="AA10" s="108">
        <v>0.04</v>
      </c>
      <c r="AB10" s="108">
        <v>0.06</v>
      </c>
      <c r="AC10" s="109">
        <v>0.21</v>
      </c>
      <c r="AD10" s="110">
        <v>0</v>
      </c>
      <c r="AE10" s="110">
        <v>0</v>
      </c>
      <c r="AF10" s="110">
        <v>0</v>
      </c>
      <c r="AG10" s="111">
        <v>0</v>
      </c>
      <c r="AH10" s="112">
        <v>1.0000000000000002</v>
      </c>
      <c r="AI10" s="113" t="s">
        <v>170</v>
      </c>
      <c r="AJ10" s="20"/>
      <c r="AK10" s="10">
        <v>50030022</v>
      </c>
      <c r="AL10" s="10" t="s">
        <v>151</v>
      </c>
      <c r="AM10" s="11">
        <v>1.0000000000000002</v>
      </c>
      <c r="AN10" s="20" t="e">
        <f>VLOOKUP(AK10,ESPECIALISTA!$C$7:$C$80,1,0)</f>
        <v>#N/A</v>
      </c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</row>
    <row r="11" spans="1:113" ht="15" x14ac:dyDescent="0.25">
      <c r="A11" s="105" t="s">
        <v>196</v>
      </c>
      <c r="B11" s="105">
        <v>42874</v>
      </c>
      <c r="C11" s="106">
        <v>5</v>
      </c>
      <c r="D11" s="106">
        <v>1915622</v>
      </c>
      <c r="E11" s="107" t="s">
        <v>305</v>
      </c>
      <c r="F11" s="116">
        <f>VLOOKUP(E11,Homologacion!$B:$E,4,0)</f>
        <v>12896542</v>
      </c>
      <c r="G11" s="107" t="s">
        <v>181</v>
      </c>
      <c r="H11" s="105" t="s">
        <v>202</v>
      </c>
      <c r="I11" s="108">
        <v>0.15</v>
      </c>
      <c r="J11" s="108">
        <v>0.05</v>
      </c>
      <c r="K11" s="108">
        <v>0.1</v>
      </c>
      <c r="L11" s="108">
        <v>0.08</v>
      </c>
      <c r="M11" s="108">
        <v>0.05</v>
      </c>
      <c r="N11" s="108">
        <v>0.05</v>
      </c>
      <c r="O11" s="108">
        <v>0.05</v>
      </c>
      <c r="P11" s="109">
        <v>0.53</v>
      </c>
      <c r="Q11" s="108">
        <v>0.05</v>
      </c>
      <c r="R11" s="108">
        <v>0.03</v>
      </c>
      <c r="S11" s="109">
        <v>0.08</v>
      </c>
      <c r="T11" s="108">
        <v>0.04</v>
      </c>
      <c r="U11" s="109">
        <v>0.04</v>
      </c>
      <c r="V11" s="108">
        <v>0.08</v>
      </c>
      <c r="W11" s="108">
        <v>0.06</v>
      </c>
      <c r="X11" s="109">
        <v>0.14000000000000001</v>
      </c>
      <c r="Y11" s="108">
        <v>0.05</v>
      </c>
      <c r="Z11" s="108">
        <v>0.06</v>
      </c>
      <c r="AA11" s="108">
        <v>0.04</v>
      </c>
      <c r="AB11" s="108">
        <v>0.06</v>
      </c>
      <c r="AC11" s="109">
        <v>0.21</v>
      </c>
      <c r="AD11" s="110">
        <v>0</v>
      </c>
      <c r="AE11" s="110">
        <v>0</v>
      </c>
      <c r="AF11" s="110">
        <v>0</v>
      </c>
      <c r="AG11" s="111">
        <v>0</v>
      </c>
      <c r="AH11" s="112">
        <v>1.0000000000000002</v>
      </c>
      <c r="AI11" s="113" t="s">
        <v>170</v>
      </c>
      <c r="AJ11" s="20"/>
      <c r="AK11" s="10" t="s">
        <v>184</v>
      </c>
      <c r="AL11" s="10" t="s">
        <v>184</v>
      </c>
      <c r="AM11" s="11">
        <v>2</v>
      </c>
      <c r="AN11" s="20" t="e">
        <f>VLOOKUP(AK11,ESPECIALISTA!$C$7:$C$80,1,0)</f>
        <v>#N/A</v>
      </c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</row>
    <row r="12" spans="1:113" ht="15" x14ac:dyDescent="0.25">
      <c r="A12" s="105" t="s">
        <v>197</v>
      </c>
      <c r="B12" s="105">
        <v>42881</v>
      </c>
      <c r="C12" s="106">
        <v>5</v>
      </c>
      <c r="D12" s="106">
        <v>1955669</v>
      </c>
      <c r="E12" s="107" t="s">
        <v>306</v>
      </c>
      <c r="F12" s="116">
        <f>VLOOKUP(E12,Homologacion!$B:$E,4,0)</f>
        <v>12896543</v>
      </c>
      <c r="G12" s="107" t="s">
        <v>193</v>
      </c>
      <c r="H12" s="105" t="s">
        <v>202</v>
      </c>
      <c r="I12" s="108">
        <v>0.15</v>
      </c>
      <c r="J12" s="108">
        <v>0.05</v>
      </c>
      <c r="K12" s="108">
        <v>0.1</v>
      </c>
      <c r="L12" s="108">
        <v>0.08</v>
      </c>
      <c r="M12" s="108">
        <v>0.05</v>
      </c>
      <c r="N12" s="108">
        <v>0.05</v>
      </c>
      <c r="O12" s="108">
        <v>0.05</v>
      </c>
      <c r="P12" s="109">
        <v>0.53</v>
      </c>
      <c r="Q12" s="108">
        <v>0.05</v>
      </c>
      <c r="R12" s="108">
        <v>0.03</v>
      </c>
      <c r="S12" s="109">
        <v>0.08</v>
      </c>
      <c r="T12" s="108">
        <v>0.04</v>
      </c>
      <c r="U12" s="109">
        <v>0.04</v>
      </c>
      <c r="V12" s="108">
        <v>0.08</v>
      </c>
      <c r="W12" s="108">
        <v>0.06</v>
      </c>
      <c r="X12" s="109">
        <v>0.14000000000000001</v>
      </c>
      <c r="Y12" s="108">
        <v>0.05</v>
      </c>
      <c r="Z12" s="108">
        <v>0.06</v>
      </c>
      <c r="AA12" s="108">
        <v>0.04</v>
      </c>
      <c r="AB12" s="108">
        <v>0.06</v>
      </c>
      <c r="AC12" s="109">
        <v>0.21</v>
      </c>
      <c r="AD12" s="110">
        <v>0</v>
      </c>
      <c r="AE12" s="110">
        <v>0</v>
      </c>
      <c r="AF12" s="110">
        <v>0</v>
      </c>
      <c r="AG12" s="111">
        <v>0</v>
      </c>
      <c r="AH12" s="112">
        <v>1.0000000000000002</v>
      </c>
      <c r="AI12" s="113" t="s">
        <v>170</v>
      </c>
      <c r="AJ12" s="20"/>
      <c r="AK12" s="10">
        <v>50006402</v>
      </c>
      <c r="AL12" s="10" t="s">
        <v>42</v>
      </c>
      <c r="AM12" s="11">
        <v>0.96000000000000019</v>
      </c>
      <c r="AN12" s="20" t="e">
        <f>VLOOKUP(AK12,ESPECIALISTA!$C$7:$C$80,1,0)</f>
        <v>#N/A</v>
      </c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</row>
    <row r="13" spans="1:113" ht="15" x14ac:dyDescent="0.25">
      <c r="A13" s="105" t="s">
        <v>197</v>
      </c>
      <c r="B13" s="105">
        <v>42881</v>
      </c>
      <c r="C13" s="106">
        <v>5</v>
      </c>
      <c r="D13" s="106">
        <v>2008918</v>
      </c>
      <c r="E13" s="107" t="s">
        <v>307</v>
      </c>
      <c r="F13" s="116">
        <f>VLOOKUP(E13,Homologacion!$B:$E,4,0)</f>
        <v>12896544</v>
      </c>
      <c r="G13" s="107" t="s">
        <v>181</v>
      </c>
      <c r="H13" s="105" t="s">
        <v>202</v>
      </c>
      <c r="I13" s="108">
        <v>0.15</v>
      </c>
      <c r="J13" s="108">
        <v>0.05</v>
      </c>
      <c r="K13" s="108">
        <v>0.1</v>
      </c>
      <c r="L13" s="108">
        <v>0.08</v>
      </c>
      <c r="M13" s="108">
        <v>0.05</v>
      </c>
      <c r="N13" s="108">
        <v>0.05</v>
      </c>
      <c r="O13" s="108">
        <v>0.05</v>
      </c>
      <c r="P13" s="109">
        <v>0.53</v>
      </c>
      <c r="Q13" s="108">
        <v>0.05</v>
      </c>
      <c r="R13" s="108">
        <v>0.03</v>
      </c>
      <c r="S13" s="109">
        <v>0.08</v>
      </c>
      <c r="T13" s="108">
        <v>0.04</v>
      </c>
      <c r="U13" s="109">
        <v>0.04</v>
      </c>
      <c r="V13" s="108">
        <v>0.08</v>
      </c>
      <c r="W13" s="108">
        <v>0.06</v>
      </c>
      <c r="X13" s="109">
        <v>0.14000000000000001</v>
      </c>
      <c r="Y13" s="108">
        <v>0.05</v>
      </c>
      <c r="Z13" s="108">
        <v>0.06</v>
      </c>
      <c r="AA13" s="108">
        <v>0.04</v>
      </c>
      <c r="AB13" s="108">
        <v>0.06</v>
      </c>
      <c r="AC13" s="109">
        <v>0.21</v>
      </c>
      <c r="AD13" s="110">
        <v>0</v>
      </c>
      <c r="AE13" s="110">
        <v>0</v>
      </c>
      <c r="AF13" s="110">
        <v>0</v>
      </c>
      <c r="AG13" s="111">
        <v>0</v>
      </c>
      <c r="AH13" s="112">
        <v>1.0000000000000002</v>
      </c>
      <c r="AI13" s="113" t="s">
        <v>170</v>
      </c>
      <c r="AJ13" s="20"/>
      <c r="AK13" s="10">
        <v>50097914</v>
      </c>
      <c r="AL13" s="10" t="s">
        <v>102</v>
      </c>
      <c r="AM13" s="11">
        <v>1.0000000000000002</v>
      </c>
      <c r="AN13" s="20" t="e">
        <f>VLOOKUP(AK13,ESPECIALISTA!$C$7:$C$80,1,0)</f>
        <v>#N/A</v>
      </c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</row>
    <row r="14" spans="1:113" ht="15" x14ac:dyDescent="0.25">
      <c r="A14" s="105" t="s">
        <v>197</v>
      </c>
      <c r="B14" s="105">
        <v>42881</v>
      </c>
      <c r="C14" s="106">
        <v>5</v>
      </c>
      <c r="D14" s="106">
        <v>1980269</v>
      </c>
      <c r="E14" s="107" t="s">
        <v>373</v>
      </c>
      <c r="F14" s="116">
        <f>VLOOKUP(E14,Homologacion!$B:$E,4,0)</f>
        <v>12896545</v>
      </c>
      <c r="G14" s="107" t="s">
        <v>181</v>
      </c>
      <c r="H14" s="105" t="s">
        <v>202</v>
      </c>
      <c r="I14" s="108">
        <v>0.15</v>
      </c>
      <c r="J14" s="108">
        <v>0.05</v>
      </c>
      <c r="K14" s="108">
        <v>0.1</v>
      </c>
      <c r="L14" s="108">
        <v>0.08</v>
      </c>
      <c r="M14" s="108">
        <v>0.05</v>
      </c>
      <c r="N14" s="108">
        <v>0.05</v>
      </c>
      <c r="O14" s="108">
        <v>0.05</v>
      </c>
      <c r="P14" s="109">
        <v>0.53</v>
      </c>
      <c r="Q14" s="108">
        <v>0.05</v>
      </c>
      <c r="R14" s="108">
        <v>0.03</v>
      </c>
      <c r="S14" s="109">
        <v>0.08</v>
      </c>
      <c r="T14" s="108">
        <v>0.04</v>
      </c>
      <c r="U14" s="109">
        <v>0.04</v>
      </c>
      <c r="V14" s="108">
        <v>0.08</v>
      </c>
      <c r="W14" s="108">
        <v>0.06</v>
      </c>
      <c r="X14" s="109">
        <v>0.14000000000000001</v>
      </c>
      <c r="Y14" s="108">
        <v>0.05</v>
      </c>
      <c r="Z14" s="108">
        <v>0.06</v>
      </c>
      <c r="AA14" s="108">
        <v>0.04</v>
      </c>
      <c r="AB14" s="108">
        <v>0.06</v>
      </c>
      <c r="AC14" s="109">
        <v>0.21</v>
      </c>
      <c r="AD14" s="110">
        <v>0</v>
      </c>
      <c r="AE14" s="110">
        <v>0</v>
      </c>
      <c r="AF14" s="110">
        <v>0</v>
      </c>
      <c r="AG14" s="111">
        <v>0</v>
      </c>
      <c r="AH14" s="112">
        <v>1.0000000000000002</v>
      </c>
      <c r="AI14" s="113" t="s">
        <v>170</v>
      </c>
      <c r="AJ14" s="20"/>
      <c r="AK14" s="10">
        <v>7019961</v>
      </c>
      <c r="AL14" s="10" t="s">
        <v>148</v>
      </c>
      <c r="AM14" s="11">
        <v>0.95000000000000018</v>
      </c>
      <c r="AN14" s="20" t="e">
        <f>VLOOKUP(AK14,ESPECIALISTA!$C$7:$C$80,1,0)</f>
        <v>#N/A</v>
      </c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</row>
    <row r="15" spans="1:113" ht="15" x14ac:dyDescent="0.25">
      <c r="A15" s="105" t="s">
        <v>197</v>
      </c>
      <c r="B15" s="105">
        <v>42881</v>
      </c>
      <c r="C15" s="106">
        <v>5</v>
      </c>
      <c r="D15" s="106">
        <v>2031889</v>
      </c>
      <c r="E15" s="107" t="s">
        <v>374</v>
      </c>
      <c r="F15" s="116">
        <f>VLOOKUP(E15,Homologacion!$B:$E,4,0)</f>
        <v>12896546</v>
      </c>
      <c r="G15" s="107" t="s">
        <v>199</v>
      </c>
      <c r="H15" s="105" t="s">
        <v>202</v>
      </c>
      <c r="I15" s="108">
        <v>0</v>
      </c>
      <c r="J15" s="108">
        <v>0.05</v>
      </c>
      <c r="K15" s="108">
        <v>0.1</v>
      </c>
      <c r="L15" s="108">
        <v>0.08</v>
      </c>
      <c r="M15" s="108">
        <v>0.05</v>
      </c>
      <c r="N15" s="108">
        <v>0.05</v>
      </c>
      <c r="O15" s="108">
        <v>0.05</v>
      </c>
      <c r="P15" s="109">
        <v>0.38</v>
      </c>
      <c r="Q15" s="108">
        <v>0.05</v>
      </c>
      <c r="R15" s="108">
        <v>0.03</v>
      </c>
      <c r="S15" s="109">
        <v>0.08</v>
      </c>
      <c r="T15" s="108">
        <v>0.04</v>
      </c>
      <c r="U15" s="109">
        <v>0.04</v>
      </c>
      <c r="V15" s="108">
        <v>0.08</v>
      </c>
      <c r="W15" s="108">
        <v>0.06</v>
      </c>
      <c r="X15" s="109">
        <v>0.14000000000000001</v>
      </c>
      <c r="Y15" s="108">
        <v>0.05</v>
      </c>
      <c r="Z15" s="108">
        <v>0.06</v>
      </c>
      <c r="AA15" s="108">
        <v>0.04</v>
      </c>
      <c r="AB15" s="108">
        <v>0.06</v>
      </c>
      <c r="AC15" s="109">
        <v>0.21</v>
      </c>
      <c r="AD15" s="110">
        <v>0</v>
      </c>
      <c r="AE15" s="110">
        <v>0</v>
      </c>
      <c r="AF15" s="110">
        <v>0</v>
      </c>
      <c r="AG15" s="111">
        <v>0</v>
      </c>
      <c r="AH15" s="112">
        <v>0.85000000000000009</v>
      </c>
      <c r="AI15" s="113" t="s">
        <v>169</v>
      </c>
      <c r="AJ15" s="20"/>
      <c r="AK15" s="10">
        <v>50036060</v>
      </c>
      <c r="AL15" s="10" t="s">
        <v>5</v>
      </c>
      <c r="AM15" s="11">
        <v>0.61666666666666681</v>
      </c>
      <c r="AN15" s="20" t="e">
        <f>VLOOKUP(AK15,ESPECIALISTA!$C$7:$C$80,1,0)</f>
        <v>#N/A</v>
      </c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</row>
    <row r="16" spans="1:113" ht="15" x14ac:dyDescent="0.25">
      <c r="A16" s="105" t="s">
        <v>196</v>
      </c>
      <c r="B16" s="105">
        <v>42873</v>
      </c>
      <c r="C16" s="106">
        <v>5</v>
      </c>
      <c r="D16" s="106">
        <v>2033419</v>
      </c>
      <c r="E16" s="107" t="s">
        <v>375</v>
      </c>
      <c r="F16" s="116">
        <f>VLOOKUP(E16,Homologacion!$B:$E,4,0)</f>
        <v>12896547</v>
      </c>
      <c r="G16" s="107" t="s">
        <v>186</v>
      </c>
      <c r="H16" s="105" t="s">
        <v>202</v>
      </c>
      <c r="I16" s="108">
        <v>0.15</v>
      </c>
      <c r="J16" s="108">
        <v>0</v>
      </c>
      <c r="K16" s="108">
        <v>0.1</v>
      </c>
      <c r="L16" s="108">
        <v>0.08</v>
      </c>
      <c r="M16" s="108">
        <v>0.05</v>
      </c>
      <c r="N16" s="108">
        <v>0.05</v>
      </c>
      <c r="O16" s="108">
        <v>0.05</v>
      </c>
      <c r="P16" s="109">
        <v>0.48</v>
      </c>
      <c r="Q16" s="108">
        <v>0.05</v>
      </c>
      <c r="R16" s="108">
        <v>0.03</v>
      </c>
      <c r="S16" s="109">
        <v>0.08</v>
      </c>
      <c r="T16" s="108">
        <v>0.04</v>
      </c>
      <c r="U16" s="109">
        <v>0.04</v>
      </c>
      <c r="V16" s="108">
        <v>0.08</v>
      </c>
      <c r="W16" s="108">
        <v>0.06</v>
      </c>
      <c r="X16" s="109">
        <v>0.14000000000000001</v>
      </c>
      <c r="Y16" s="108">
        <v>0.05</v>
      </c>
      <c r="Z16" s="108">
        <v>0.06</v>
      </c>
      <c r="AA16" s="108">
        <v>0.04</v>
      </c>
      <c r="AB16" s="108">
        <v>0.06</v>
      </c>
      <c r="AC16" s="109">
        <v>0.21</v>
      </c>
      <c r="AD16" s="110">
        <v>0</v>
      </c>
      <c r="AE16" s="110">
        <v>0</v>
      </c>
      <c r="AF16" s="110">
        <v>0</v>
      </c>
      <c r="AG16" s="111">
        <v>0</v>
      </c>
      <c r="AH16" s="112">
        <v>0.95000000000000018</v>
      </c>
      <c r="AI16" s="113" t="s">
        <v>169</v>
      </c>
      <c r="AJ16" s="20"/>
      <c r="AK16" s="10">
        <v>50003136</v>
      </c>
      <c r="AL16" s="10" t="s">
        <v>165</v>
      </c>
      <c r="AM16" s="11">
        <v>1.0000000000000002</v>
      </c>
      <c r="AN16" s="20" t="e">
        <f>VLOOKUP(AK16,ESPECIALISTA!$C$7:$C$80,1,0)</f>
        <v>#N/A</v>
      </c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</row>
    <row r="17" spans="1:113" ht="15" x14ac:dyDescent="0.25">
      <c r="A17" s="105" t="s">
        <v>198</v>
      </c>
      <c r="B17" s="105">
        <v>42884</v>
      </c>
      <c r="C17" s="106">
        <v>5</v>
      </c>
      <c r="D17" s="106">
        <v>2029863</v>
      </c>
      <c r="E17" s="107" t="s">
        <v>376</v>
      </c>
      <c r="F17" s="116">
        <f>VLOOKUP(E17,Homologacion!$B:$E,4,0)</f>
        <v>12896548</v>
      </c>
      <c r="G17" s="107" t="s">
        <v>190</v>
      </c>
      <c r="H17" s="105" t="s">
        <v>202</v>
      </c>
      <c r="I17" s="108">
        <v>0.15</v>
      </c>
      <c r="J17" s="108">
        <v>0.05</v>
      </c>
      <c r="K17" s="108">
        <v>0.1</v>
      </c>
      <c r="L17" s="108">
        <v>0.08</v>
      </c>
      <c r="M17" s="108">
        <v>0.05</v>
      </c>
      <c r="N17" s="108">
        <v>0.05</v>
      </c>
      <c r="O17" s="108">
        <v>0.05</v>
      </c>
      <c r="P17" s="109">
        <v>0.53</v>
      </c>
      <c r="Q17" s="108">
        <v>0.05</v>
      </c>
      <c r="R17" s="108">
        <v>0.03</v>
      </c>
      <c r="S17" s="109">
        <v>0.08</v>
      </c>
      <c r="T17" s="108">
        <v>0.04</v>
      </c>
      <c r="U17" s="109">
        <v>0.04</v>
      </c>
      <c r="V17" s="108">
        <v>0.08</v>
      </c>
      <c r="W17" s="108">
        <v>0.06</v>
      </c>
      <c r="X17" s="109">
        <v>0.14000000000000001</v>
      </c>
      <c r="Y17" s="108">
        <v>0.05</v>
      </c>
      <c r="Z17" s="108">
        <v>0.06</v>
      </c>
      <c r="AA17" s="108">
        <v>0</v>
      </c>
      <c r="AB17" s="108">
        <v>0.06</v>
      </c>
      <c r="AC17" s="109">
        <v>0.16999999999999998</v>
      </c>
      <c r="AD17" s="110">
        <v>0</v>
      </c>
      <c r="AE17" s="110">
        <v>0</v>
      </c>
      <c r="AF17" s="110">
        <v>0</v>
      </c>
      <c r="AG17" s="111">
        <v>0</v>
      </c>
      <c r="AH17" s="112">
        <v>0.96000000000000019</v>
      </c>
      <c r="AI17" s="113" t="s">
        <v>169</v>
      </c>
      <c r="AJ17" s="20"/>
      <c r="AK17" s="10">
        <v>50075738</v>
      </c>
      <c r="AL17" s="10" t="s">
        <v>37</v>
      </c>
      <c r="AM17" s="11">
        <v>0.94000000000000017</v>
      </c>
      <c r="AN17" s="20" t="e">
        <f>VLOOKUP(AK17,ESPECIALISTA!$C$7:$C$80,1,0)</f>
        <v>#N/A</v>
      </c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</row>
    <row r="18" spans="1:113" ht="15" x14ac:dyDescent="0.25">
      <c r="A18" s="105" t="s">
        <v>195</v>
      </c>
      <c r="B18" s="105">
        <v>42863</v>
      </c>
      <c r="C18" s="106">
        <v>5</v>
      </c>
      <c r="D18" s="106">
        <v>2005186</v>
      </c>
      <c r="E18" s="107" t="s">
        <v>308</v>
      </c>
      <c r="F18" s="116">
        <f>VLOOKUP(E18,Homologacion!$B:$E,4,0)</f>
        <v>12896549</v>
      </c>
      <c r="G18" s="107" t="s">
        <v>200</v>
      </c>
      <c r="H18" s="105" t="s">
        <v>202</v>
      </c>
      <c r="I18" s="108">
        <v>0.15</v>
      </c>
      <c r="J18" s="108">
        <v>0.05</v>
      </c>
      <c r="K18" s="108">
        <v>0.1</v>
      </c>
      <c r="L18" s="108">
        <v>0.08</v>
      </c>
      <c r="M18" s="108">
        <v>0.05</v>
      </c>
      <c r="N18" s="108">
        <v>0.05</v>
      </c>
      <c r="O18" s="108">
        <v>0.05</v>
      </c>
      <c r="P18" s="109">
        <v>0.53</v>
      </c>
      <c r="Q18" s="108">
        <v>0.05</v>
      </c>
      <c r="R18" s="108">
        <v>0.03</v>
      </c>
      <c r="S18" s="109">
        <v>0.08</v>
      </c>
      <c r="T18" s="108">
        <v>0.04</v>
      </c>
      <c r="U18" s="109">
        <v>0.04</v>
      </c>
      <c r="V18" s="108">
        <v>0.08</v>
      </c>
      <c r="W18" s="108">
        <v>0.06</v>
      </c>
      <c r="X18" s="109">
        <v>0.14000000000000001</v>
      </c>
      <c r="Y18" s="108">
        <v>0.05</v>
      </c>
      <c r="Z18" s="108">
        <v>0.06</v>
      </c>
      <c r="AA18" s="108">
        <v>0.04</v>
      </c>
      <c r="AB18" s="108">
        <v>0.06</v>
      </c>
      <c r="AC18" s="109">
        <v>0.21</v>
      </c>
      <c r="AD18" s="110">
        <v>0</v>
      </c>
      <c r="AE18" s="110">
        <v>0</v>
      </c>
      <c r="AF18" s="110">
        <v>1</v>
      </c>
      <c r="AG18" s="111">
        <v>1</v>
      </c>
      <c r="AH18" s="112">
        <v>0</v>
      </c>
      <c r="AI18" s="113" t="s">
        <v>169</v>
      </c>
      <c r="AJ18" s="20"/>
      <c r="AK18" s="10">
        <v>50071349</v>
      </c>
      <c r="AL18" s="10" t="s">
        <v>39</v>
      </c>
      <c r="AM18" s="11">
        <v>0.95000000000000018</v>
      </c>
      <c r="AN18" s="20" t="e">
        <f>VLOOKUP(AK18,ESPECIALISTA!$C$7:$C$80,1,0)</f>
        <v>#N/A</v>
      </c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</row>
    <row r="19" spans="1:113" ht="15" x14ac:dyDescent="0.25">
      <c r="A19" s="105" t="s">
        <v>196</v>
      </c>
      <c r="B19" s="105">
        <v>42874</v>
      </c>
      <c r="C19" s="106">
        <v>5</v>
      </c>
      <c r="D19" s="106">
        <v>1967597</v>
      </c>
      <c r="E19" s="107" t="s">
        <v>377</v>
      </c>
      <c r="F19" s="116">
        <f>VLOOKUP(E19,Homologacion!$B:$E,4,0)</f>
        <v>12896550</v>
      </c>
      <c r="G19" s="107" t="s">
        <v>190</v>
      </c>
      <c r="H19" s="105" t="s">
        <v>202</v>
      </c>
      <c r="I19" s="108">
        <v>0.15</v>
      </c>
      <c r="J19" s="108">
        <v>0.05</v>
      </c>
      <c r="K19" s="108">
        <v>0.1</v>
      </c>
      <c r="L19" s="108">
        <v>0.08</v>
      </c>
      <c r="M19" s="108">
        <v>0.05</v>
      </c>
      <c r="N19" s="108">
        <v>0.05</v>
      </c>
      <c r="O19" s="108">
        <v>0.05</v>
      </c>
      <c r="P19" s="109">
        <v>0.53</v>
      </c>
      <c r="Q19" s="108">
        <v>0.05</v>
      </c>
      <c r="R19" s="108">
        <v>0.03</v>
      </c>
      <c r="S19" s="109">
        <v>0.08</v>
      </c>
      <c r="T19" s="108">
        <v>0.04</v>
      </c>
      <c r="U19" s="109">
        <v>0.04</v>
      </c>
      <c r="V19" s="108">
        <v>0.08</v>
      </c>
      <c r="W19" s="108">
        <v>0.06</v>
      </c>
      <c r="X19" s="109">
        <v>0.14000000000000001</v>
      </c>
      <c r="Y19" s="108">
        <v>0.05</v>
      </c>
      <c r="Z19" s="108">
        <v>0</v>
      </c>
      <c r="AA19" s="108">
        <v>0.04</v>
      </c>
      <c r="AB19" s="108">
        <v>0.06</v>
      </c>
      <c r="AC19" s="109">
        <v>0.15</v>
      </c>
      <c r="AD19" s="110">
        <v>0</v>
      </c>
      <c r="AE19" s="110">
        <v>0</v>
      </c>
      <c r="AF19" s="110">
        <v>0</v>
      </c>
      <c r="AG19" s="111">
        <v>0</v>
      </c>
      <c r="AH19" s="112">
        <v>0.94000000000000017</v>
      </c>
      <c r="AI19" s="113" t="s">
        <v>169</v>
      </c>
      <c r="AJ19" s="20"/>
      <c r="AK19" s="10">
        <v>50050962</v>
      </c>
      <c r="AL19" s="10" t="s">
        <v>41</v>
      </c>
      <c r="AM19" s="11">
        <v>0.9700000000000002</v>
      </c>
      <c r="AN19" s="20" t="e">
        <f>VLOOKUP(AK19,ESPECIALISTA!$C$7:$C$80,1,0)</f>
        <v>#N/A</v>
      </c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</row>
    <row r="20" spans="1:113" ht="15" x14ac:dyDescent="0.25">
      <c r="A20" s="105" t="s">
        <v>197</v>
      </c>
      <c r="B20" s="105">
        <v>42877</v>
      </c>
      <c r="C20" s="106">
        <v>5</v>
      </c>
      <c r="D20" s="106">
        <v>1953588</v>
      </c>
      <c r="E20" s="107" t="s">
        <v>309</v>
      </c>
      <c r="F20" s="116">
        <f>VLOOKUP(E20,Homologacion!$B:$E,4,0)</f>
        <v>12896551</v>
      </c>
      <c r="G20" s="107" t="s">
        <v>190</v>
      </c>
      <c r="H20" s="105" t="s">
        <v>202</v>
      </c>
      <c r="I20" s="108">
        <v>0.15</v>
      </c>
      <c r="J20" s="108">
        <v>0.05</v>
      </c>
      <c r="K20" s="108">
        <v>0.1</v>
      </c>
      <c r="L20" s="108">
        <v>0.08</v>
      </c>
      <c r="M20" s="108">
        <v>0.05</v>
      </c>
      <c r="N20" s="108">
        <v>0.05</v>
      </c>
      <c r="O20" s="108">
        <v>0.05</v>
      </c>
      <c r="P20" s="109">
        <v>0.53</v>
      </c>
      <c r="Q20" s="108">
        <v>0.05</v>
      </c>
      <c r="R20" s="108">
        <v>0.03</v>
      </c>
      <c r="S20" s="109">
        <v>0.08</v>
      </c>
      <c r="T20" s="108">
        <v>0.04</v>
      </c>
      <c r="U20" s="109">
        <v>0.04</v>
      </c>
      <c r="V20" s="108">
        <v>0.08</v>
      </c>
      <c r="W20" s="108">
        <v>0.06</v>
      </c>
      <c r="X20" s="109">
        <v>0.14000000000000001</v>
      </c>
      <c r="Y20" s="108">
        <v>0.05</v>
      </c>
      <c r="Z20" s="108">
        <v>0.06</v>
      </c>
      <c r="AA20" s="108">
        <v>0.04</v>
      </c>
      <c r="AB20" s="108">
        <v>0.06</v>
      </c>
      <c r="AC20" s="109">
        <v>0.21</v>
      </c>
      <c r="AD20" s="110">
        <v>0</v>
      </c>
      <c r="AE20" s="110">
        <v>0</v>
      </c>
      <c r="AF20" s="110">
        <v>0</v>
      </c>
      <c r="AG20" s="111">
        <v>0</v>
      </c>
      <c r="AH20" s="112">
        <v>1.0000000000000002</v>
      </c>
      <c r="AI20" s="113" t="s">
        <v>170</v>
      </c>
      <c r="AJ20" s="20"/>
      <c r="AK20" s="10">
        <v>7051709</v>
      </c>
      <c r="AL20" s="10" t="s">
        <v>149</v>
      </c>
      <c r="AM20" s="11">
        <v>1.0000000000000002</v>
      </c>
      <c r="AN20" s="20" t="e">
        <f>VLOOKUP(AK20,ESPECIALISTA!$C$7:$C$80,1,0)</f>
        <v>#N/A</v>
      </c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</row>
    <row r="21" spans="1:113" ht="15" x14ac:dyDescent="0.25">
      <c r="A21" s="105" t="s">
        <v>197</v>
      </c>
      <c r="B21" s="105">
        <v>42879</v>
      </c>
      <c r="C21" s="106">
        <v>5</v>
      </c>
      <c r="D21" s="106">
        <v>2026994</v>
      </c>
      <c r="E21" s="107" t="s">
        <v>310</v>
      </c>
      <c r="F21" s="116">
        <f>VLOOKUP(E21,Homologacion!$B:$E,4,0)</f>
        <v>12896552</v>
      </c>
      <c r="G21" s="107" t="s">
        <v>190</v>
      </c>
      <c r="H21" s="105" t="s">
        <v>202</v>
      </c>
      <c r="I21" s="108">
        <v>0.15</v>
      </c>
      <c r="J21" s="108">
        <v>0.05</v>
      </c>
      <c r="K21" s="108">
        <v>0.1</v>
      </c>
      <c r="L21" s="108">
        <v>0.08</v>
      </c>
      <c r="M21" s="108">
        <v>0.05</v>
      </c>
      <c r="N21" s="108">
        <v>0.05</v>
      </c>
      <c r="O21" s="108">
        <v>0.05</v>
      </c>
      <c r="P21" s="109">
        <v>0.53</v>
      </c>
      <c r="Q21" s="108">
        <v>0.05</v>
      </c>
      <c r="R21" s="108">
        <v>0.03</v>
      </c>
      <c r="S21" s="109">
        <v>0.08</v>
      </c>
      <c r="T21" s="108">
        <v>0.04</v>
      </c>
      <c r="U21" s="109">
        <v>0.04</v>
      </c>
      <c r="V21" s="108">
        <v>0.08</v>
      </c>
      <c r="W21" s="108">
        <v>0.06</v>
      </c>
      <c r="X21" s="109">
        <v>0.14000000000000001</v>
      </c>
      <c r="Y21" s="108">
        <v>0.05</v>
      </c>
      <c r="Z21" s="108">
        <v>0.06</v>
      </c>
      <c r="AA21" s="108">
        <v>0.04</v>
      </c>
      <c r="AB21" s="108">
        <v>0.06</v>
      </c>
      <c r="AC21" s="109">
        <v>0.21</v>
      </c>
      <c r="AD21" s="110">
        <v>0</v>
      </c>
      <c r="AE21" s="110">
        <v>0</v>
      </c>
      <c r="AF21" s="110">
        <v>0</v>
      </c>
      <c r="AG21" s="111">
        <v>0</v>
      </c>
      <c r="AH21" s="112">
        <v>1.0000000000000002</v>
      </c>
      <c r="AI21" s="113" t="s">
        <v>170</v>
      </c>
      <c r="AJ21" s="20"/>
      <c r="AK21" s="10">
        <v>7032030</v>
      </c>
      <c r="AL21" s="10" t="s">
        <v>38</v>
      </c>
      <c r="AM21" s="11">
        <v>0.95000000000000018</v>
      </c>
      <c r="AN21" s="20" t="e">
        <f>VLOOKUP(AK21,ESPECIALISTA!$C$7:$C$80,1,0)</f>
        <v>#N/A</v>
      </c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</row>
    <row r="22" spans="1:113" ht="15" x14ac:dyDescent="0.25">
      <c r="A22" s="105" t="s">
        <v>198</v>
      </c>
      <c r="B22" s="105">
        <v>42884</v>
      </c>
      <c r="C22" s="106">
        <v>5</v>
      </c>
      <c r="D22" s="106">
        <v>2036786</v>
      </c>
      <c r="E22" s="107" t="s">
        <v>311</v>
      </c>
      <c r="F22" s="116">
        <f>VLOOKUP(E22,Homologacion!$B:$E,4,0)</f>
        <v>12896553</v>
      </c>
      <c r="G22" s="107" t="s">
        <v>192</v>
      </c>
      <c r="H22" s="105" t="s">
        <v>202</v>
      </c>
      <c r="I22" s="108">
        <v>0.15</v>
      </c>
      <c r="J22" s="108">
        <v>0.05</v>
      </c>
      <c r="K22" s="108">
        <v>0.1</v>
      </c>
      <c r="L22" s="108">
        <v>0.08</v>
      </c>
      <c r="M22" s="108">
        <v>0.05</v>
      </c>
      <c r="N22" s="108">
        <v>0.05</v>
      </c>
      <c r="O22" s="108">
        <v>0.05</v>
      </c>
      <c r="P22" s="109">
        <v>0.53</v>
      </c>
      <c r="Q22" s="108">
        <v>0.05</v>
      </c>
      <c r="R22" s="108">
        <v>0.03</v>
      </c>
      <c r="S22" s="109">
        <v>0.08</v>
      </c>
      <c r="T22" s="108">
        <v>0.04</v>
      </c>
      <c r="U22" s="109">
        <v>0.04</v>
      </c>
      <c r="V22" s="108">
        <v>0.08</v>
      </c>
      <c r="W22" s="108">
        <v>0.06</v>
      </c>
      <c r="X22" s="109">
        <v>0.14000000000000001</v>
      </c>
      <c r="Y22" s="108">
        <v>0.05</v>
      </c>
      <c r="Z22" s="108">
        <v>0</v>
      </c>
      <c r="AA22" s="108">
        <v>0.04</v>
      </c>
      <c r="AB22" s="108">
        <v>0.06</v>
      </c>
      <c r="AC22" s="109">
        <v>0.15</v>
      </c>
      <c r="AD22" s="110">
        <v>0</v>
      </c>
      <c r="AE22" s="110">
        <v>0</v>
      </c>
      <c r="AF22" s="110">
        <v>0</v>
      </c>
      <c r="AG22" s="111">
        <v>0</v>
      </c>
      <c r="AH22" s="112">
        <v>0.94000000000000017</v>
      </c>
      <c r="AI22" s="113" t="s">
        <v>169</v>
      </c>
      <c r="AJ22" s="20"/>
      <c r="AK22" s="10">
        <v>7024375</v>
      </c>
      <c r="AL22" s="10" t="s">
        <v>152</v>
      </c>
      <c r="AM22" s="11">
        <v>0</v>
      </c>
      <c r="AN22" s="20" t="e">
        <f>VLOOKUP(AK22,ESPECIALISTA!$C$7:$C$80,1,0)</f>
        <v>#N/A</v>
      </c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</row>
    <row r="23" spans="1:113" ht="15" x14ac:dyDescent="0.25">
      <c r="A23" s="105" t="s">
        <v>198</v>
      </c>
      <c r="B23" s="105">
        <v>42885</v>
      </c>
      <c r="C23" s="106">
        <v>5</v>
      </c>
      <c r="D23" s="106">
        <v>1925738</v>
      </c>
      <c r="E23" s="107" t="s">
        <v>312</v>
      </c>
      <c r="F23" s="116" t="s">
        <v>398</v>
      </c>
      <c r="G23" s="107" t="s">
        <v>201</v>
      </c>
      <c r="H23" s="105" t="s">
        <v>202</v>
      </c>
      <c r="I23" s="108">
        <v>0.15</v>
      </c>
      <c r="J23" s="108">
        <v>0.05</v>
      </c>
      <c r="K23" s="108">
        <v>0.1</v>
      </c>
      <c r="L23" s="108">
        <v>0.08</v>
      </c>
      <c r="M23" s="108">
        <v>0.05</v>
      </c>
      <c r="N23" s="108">
        <v>0.05</v>
      </c>
      <c r="O23" s="108">
        <v>0.05</v>
      </c>
      <c r="P23" s="109">
        <v>0.53</v>
      </c>
      <c r="Q23" s="108">
        <v>0.05</v>
      </c>
      <c r="R23" s="108">
        <v>0.03</v>
      </c>
      <c r="S23" s="109">
        <v>0.08</v>
      </c>
      <c r="T23" s="108">
        <v>0.04</v>
      </c>
      <c r="U23" s="109">
        <v>0.04</v>
      </c>
      <c r="V23" s="108">
        <v>0.08</v>
      </c>
      <c r="W23" s="108">
        <v>0.06</v>
      </c>
      <c r="X23" s="109">
        <v>0.14000000000000001</v>
      </c>
      <c r="Y23" s="108">
        <v>0.05</v>
      </c>
      <c r="Z23" s="108">
        <v>0.06</v>
      </c>
      <c r="AA23" s="108">
        <v>0.04</v>
      </c>
      <c r="AB23" s="108">
        <v>0.06</v>
      </c>
      <c r="AC23" s="109">
        <v>0.21</v>
      </c>
      <c r="AD23" s="110">
        <v>0</v>
      </c>
      <c r="AE23" s="110">
        <v>0</v>
      </c>
      <c r="AF23" s="110">
        <v>0</v>
      </c>
      <c r="AG23" s="111">
        <v>0</v>
      </c>
      <c r="AH23" s="112">
        <v>1.0000000000000002</v>
      </c>
      <c r="AI23" s="113" t="s">
        <v>170</v>
      </c>
      <c r="AJ23" s="20"/>
      <c r="AK23" s="10">
        <v>50067909</v>
      </c>
      <c r="AL23" s="10" t="s">
        <v>40</v>
      </c>
      <c r="AM23" s="11">
        <v>0.96000000000000019</v>
      </c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</row>
    <row r="24" spans="1:113" ht="15" x14ac:dyDescent="0.25">
      <c r="A24" s="105" t="s">
        <v>198</v>
      </c>
      <c r="B24" s="105">
        <v>42885</v>
      </c>
      <c r="C24" s="106">
        <v>5</v>
      </c>
      <c r="D24" s="106">
        <v>2014502</v>
      </c>
      <c r="E24" s="107" t="s">
        <v>313</v>
      </c>
      <c r="F24" s="116">
        <f>VLOOKUP(E24,Homologacion!$B:$E,4,0)</f>
        <v>12896555</v>
      </c>
      <c r="G24" s="107" t="s">
        <v>190</v>
      </c>
      <c r="H24" s="105" t="s">
        <v>202</v>
      </c>
      <c r="I24" s="108">
        <v>0.15</v>
      </c>
      <c r="J24" s="108">
        <v>0.05</v>
      </c>
      <c r="K24" s="108">
        <v>0.1</v>
      </c>
      <c r="L24" s="108">
        <v>0.08</v>
      </c>
      <c r="M24" s="108">
        <v>0.05</v>
      </c>
      <c r="N24" s="108">
        <v>0.05</v>
      </c>
      <c r="O24" s="108">
        <v>0.05</v>
      </c>
      <c r="P24" s="109">
        <v>0.53</v>
      </c>
      <c r="Q24" s="108">
        <v>0.05</v>
      </c>
      <c r="R24" s="108">
        <v>0.03</v>
      </c>
      <c r="S24" s="109">
        <v>0.08</v>
      </c>
      <c r="T24" s="108">
        <v>0.04</v>
      </c>
      <c r="U24" s="109">
        <v>0.04</v>
      </c>
      <c r="V24" s="108">
        <v>0.08</v>
      </c>
      <c r="W24" s="108">
        <v>0.06</v>
      </c>
      <c r="X24" s="109">
        <v>0.14000000000000001</v>
      </c>
      <c r="Y24" s="108">
        <v>0.05</v>
      </c>
      <c r="Z24" s="108">
        <v>0.06</v>
      </c>
      <c r="AA24" s="108">
        <v>0</v>
      </c>
      <c r="AB24" s="108">
        <v>0</v>
      </c>
      <c r="AC24" s="109">
        <v>0.11</v>
      </c>
      <c r="AD24" s="110">
        <v>0</v>
      </c>
      <c r="AE24" s="110">
        <v>0</v>
      </c>
      <c r="AF24" s="110">
        <v>0</v>
      </c>
      <c r="AG24" s="111">
        <v>0</v>
      </c>
      <c r="AH24" s="112">
        <v>0.90000000000000013</v>
      </c>
      <c r="AI24" s="113" t="s">
        <v>169</v>
      </c>
      <c r="AJ24" s="20"/>
      <c r="AK24" s="10" t="s">
        <v>20</v>
      </c>
      <c r="AL24"/>
      <c r="AM24" s="11">
        <v>0.93846153846153868</v>
      </c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</row>
    <row r="25" spans="1:113" ht="15" x14ac:dyDescent="0.25">
      <c r="A25" s="105" t="s">
        <v>198</v>
      </c>
      <c r="B25" s="105">
        <v>42885</v>
      </c>
      <c r="C25" s="106">
        <v>5</v>
      </c>
      <c r="D25" s="106">
        <v>2028926</v>
      </c>
      <c r="E25" s="107" t="s">
        <v>378</v>
      </c>
      <c r="F25" s="116">
        <f>VLOOKUP(E25,Homologacion!$B:$E,4,0)</f>
        <v>12896556</v>
      </c>
      <c r="G25" s="107" t="s">
        <v>190</v>
      </c>
      <c r="H25" s="105" t="s">
        <v>202</v>
      </c>
      <c r="I25" s="108">
        <v>0.15</v>
      </c>
      <c r="J25" s="108">
        <v>0.05</v>
      </c>
      <c r="K25" s="108">
        <v>0.1</v>
      </c>
      <c r="L25" s="108">
        <v>0.08</v>
      </c>
      <c r="M25" s="108">
        <v>0.05</v>
      </c>
      <c r="N25" s="108">
        <v>0.05</v>
      </c>
      <c r="O25" s="108">
        <v>0.05</v>
      </c>
      <c r="P25" s="109">
        <v>0.53</v>
      </c>
      <c r="Q25" s="108">
        <v>0.05</v>
      </c>
      <c r="R25" s="108">
        <v>0.03</v>
      </c>
      <c r="S25" s="109">
        <v>0.08</v>
      </c>
      <c r="T25" s="108">
        <v>0.04</v>
      </c>
      <c r="U25" s="109">
        <v>0.04</v>
      </c>
      <c r="V25" s="108">
        <v>0.08</v>
      </c>
      <c r="W25" s="108">
        <v>0.06</v>
      </c>
      <c r="X25" s="109">
        <v>0.14000000000000001</v>
      </c>
      <c r="Y25" s="108">
        <v>0.05</v>
      </c>
      <c r="Z25" s="108">
        <v>0.06</v>
      </c>
      <c r="AA25" s="108">
        <v>0.04</v>
      </c>
      <c r="AB25" s="108">
        <v>0.06</v>
      </c>
      <c r="AC25" s="109">
        <v>0.21</v>
      </c>
      <c r="AD25" s="110">
        <v>0</v>
      </c>
      <c r="AE25" s="110">
        <v>0</v>
      </c>
      <c r="AF25" s="110">
        <v>0</v>
      </c>
      <c r="AG25" s="111">
        <v>0</v>
      </c>
      <c r="AH25" s="112">
        <v>1.0000000000000002</v>
      </c>
      <c r="AI25" s="113" t="s">
        <v>170</v>
      </c>
      <c r="AJ25" s="20"/>
      <c r="AK25" s="10"/>
      <c r="AL25" s="10"/>
      <c r="AM25" s="11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</row>
    <row r="26" spans="1:113" ht="15" x14ac:dyDescent="0.25">
      <c r="A26" s="105" t="s">
        <v>198</v>
      </c>
      <c r="B26" s="105">
        <v>42885</v>
      </c>
      <c r="C26" s="106">
        <v>5</v>
      </c>
      <c r="D26" s="106">
        <v>1942805</v>
      </c>
      <c r="E26" s="107" t="s">
        <v>379</v>
      </c>
      <c r="F26" s="116">
        <f>VLOOKUP(E26,Homologacion!$B:$E,4,0)</f>
        <v>12896557</v>
      </c>
      <c r="G26" s="107" t="s">
        <v>190</v>
      </c>
      <c r="H26" s="105" t="s">
        <v>202</v>
      </c>
      <c r="I26" s="108">
        <v>0.15</v>
      </c>
      <c r="J26" s="108">
        <v>0.05</v>
      </c>
      <c r="K26" s="108">
        <v>0.1</v>
      </c>
      <c r="L26" s="108">
        <v>0.08</v>
      </c>
      <c r="M26" s="108">
        <v>0.05</v>
      </c>
      <c r="N26" s="108">
        <v>0.05</v>
      </c>
      <c r="O26" s="108">
        <v>0.05</v>
      </c>
      <c r="P26" s="109">
        <v>0.53</v>
      </c>
      <c r="Q26" s="108">
        <v>0.05</v>
      </c>
      <c r="R26" s="108">
        <v>0.03</v>
      </c>
      <c r="S26" s="109">
        <v>0.08</v>
      </c>
      <c r="T26" s="108">
        <v>0.04</v>
      </c>
      <c r="U26" s="109">
        <v>0.04</v>
      </c>
      <c r="V26" s="108">
        <v>0.08</v>
      </c>
      <c r="W26" s="108">
        <v>0.06</v>
      </c>
      <c r="X26" s="109">
        <v>0.14000000000000001</v>
      </c>
      <c r="Y26" s="108">
        <v>0.05</v>
      </c>
      <c r="Z26" s="108">
        <v>0.06</v>
      </c>
      <c r="AA26" s="108">
        <v>0.04</v>
      </c>
      <c r="AB26" s="108">
        <v>0.06</v>
      </c>
      <c r="AC26" s="109">
        <v>0.21</v>
      </c>
      <c r="AD26" s="110">
        <v>0</v>
      </c>
      <c r="AE26" s="110">
        <v>0</v>
      </c>
      <c r="AF26" s="110">
        <v>0</v>
      </c>
      <c r="AG26" s="111">
        <v>0</v>
      </c>
      <c r="AH26" s="112">
        <v>1.0000000000000002</v>
      </c>
      <c r="AI26" s="113" t="s">
        <v>170</v>
      </c>
      <c r="AJ26" s="20"/>
      <c r="AK26"/>
      <c r="AL26"/>
      <c r="AM26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</row>
    <row r="27" spans="1:113" ht="15" x14ac:dyDescent="0.25">
      <c r="A27" s="105" t="s">
        <v>198</v>
      </c>
      <c r="B27" s="105">
        <v>42885</v>
      </c>
      <c r="C27" s="106">
        <v>5</v>
      </c>
      <c r="D27" s="106">
        <v>1934145</v>
      </c>
      <c r="E27" s="107" t="s">
        <v>380</v>
      </c>
      <c r="F27" s="116">
        <f>VLOOKUP(E27,Homologacion!$B:$E,4,0)</f>
        <v>12896558</v>
      </c>
      <c r="G27" s="107" t="s">
        <v>190</v>
      </c>
      <c r="H27" s="105" t="s">
        <v>202</v>
      </c>
      <c r="I27" s="108">
        <v>0.15</v>
      </c>
      <c r="J27" s="108">
        <v>0.05</v>
      </c>
      <c r="K27" s="108">
        <v>0.1</v>
      </c>
      <c r="L27" s="108">
        <v>0.08</v>
      </c>
      <c r="M27" s="108">
        <v>0.05</v>
      </c>
      <c r="N27" s="108">
        <v>0.05</v>
      </c>
      <c r="O27" s="108">
        <v>0.05</v>
      </c>
      <c r="P27" s="109">
        <v>0.53</v>
      </c>
      <c r="Q27" s="108">
        <v>0.05</v>
      </c>
      <c r="R27" s="108">
        <v>0.03</v>
      </c>
      <c r="S27" s="109">
        <v>0.08</v>
      </c>
      <c r="T27" s="108">
        <v>0.04</v>
      </c>
      <c r="U27" s="109">
        <v>0.04</v>
      </c>
      <c r="V27" s="108">
        <v>0.08</v>
      </c>
      <c r="W27" s="108">
        <v>0.06</v>
      </c>
      <c r="X27" s="109">
        <v>0.14000000000000001</v>
      </c>
      <c r="Y27" s="108">
        <v>0.05</v>
      </c>
      <c r="Z27" s="108">
        <v>0.06</v>
      </c>
      <c r="AA27" s="108">
        <v>0.04</v>
      </c>
      <c r="AB27" s="108">
        <v>0.06</v>
      </c>
      <c r="AC27" s="109">
        <v>0.21</v>
      </c>
      <c r="AD27" s="110">
        <v>0</v>
      </c>
      <c r="AE27" s="110">
        <v>0</v>
      </c>
      <c r="AF27" s="110">
        <v>0</v>
      </c>
      <c r="AG27" s="111">
        <v>0</v>
      </c>
      <c r="AH27" s="112">
        <v>1.0000000000000002</v>
      </c>
      <c r="AI27" s="113" t="s">
        <v>170</v>
      </c>
      <c r="AJ27" s="20"/>
      <c r="AK27"/>
      <c r="AL27"/>
      <c r="AM27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</row>
    <row r="28" spans="1:113" ht="15" x14ac:dyDescent="0.25">
      <c r="E28" s="73" t="s">
        <v>236</v>
      </c>
      <c r="G28" s="178">
        <v>25</v>
      </c>
      <c r="H28" s="181" t="s">
        <v>187</v>
      </c>
      <c r="I28" s="165">
        <v>23</v>
      </c>
      <c r="J28" s="165">
        <v>22</v>
      </c>
      <c r="K28" s="165">
        <v>25</v>
      </c>
      <c r="L28" s="165">
        <v>25</v>
      </c>
      <c r="M28" s="165">
        <v>25</v>
      </c>
      <c r="N28" s="165">
        <v>25</v>
      </c>
      <c r="O28" s="165">
        <v>25</v>
      </c>
      <c r="P28" s="166">
        <v>20</v>
      </c>
      <c r="Q28" s="165">
        <v>25</v>
      </c>
      <c r="R28" s="165">
        <v>25</v>
      </c>
      <c r="S28" s="166">
        <v>25</v>
      </c>
      <c r="T28" s="165">
        <v>25</v>
      </c>
      <c r="U28" s="166">
        <v>25</v>
      </c>
      <c r="V28" s="165">
        <v>25</v>
      </c>
      <c r="W28" s="165">
        <v>25</v>
      </c>
      <c r="X28" s="166">
        <v>25</v>
      </c>
      <c r="Y28" s="165">
        <v>25</v>
      </c>
      <c r="Z28" s="165">
        <v>23</v>
      </c>
      <c r="AA28" s="165">
        <v>22</v>
      </c>
      <c r="AB28" s="165">
        <v>24</v>
      </c>
      <c r="AC28" s="166">
        <v>20</v>
      </c>
      <c r="AD28" s="165">
        <v>0</v>
      </c>
      <c r="AE28" s="165">
        <v>1</v>
      </c>
      <c r="AF28" s="165">
        <v>1</v>
      </c>
      <c r="AG28" s="166">
        <v>2</v>
      </c>
      <c r="AH28" s="167">
        <v>2</v>
      </c>
      <c r="AI28" s="168"/>
      <c r="AJ28" s="20"/>
      <c r="AK28"/>
      <c r="AL28"/>
      <c r="AM28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</row>
    <row r="29" spans="1:113" ht="15" x14ac:dyDescent="0.25">
      <c r="E29" s="73" t="s">
        <v>237</v>
      </c>
      <c r="G29" s="176"/>
      <c r="H29" s="182" t="s">
        <v>188</v>
      </c>
      <c r="I29" s="169">
        <v>0.15</v>
      </c>
      <c r="J29" s="169">
        <v>0.05</v>
      </c>
      <c r="K29" s="169">
        <v>0.1</v>
      </c>
      <c r="L29" s="169">
        <v>0.08</v>
      </c>
      <c r="M29" s="169">
        <v>0.05</v>
      </c>
      <c r="N29" s="169">
        <v>0.05</v>
      </c>
      <c r="O29" s="169">
        <v>0.05</v>
      </c>
      <c r="P29" s="170">
        <v>0.53</v>
      </c>
      <c r="Q29" s="169">
        <v>0.05</v>
      </c>
      <c r="R29" s="169">
        <v>0.03</v>
      </c>
      <c r="S29" s="170">
        <v>0.08</v>
      </c>
      <c r="T29" s="169">
        <v>0.04</v>
      </c>
      <c r="U29" s="170">
        <v>0.04</v>
      </c>
      <c r="V29" s="169">
        <v>0.08</v>
      </c>
      <c r="W29" s="169">
        <v>0.06</v>
      </c>
      <c r="X29" s="170">
        <v>0.14000000000000001</v>
      </c>
      <c r="Y29" s="169">
        <v>0.05</v>
      </c>
      <c r="Z29" s="169">
        <v>0.06</v>
      </c>
      <c r="AA29" s="169">
        <v>0.04</v>
      </c>
      <c r="AB29" s="169">
        <v>0.06</v>
      </c>
      <c r="AC29" s="170">
        <v>0.21</v>
      </c>
      <c r="AD29" s="169">
        <v>1</v>
      </c>
      <c r="AE29" s="169">
        <v>1</v>
      </c>
      <c r="AF29" s="169">
        <v>1</v>
      </c>
      <c r="AG29" s="170">
        <v>1</v>
      </c>
      <c r="AH29" s="176"/>
      <c r="AI29" s="176"/>
      <c r="AJ29" s="20"/>
      <c r="AK29"/>
      <c r="AL29"/>
      <c r="AM29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</row>
    <row r="30" spans="1:113" ht="15" x14ac:dyDescent="0.25">
      <c r="G30" s="176"/>
      <c r="H30" s="182" t="s">
        <v>189</v>
      </c>
      <c r="I30" s="171">
        <v>1</v>
      </c>
      <c r="J30" s="171">
        <v>2</v>
      </c>
      <c r="K30" s="171">
        <v>3</v>
      </c>
      <c r="L30" s="171">
        <v>4</v>
      </c>
      <c r="M30" s="171">
        <v>5</v>
      </c>
      <c r="N30" s="171">
        <v>6</v>
      </c>
      <c r="O30" s="171">
        <v>7</v>
      </c>
      <c r="Q30" s="171">
        <v>8</v>
      </c>
      <c r="R30" s="171">
        <v>9</v>
      </c>
      <c r="T30" s="171">
        <v>10</v>
      </c>
      <c r="V30" s="171">
        <v>11</v>
      </c>
      <c r="W30" s="171">
        <v>12</v>
      </c>
      <c r="Y30" s="171">
        <v>13</v>
      </c>
      <c r="Z30" s="171">
        <v>14</v>
      </c>
      <c r="AA30" s="171">
        <v>15</v>
      </c>
      <c r="AB30" s="171">
        <v>16</v>
      </c>
      <c r="AD30" s="171">
        <v>17</v>
      </c>
      <c r="AE30" s="171">
        <v>18</v>
      </c>
      <c r="AF30" s="171">
        <v>19</v>
      </c>
      <c r="AG30" s="176"/>
      <c r="AH30" s="176"/>
      <c r="AI30" s="176"/>
      <c r="AJ30" s="20"/>
      <c r="AK30"/>
      <c r="AL30"/>
      <c r="AM3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</row>
    <row r="31" spans="1:113" ht="15" x14ac:dyDescent="0.25">
      <c r="AJ31" s="20"/>
      <c r="AK31"/>
      <c r="AL31"/>
      <c r="AM31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</row>
    <row r="32" spans="1:113" ht="15" x14ac:dyDescent="0.25">
      <c r="AJ32" s="20"/>
      <c r="AK32"/>
      <c r="AL32"/>
      <c r="AM32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</row>
    <row r="33" spans="36:113" ht="15" x14ac:dyDescent="0.25">
      <c r="AJ33" s="20"/>
      <c r="AK33"/>
      <c r="AL33"/>
      <c r="AM33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</row>
    <row r="34" spans="36:113" ht="15" x14ac:dyDescent="0.25">
      <c r="AJ34" s="20"/>
      <c r="AK34"/>
      <c r="AL34"/>
      <c r="AM34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</row>
    <row r="35" spans="36:113" ht="15" x14ac:dyDescent="0.25">
      <c r="AJ35" s="20"/>
      <c r="AK35"/>
      <c r="AL35"/>
      <c r="AM35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</row>
    <row r="36" spans="36:113" ht="15" x14ac:dyDescent="0.25">
      <c r="AJ36" s="73"/>
      <c r="AK36"/>
      <c r="AL36"/>
      <c r="AM36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</row>
    <row r="37" spans="36:113" ht="15" x14ac:dyDescent="0.25">
      <c r="AJ37" s="73"/>
      <c r="AK37"/>
      <c r="AL37"/>
      <c r="AM37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</row>
    <row r="38" spans="36:113" ht="15" x14ac:dyDescent="0.25">
      <c r="AJ38" s="73"/>
      <c r="AK38"/>
      <c r="AL38"/>
      <c r="AM38"/>
      <c r="AN38" s="20"/>
    </row>
    <row r="39" spans="36:113" ht="15" x14ac:dyDescent="0.25">
      <c r="AJ39" s="73"/>
      <c r="AK39"/>
      <c r="AL39"/>
      <c r="AM39"/>
      <c r="AN39" s="20"/>
    </row>
    <row r="40" spans="36:113" ht="15" x14ac:dyDescent="0.25">
      <c r="AJ40" s="73"/>
      <c r="AK40"/>
      <c r="AL40"/>
      <c r="AM40"/>
    </row>
    <row r="41" spans="36:113" ht="15" x14ac:dyDescent="0.25">
      <c r="AJ41" s="73"/>
      <c r="AK41"/>
      <c r="AL41"/>
    </row>
    <row r="42" spans="36:113" x14ac:dyDescent="0.2">
      <c r="AJ42" s="73"/>
    </row>
    <row r="43" spans="36:113" x14ac:dyDescent="0.2">
      <c r="AJ43" s="73"/>
    </row>
    <row r="44" spans="36:113" x14ac:dyDescent="0.2">
      <c r="AJ44" s="73"/>
    </row>
    <row r="45" spans="36:113" x14ac:dyDescent="0.2">
      <c r="AJ45" s="73"/>
    </row>
    <row r="46" spans="36:113" x14ac:dyDescent="0.2">
      <c r="AJ46" s="73"/>
    </row>
    <row r="47" spans="36:113" x14ac:dyDescent="0.2">
      <c r="AJ47" s="73"/>
    </row>
  </sheetData>
  <autoFilter ref="A2:AI30"/>
  <conditionalFormatting sqref="AH31:AH1048576 AH1:AH2">
    <cfRule type="iconSet" priority="63">
      <iconSet>
        <cfvo type="percent" val="0"/>
        <cfvo type="num" val="0.9"/>
        <cfvo type="num" val="1" gte="0"/>
      </iconSet>
    </cfRule>
  </conditionalFormatting>
  <conditionalFormatting sqref="AH29:AH30 AH3:AH27">
    <cfRule type="iconSet" priority="1">
      <iconSet>
        <cfvo type="percent" val="0"/>
        <cfvo type="num" val="0.9"/>
        <cfvo type="num" val="1" gte="0"/>
      </iconSet>
    </cfRule>
  </conditionalFormatting>
  <conditionalFormatting sqref="AH3:AH27">
    <cfRule type="iconSet" priority="2">
      <iconSet>
        <cfvo type="percent" val="0"/>
        <cfvo type="num" val="0.9" gte="0"/>
        <cfvo type="num" val="1" gte="0"/>
      </iconSet>
    </cfRule>
    <cfRule type="iconSet" priority="3">
      <iconSet>
        <cfvo type="percent" val="0"/>
        <cfvo type="num" val="0.99"/>
        <cfvo type="num" val="1" gte="0"/>
      </iconSet>
    </cfRule>
    <cfRule type="iconSet" priority="4">
      <iconSet>
        <cfvo type="percent" val="0"/>
        <cfvo type="percent" val="33"/>
        <cfvo type="percent" val="67"/>
      </iconSet>
    </cfRule>
  </conditionalFormatting>
  <conditionalFormatting sqref="AH3:AH27">
    <cfRule type="iconSet" priority="5">
      <iconSet>
        <cfvo type="percent" val="0"/>
        <cfvo type="num" val="0.9"/>
        <cfvo type="num" val="1"/>
      </iconSet>
    </cfRule>
    <cfRule type="iconSet" priority="6">
      <iconSet>
        <cfvo type="percent" val="0"/>
        <cfvo type="num" val="0.09"/>
        <cfvo type="num" val="1" gte="0"/>
      </iconSet>
    </cfRule>
  </conditionalFormatting>
  <pageMargins left="0.7" right="0.7" top="0.75" bottom="0.75" header="0.3" footer="0.3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showGridLines="0" zoomScale="80" zoomScaleNormal="80" workbookViewId="0">
      <pane xSplit="1" ySplit="1" topLeftCell="B68" activePane="bottomRight" state="frozen"/>
      <selection pane="topRight" activeCell="B1" sqref="B1"/>
      <selection pane="bottomLeft" activeCell="A3" sqref="A3"/>
      <selection pane="bottomRight" activeCell="C2" sqref="C2:C93"/>
    </sheetView>
  </sheetViews>
  <sheetFormatPr baseColWidth="10" defaultColWidth="11.42578125" defaultRowHeight="15" x14ac:dyDescent="0.25"/>
  <cols>
    <col min="1" max="1" width="4.42578125" style="10" bestFit="1" customWidth="1"/>
    <col min="2" max="2" width="20.7109375" style="10" bestFit="1" customWidth="1"/>
    <col min="3" max="4" width="36" style="10" bestFit="1" customWidth="1"/>
    <col min="5" max="5" width="15.28515625" style="10" customWidth="1"/>
    <col min="6" max="6" width="56" style="10" customWidth="1"/>
    <col min="7" max="16384" width="11.42578125" style="10"/>
  </cols>
  <sheetData>
    <row r="1" spans="1:7" x14ac:dyDescent="0.25">
      <c r="A1" s="119" t="s">
        <v>35</v>
      </c>
      <c r="B1" s="118" t="s">
        <v>156</v>
      </c>
      <c r="C1" s="117" t="s">
        <v>155</v>
      </c>
      <c r="D1" s="117" t="s">
        <v>36</v>
      </c>
      <c r="E1" s="118" t="s">
        <v>153</v>
      </c>
      <c r="F1" s="118" t="s">
        <v>154</v>
      </c>
      <c r="G1" s="118" t="s">
        <v>65</v>
      </c>
    </row>
    <row r="2" spans="1:7" ht="15" customHeight="1" x14ac:dyDescent="0.25">
      <c r="A2" s="12">
        <v>1</v>
      </c>
      <c r="B2" s="12" t="s">
        <v>302</v>
      </c>
      <c r="C2" s="12" t="s">
        <v>211</v>
      </c>
      <c r="D2" s="12" t="s">
        <v>211</v>
      </c>
      <c r="E2" s="12">
        <v>12896534</v>
      </c>
      <c r="F2" s="12" t="s">
        <v>211</v>
      </c>
      <c r="G2" s="10" t="s">
        <v>108</v>
      </c>
    </row>
    <row r="3" spans="1:7" ht="15" customHeight="1" x14ac:dyDescent="0.25">
      <c r="A3" s="12">
        <v>2</v>
      </c>
      <c r="B3" s="12" t="s">
        <v>303</v>
      </c>
      <c r="C3" s="12" t="s">
        <v>212</v>
      </c>
      <c r="D3" s="12" t="s">
        <v>212</v>
      </c>
      <c r="E3" s="12">
        <v>12896535</v>
      </c>
      <c r="F3" s="12" t="s">
        <v>212</v>
      </c>
      <c r="G3" s="10" t="s">
        <v>107</v>
      </c>
    </row>
    <row r="4" spans="1:7" ht="15" customHeight="1" x14ac:dyDescent="0.25">
      <c r="A4" s="12">
        <v>3</v>
      </c>
      <c r="B4" s="12" t="s">
        <v>368</v>
      </c>
      <c r="C4" s="12" t="s">
        <v>213</v>
      </c>
      <c r="D4" s="12" t="s">
        <v>213</v>
      </c>
      <c r="E4" s="12">
        <v>12896536</v>
      </c>
      <c r="F4" s="12" t="s">
        <v>213</v>
      </c>
      <c r="G4" s="10" t="s">
        <v>107</v>
      </c>
    </row>
    <row r="5" spans="1:7" ht="15" customHeight="1" x14ac:dyDescent="0.25">
      <c r="A5" s="12">
        <v>4</v>
      </c>
      <c r="B5" s="12" t="s">
        <v>304</v>
      </c>
      <c r="C5" s="12" t="s">
        <v>214</v>
      </c>
      <c r="D5" s="12" t="s">
        <v>214</v>
      </c>
      <c r="E5" s="12">
        <v>12896537</v>
      </c>
      <c r="F5" s="12" t="s">
        <v>214</v>
      </c>
      <c r="G5" s="10" t="s">
        <v>108</v>
      </c>
    </row>
    <row r="6" spans="1:7" ht="15" customHeight="1" x14ac:dyDescent="0.25">
      <c r="A6" s="14">
        <v>5</v>
      </c>
      <c r="B6" s="12" t="s">
        <v>369</v>
      </c>
      <c r="C6" s="14" t="s">
        <v>215</v>
      </c>
      <c r="D6" s="14" t="s">
        <v>215</v>
      </c>
      <c r="E6" s="14">
        <v>12896538</v>
      </c>
      <c r="F6" s="14" t="s">
        <v>215</v>
      </c>
      <c r="G6" s="10" t="s">
        <v>108</v>
      </c>
    </row>
    <row r="7" spans="1:7" ht="15" customHeight="1" x14ac:dyDescent="0.25">
      <c r="A7" s="12">
        <v>6</v>
      </c>
      <c r="B7" s="12" t="s">
        <v>370</v>
      </c>
      <c r="C7" s="12" t="s">
        <v>216</v>
      </c>
      <c r="D7" s="12" t="s">
        <v>216</v>
      </c>
      <c r="E7" s="12">
        <v>12896539</v>
      </c>
      <c r="F7" s="12" t="s">
        <v>216</v>
      </c>
      <c r="G7" s="10" t="s">
        <v>108</v>
      </c>
    </row>
    <row r="8" spans="1:7" ht="15" customHeight="1" x14ac:dyDescent="0.25">
      <c r="A8" s="12">
        <v>7</v>
      </c>
      <c r="B8" s="12" t="s">
        <v>371</v>
      </c>
      <c r="C8" s="12" t="s">
        <v>217</v>
      </c>
      <c r="D8" s="12" t="s">
        <v>217</v>
      </c>
      <c r="E8" s="12">
        <v>12896540</v>
      </c>
      <c r="F8" s="12" t="s">
        <v>217</v>
      </c>
      <c r="G8" s="10" t="s">
        <v>107</v>
      </c>
    </row>
    <row r="9" spans="1:7" ht="15" customHeight="1" x14ac:dyDescent="0.25">
      <c r="A9" s="12">
        <v>8</v>
      </c>
      <c r="B9" s="12" t="s">
        <v>372</v>
      </c>
      <c r="C9" s="12" t="s">
        <v>218</v>
      </c>
      <c r="D9" s="12" t="s">
        <v>218</v>
      </c>
      <c r="E9" s="12">
        <v>12896541</v>
      </c>
      <c r="F9" s="12" t="s">
        <v>218</v>
      </c>
      <c r="G9" s="10" t="s">
        <v>107</v>
      </c>
    </row>
    <row r="10" spans="1:7" ht="15" customHeight="1" x14ac:dyDescent="0.25">
      <c r="A10" s="12">
        <v>9</v>
      </c>
      <c r="B10" s="12" t="s">
        <v>305</v>
      </c>
      <c r="C10" s="12" t="s">
        <v>219</v>
      </c>
      <c r="D10" s="12" t="s">
        <v>219</v>
      </c>
      <c r="E10" s="12">
        <v>12896542</v>
      </c>
      <c r="F10" s="12" t="s">
        <v>219</v>
      </c>
      <c r="G10" s="10" t="s">
        <v>108</v>
      </c>
    </row>
    <row r="11" spans="1:7" ht="15" customHeight="1" x14ac:dyDescent="0.25">
      <c r="A11" s="12">
        <v>10</v>
      </c>
      <c r="B11" s="12" t="s">
        <v>306</v>
      </c>
      <c r="C11" s="12" t="s">
        <v>220</v>
      </c>
      <c r="D11" s="12" t="s">
        <v>220</v>
      </c>
      <c r="E11" s="12">
        <v>12896543</v>
      </c>
      <c r="F11" s="12" t="s">
        <v>220</v>
      </c>
      <c r="G11" s="10" t="s">
        <v>108</v>
      </c>
    </row>
    <row r="12" spans="1:7" ht="15" customHeight="1" x14ac:dyDescent="0.25">
      <c r="A12" s="12">
        <v>11</v>
      </c>
      <c r="B12" s="12" t="s">
        <v>307</v>
      </c>
      <c r="C12" s="12" t="s">
        <v>221</v>
      </c>
      <c r="D12" s="12" t="s">
        <v>221</v>
      </c>
      <c r="E12" s="12">
        <v>12896544</v>
      </c>
      <c r="F12" s="12" t="s">
        <v>221</v>
      </c>
      <c r="G12" s="10" t="s">
        <v>108</v>
      </c>
    </row>
    <row r="13" spans="1:7" ht="15" customHeight="1" x14ac:dyDescent="0.25">
      <c r="A13" s="12">
        <v>12</v>
      </c>
      <c r="B13" s="12" t="s">
        <v>373</v>
      </c>
      <c r="C13" s="12" t="s">
        <v>222</v>
      </c>
      <c r="D13" s="12" t="s">
        <v>222</v>
      </c>
      <c r="E13" s="12">
        <v>12896545</v>
      </c>
      <c r="F13" s="12" t="s">
        <v>222</v>
      </c>
      <c r="G13" s="10" t="s">
        <v>108</v>
      </c>
    </row>
    <row r="14" spans="1:7" ht="15" customHeight="1" x14ac:dyDescent="0.25">
      <c r="A14" s="12">
        <v>13</v>
      </c>
      <c r="B14" s="12" t="s">
        <v>374</v>
      </c>
      <c r="C14" s="12" t="s">
        <v>223</v>
      </c>
      <c r="D14" s="12" t="s">
        <v>223</v>
      </c>
      <c r="E14" s="12">
        <v>12896546</v>
      </c>
      <c r="F14" s="12" t="s">
        <v>223</v>
      </c>
      <c r="G14" s="10" t="s">
        <v>108</v>
      </c>
    </row>
    <row r="15" spans="1:7" ht="15" customHeight="1" x14ac:dyDescent="0.25">
      <c r="A15" s="12">
        <v>15</v>
      </c>
      <c r="B15" s="12" t="s">
        <v>375</v>
      </c>
      <c r="C15" s="12" t="s">
        <v>224</v>
      </c>
      <c r="D15" s="12" t="s">
        <v>224</v>
      </c>
      <c r="E15" s="12">
        <v>12896547</v>
      </c>
      <c r="F15" s="12" t="s">
        <v>224</v>
      </c>
      <c r="G15" s="10" t="s">
        <v>108</v>
      </c>
    </row>
    <row r="16" spans="1:7" ht="15" customHeight="1" x14ac:dyDescent="0.25">
      <c r="A16" s="12">
        <v>16</v>
      </c>
      <c r="B16" s="12" t="s">
        <v>376</v>
      </c>
      <c r="C16" s="12" t="s">
        <v>225</v>
      </c>
      <c r="D16" s="12" t="s">
        <v>225</v>
      </c>
      <c r="E16" s="12">
        <v>12896548</v>
      </c>
      <c r="F16" s="12" t="s">
        <v>225</v>
      </c>
      <c r="G16" s="10" t="s">
        <v>108</v>
      </c>
    </row>
    <row r="17" spans="1:7" ht="15" customHeight="1" x14ac:dyDescent="0.25">
      <c r="A17" s="12">
        <v>17</v>
      </c>
      <c r="B17" s="12" t="s">
        <v>308</v>
      </c>
      <c r="C17" s="12" t="s">
        <v>226</v>
      </c>
      <c r="D17" s="12" t="s">
        <v>226</v>
      </c>
      <c r="E17" s="12">
        <v>12896549</v>
      </c>
      <c r="F17" s="12" t="s">
        <v>226</v>
      </c>
      <c r="G17" s="10" t="s">
        <v>107</v>
      </c>
    </row>
    <row r="18" spans="1:7" ht="15" customHeight="1" x14ac:dyDescent="0.25">
      <c r="A18" s="12">
        <v>18</v>
      </c>
      <c r="B18" s="12" t="s">
        <v>377</v>
      </c>
      <c r="C18" s="12" t="s">
        <v>227</v>
      </c>
      <c r="D18" s="12" t="s">
        <v>227</v>
      </c>
      <c r="E18" s="12">
        <v>12896550</v>
      </c>
      <c r="F18" s="12" t="s">
        <v>227</v>
      </c>
      <c r="G18" s="10" t="s">
        <v>107</v>
      </c>
    </row>
    <row r="19" spans="1:7" ht="15" customHeight="1" x14ac:dyDescent="0.25">
      <c r="A19" s="12">
        <v>19</v>
      </c>
      <c r="B19" s="12" t="s">
        <v>309</v>
      </c>
      <c r="C19" s="12" t="s">
        <v>228</v>
      </c>
      <c r="D19" s="12" t="s">
        <v>228</v>
      </c>
      <c r="E19" s="12">
        <v>12896551</v>
      </c>
      <c r="F19" s="12" t="s">
        <v>228</v>
      </c>
      <c r="G19" s="10" t="s">
        <v>107</v>
      </c>
    </row>
    <row r="20" spans="1:7" ht="15" customHeight="1" x14ac:dyDescent="0.25">
      <c r="A20" s="12">
        <v>20</v>
      </c>
      <c r="B20" s="12" t="s">
        <v>310</v>
      </c>
      <c r="C20" s="12" t="s">
        <v>229</v>
      </c>
      <c r="D20" s="12" t="s">
        <v>229</v>
      </c>
      <c r="E20" s="12">
        <v>12896552</v>
      </c>
      <c r="F20" s="12" t="s">
        <v>229</v>
      </c>
      <c r="G20" s="10" t="s">
        <v>107</v>
      </c>
    </row>
    <row r="21" spans="1:7" ht="15" customHeight="1" x14ac:dyDescent="0.25">
      <c r="A21" s="12">
        <v>21</v>
      </c>
      <c r="B21" s="12" t="s">
        <v>311</v>
      </c>
      <c r="C21" s="12" t="s">
        <v>230</v>
      </c>
      <c r="D21" s="12" t="s">
        <v>230</v>
      </c>
      <c r="E21" s="12">
        <v>12896553</v>
      </c>
      <c r="F21" s="12" t="s">
        <v>230</v>
      </c>
      <c r="G21" s="10" t="s">
        <v>107</v>
      </c>
    </row>
    <row r="22" spans="1:7" ht="15" customHeight="1" x14ac:dyDescent="0.25">
      <c r="A22" s="12">
        <v>22</v>
      </c>
      <c r="B22" s="12" t="s">
        <v>312</v>
      </c>
      <c r="C22" s="12" t="s">
        <v>231</v>
      </c>
      <c r="D22" s="12" t="s">
        <v>231</v>
      </c>
      <c r="E22" s="12">
        <v>12896554</v>
      </c>
      <c r="F22" s="12" t="s">
        <v>231</v>
      </c>
      <c r="G22" s="10" t="s">
        <v>107</v>
      </c>
    </row>
    <row r="23" spans="1:7" ht="15" customHeight="1" x14ac:dyDescent="0.25">
      <c r="A23" s="12">
        <v>23</v>
      </c>
      <c r="B23" s="12" t="s">
        <v>313</v>
      </c>
      <c r="C23" s="12" t="s">
        <v>232</v>
      </c>
      <c r="D23" s="12" t="s">
        <v>232</v>
      </c>
      <c r="E23" s="12">
        <v>12896555</v>
      </c>
      <c r="F23" s="12" t="s">
        <v>232</v>
      </c>
      <c r="G23" s="10" t="s">
        <v>108</v>
      </c>
    </row>
    <row r="24" spans="1:7" ht="15" customHeight="1" x14ac:dyDescent="0.25">
      <c r="A24" s="12">
        <v>24</v>
      </c>
      <c r="B24" s="12" t="s">
        <v>378</v>
      </c>
      <c r="C24" s="12" t="s">
        <v>233</v>
      </c>
      <c r="D24" s="12" t="s">
        <v>233</v>
      </c>
      <c r="E24" s="12">
        <v>12896556</v>
      </c>
      <c r="F24" s="12" t="s">
        <v>233</v>
      </c>
      <c r="G24" s="10" t="s">
        <v>107</v>
      </c>
    </row>
    <row r="25" spans="1:7" ht="15" customHeight="1" x14ac:dyDescent="0.25">
      <c r="A25" s="12">
        <v>25</v>
      </c>
      <c r="B25" s="12" t="s">
        <v>379</v>
      </c>
      <c r="C25" s="12" t="s">
        <v>234</v>
      </c>
      <c r="D25" s="12" t="s">
        <v>234</v>
      </c>
      <c r="E25" s="12">
        <v>12896557</v>
      </c>
      <c r="F25" s="12" t="s">
        <v>234</v>
      </c>
      <c r="G25" s="10" t="s">
        <v>108</v>
      </c>
    </row>
    <row r="26" spans="1:7" ht="15" customHeight="1" x14ac:dyDescent="0.25">
      <c r="A26" s="12">
        <v>26</v>
      </c>
      <c r="B26" s="12" t="s">
        <v>380</v>
      </c>
      <c r="C26" s="12" t="s">
        <v>235</v>
      </c>
      <c r="D26" s="12" t="s">
        <v>235</v>
      </c>
      <c r="E26" s="12">
        <v>12896558</v>
      </c>
      <c r="F26" s="12" t="s">
        <v>235</v>
      </c>
      <c r="G26" s="10" t="s">
        <v>107</v>
      </c>
    </row>
    <row r="27" spans="1:7" ht="15" customHeight="1" x14ac:dyDescent="0.25">
      <c r="A27" s="12">
        <v>27</v>
      </c>
      <c r="B27" s="12" t="s">
        <v>314</v>
      </c>
      <c r="C27" s="12" t="s">
        <v>236</v>
      </c>
      <c r="D27" s="12" t="s">
        <v>236</v>
      </c>
      <c r="E27" s="12">
        <v>12896559</v>
      </c>
      <c r="F27" s="12" t="s">
        <v>236</v>
      </c>
      <c r="G27" s="10" t="s">
        <v>107</v>
      </c>
    </row>
    <row r="28" spans="1:7" ht="15" customHeight="1" x14ac:dyDescent="0.25">
      <c r="A28" s="12">
        <v>28</v>
      </c>
      <c r="B28" s="12" t="s">
        <v>381</v>
      </c>
      <c r="C28" s="12" t="s">
        <v>237</v>
      </c>
      <c r="D28" s="12" t="s">
        <v>237</v>
      </c>
      <c r="E28" s="12">
        <v>12896560</v>
      </c>
      <c r="F28" s="12" t="s">
        <v>237</v>
      </c>
      <c r="G28" s="10" t="s">
        <v>107</v>
      </c>
    </row>
    <row r="29" spans="1:7" ht="15" customHeight="1" x14ac:dyDescent="0.25">
      <c r="A29" s="12">
        <v>29</v>
      </c>
      <c r="B29" s="12" t="s">
        <v>382</v>
      </c>
      <c r="C29" s="12" t="s">
        <v>238</v>
      </c>
      <c r="D29" s="12" t="s">
        <v>238</v>
      </c>
      <c r="E29" s="12">
        <v>12896561</v>
      </c>
      <c r="F29" s="12" t="s">
        <v>238</v>
      </c>
      <c r="G29" s="10" t="s">
        <v>107</v>
      </c>
    </row>
    <row r="30" spans="1:7" x14ac:dyDescent="0.25">
      <c r="A30" s="12">
        <v>30</v>
      </c>
      <c r="B30" s="12" t="s">
        <v>383</v>
      </c>
      <c r="C30" s="12" t="s">
        <v>239</v>
      </c>
      <c r="D30" s="12" t="s">
        <v>239</v>
      </c>
      <c r="E30" s="12">
        <v>12896562</v>
      </c>
      <c r="F30" s="12" t="s">
        <v>239</v>
      </c>
      <c r="G30" s="10" t="s">
        <v>107</v>
      </c>
    </row>
    <row r="31" spans="1:7" ht="15" customHeight="1" x14ac:dyDescent="0.25">
      <c r="A31" s="12">
        <v>31</v>
      </c>
      <c r="B31" s="12" t="s">
        <v>384</v>
      </c>
      <c r="C31" s="12" t="s">
        <v>240</v>
      </c>
      <c r="D31" s="12" t="s">
        <v>240</v>
      </c>
      <c r="E31" s="12">
        <v>12896563</v>
      </c>
      <c r="F31" s="12" t="s">
        <v>240</v>
      </c>
      <c r="G31" s="10" t="s">
        <v>108</v>
      </c>
    </row>
    <row r="32" spans="1:7" ht="15" customHeight="1" x14ac:dyDescent="0.25">
      <c r="A32" s="12">
        <v>32</v>
      </c>
      <c r="B32" s="12" t="s">
        <v>385</v>
      </c>
      <c r="C32" s="12" t="s">
        <v>241</v>
      </c>
      <c r="D32" s="12" t="s">
        <v>241</v>
      </c>
      <c r="E32" s="12">
        <v>12896564</v>
      </c>
      <c r="F32" s="12" t="s">
        <v>241</v>
      </c>
      <c r="G32" s="10" t="s">
        <v>108</v>
      </c>
    </row>
    <row r="33" spans="1:7" ht="15" customHeight="1" x14ac:dyDescent="0.25">
      <c r="A33" s="12">
        <v>33</v>
      </c>
      <c r="B33" s="12" t="s">
        <v>315</v>
      </c>
      <c r="C33" s="12" t="s">
        <v>242</v>
      </c>
      <c r="D33" s="12" t="s">
        <v>242</v>
      </c>
      <c r="E33" s="12">
        <v>12896565</v>
      </c>
      <c r="F33" s="12" t="s">
        <v>242</v>
      </c>
      <c r="G33" s="10" t="s">
        <v>107</v>
      </c>
    </row>
    <row r="34" spans="1:7" ht="15" customHeight="1" x14ac:dyDescent="0.25">
      <c r="A34" s="12">
        <v>34</v>
      </c>
      <c r="B34" s="12" t="s">
        <v>386</v>
      </c>
      <c r="C34" s="12" t="s">
        <v>243</v>
      </c>
      <c r="D34" s="12" t="s">
        <v>243</v>
      </c>
      <c r="E34" s="12">
        <v>12896566</v>
      </c>
      <c r="F34" s="12" t="s">
        <v>243</v>
      </c>
      <c r="G34" s="10" t="s">
        <v>108</v>
      </c>
    </row>
    <row r="35" spans="1:7" ht="15" customHeight="1" x14ac:dyDescent="0.25">
      <c r="A35" s="12">
        <v>35</v>
      </c>
      <c r="B35" s="12" t="s">
        <v>387</v>
      </c>
      <c r="C35" s="12" t="s">
        <v>244</v>
      </c>
      <c r="D35" s="12" t="s">
        <v>244</v>
      </c>
      <c r="E35" s="12">
        <v>12896567</v>
      </c>
      <c r="F35" s="12" t="s">
        <v>244</v>
      </c>
      <c r="G35" s="10" t="s">
        <v>107</v>
      </c>
    </row>
    <row r="36" spans="1:7" ht="15" customHeight="1" x14ac:dyDescent="0.25">
      <c r="A36" s="12">
        <v>36</v>
      </c>
      <c r="B36" s="12" t="s">
        <v>316</v>
      </c>
      <c r="C36" s="12" t="s">
        <v>245</v>
      </c>
      <c r="D36" s="12" t="s">
        <v>245</v>
      </c>
      <c r="E36" s="12">
        <v>12896568</v>
      </c>
      <c r="F36" s="12" t="s">
        <v>245</v>
      </c>
      <c r="G36" s="10" t="s">
        <v>107</v>
      </c>
    </row>
    <row r="37" spans="1:7" ht="15" customHeight="1" x14ac:dyDescent="0.25">
      <c r="A37" s="12">
        <v>37</v>
      </c>
      <c r="B37" s="12" t="s">
        <v>317</v>
      </c>
      <c r="C37" s="12" t="s">
        <v>246</v>
      </c>
      <c r="D37" s="12" t="s">
        <v>246</v>
      </c>
      <c r="E37" s="12">
        <v>12896569</v>
      </c>
      <c r="F37" s="12" t="s">
        <v>246</v>
      </c>
      <c r="G37" s="10" t="s">
        <v>107</v>
      </c>
    </row>
    <row r="38" spans="1:7" ht="15" customHeight="1" x14ac:dyDescent="0.25">
      <c r="A38" s="12">
        <v>38</v>
      </c>
      <c r="B38" s="12" t="s">
        <v>318</v>
      </c>
      <c r="C38" s="12" t="s">
        <v>247</v>
      </c>
      <c r="D38" s="12" t="s">
        <v>247</v>
      </c>
      <c r="E38" s="12">
        <v>12896570</v>
      </c>
      <c r="F38" s="12" t="s">
        <v>247</v>
      </c>
      <c r="G38" s="10" t="s">
        <v>108</v>
      </c>
    </row>
    <row r="39" spans="1:7" ht="15" customHeight="1" x14ac:dyDescent="0.25">
      <c r="A39" s="12">
        <v>39</v>
      </c>
      <c r="B39" s="12" t="s">
        <v>319</v>
      </c>
      <c r="C39" s="12" t="s">
        <v>248</v>
      </c>
      <c r="D39" s="12" t="s">
        <v>248</v>
      </c>
      <c r="E39" s="12">
        <v>12896571</v>
      </c>
      <c r="F39" s="12" t="s">
        <v>248</v>
      </c>
      <c r="G39" s="10" t="s">
        <v>108</v>
      </c>
    </row>
    <row r="40" spans="1:7" ht="15" customHeight="1" x14ac:dyDescent="0.25">
      <c r="A40" s="12">
        <v>40</v>
      </c>
      <c r="B40" s="12" t="s">
        <v>320</v>
      </c>
      <c r="C40" s="12" t="s">
        <v>249</v>
      </c>
      <c r="D40" s="12" t="s">
        <v>249</v>
      </c>
      <c r="E40" s="12">
        <v>12896572</v>
      </c>
      <c r="F40" s="12" t="s">
        <v>249</v>
      </c>
      <c r="G40" s="10" t="s">
        <v>108</v>
      </c>
    </row>
    <row r="41" spans="1:7" ht="15" customHeight="1" x14ac:dyDescent="0.25">
      <c r="A41" s="12">
        <v>41</v>
      </c>
      <c r="B41" s="12" t="s">
        <v>388</v>
      </c>
      <c r="C41" s="12" t="s">
        <v>250</v>
      </c>
      <c r="D41" s="12" t="s">
        <v>250</v>
      </c>
      <c r="E41" s="12">
        <v>12896573</v>
      </c>
      <c r="F41" s="12" t="s">
        <v>250</v>
      </c>
      <c r="G41" s="10" t="s">
        <v>108</v>
      </c>
    </row>
    <row r="42" spans="1:7" ht="15" customHeight="1" x14ac:dyDescent="0.25">
      <c r="A42" s="12">
        <v>42</v>
      </c>
      <c r="B42" s="12" t="s">
        <v>389</v>
      </c>
      <c r="C42" s="12" t="s">
        <v>251</v>
      </c>
      <c r="D42" s="12" t="s">
        <v>251</v>
      </c>
      <c r="E42" s="12">
        <v>12896574</v>
      </c>
      <c r="F42" s="12" t="s">
        <v>251</v>
      </c>
      <c r="G42" s="10" t="s">
        <v>107</v>
      </c>
    </row>
    <row r="43" spans="1:7" ht="15" customHeight="1" x14ac:dyDescent="0.25">
      <c r="A43" s="12">
        <v>43</v>
      </c>
      <c r="B43" s="12" t="s">
        <v>390</v>
      </c>
      <c r="C43" s="12" t="s">
        <v>252</v>
      </c>
      <c r="D43" s="12" t="s">
        <v>252</v>
      </c>
      <c r="E43" s="12">
        <v>12896575</v>
      </c>
      <c r="F43" s="12" t="s">
        <v>252</v>
      </c>
      <c r="G43" s="10" t="s">
        <v>108</v>
      </c>
    </row>
    <row r="44" spans="1:7" ht="15" customHeight="1" x14ac:dyDescent="0.25">
      <c r="A44" s="12">
        <v>44</v>
      </c>
      <c r="B44" s="12" t="s">
        <v>391</v>
      </c>
      <c r="C44" s="12" t="s">
        <v>253</v>
      </c>
      <c r="D44" s="12" t="s">
        <v>253</v>
      </c>
      <c r="E44" s="12">
        <v>12896576</v>
      </c>
      <c r="F44" s="12" t="s">
        <v>253</v>
      </c>
      <c r="G44" s="10" t="s">
        <v>108</v>
      </c>
    </row>
    <row r="45" spans="1:7" ht="15" customHeight="1" x14ac:dyDescent="0.25">
      <c r="A45" s="12">
        <v>45</v>
      </c>
      <c r="B45" s="12" t="s">
        <v>392</v>
      </c>
      <c r="C45" s="12" t="s">
        <v>254</v>
      </c>
      <c r="D45" s="12" t="s">
        <v>254</v>
      </c>
      <c r="E45" s="12">
        <v>12896577</v>
      </c>
      <c r="F45" s="12" t="s">
        <v>254</v>
      </c>
      <c r="G45" s="10" t="s">
        <v>108</v>
      </c>
    </row>
    <row r="46" spans="1:7" ht="15" customHeight="1" x14ac:dyDescent="0.25">
      <c r="A46" s="12">
        <v>46</v>
      </c>
      <c r="B46" s="12" t="s">
        <v>321</v>
      </c>
      <c r="C46" s="13" t="s">
        <v>255</v>
      </c>
      <c r="D46" s="13" t="s">
        <v>255</v>
      </c>
      <c r="E46" s="59">
        <v>12896578</v>
      </c>
      <c r="F46" s="59" t="s">
        <v>255</v>
      </c>
      <c r="G46" s="10" t="s">
        <v>108</v>
      </c>
    </row>
    <row r="47" spans="1:7" ht="15" customHeight="1" x14ac:dyDescent="0.25">
      <c r="A47" s="12">
        <v>47</v>
      </c>
      <c r="B47" s="12" t="s">
        <v>322</v>
      </c>
      <c r="C47" s="12" t="s">
        <v>256</v>
      </c>
      <c r="D47" s="12" t="s">
        <v>256</v>
      </c>
      <c r="E47" s="12">
        <v>12896579</v>
      </c>
      <c r="F47" s="12" t="s">
        <v>256</v>
      </c>
      <c r="G47" s="10" t="s">
        <v>107</v>
      </c>
    </row>
    <row r="48" spans="1:7" ht="15" customHeight="1" x14ac:dyDescent="0.25">
      <c r="A48" s="12">
        <v>48</v>
      </c>
      <c r="B48" s="12" t="s">
        <v>323</v>
      </c>
      <c r="C48" s="12" t="s">
        <v>257</v>
      </c>
      <c r="D48" s="12" t="s">
        <v>257</v>
      </c>
      <c r="E48" s="12">
        <v>12896580</v>
      </c>
      <c r="F48" s="12" t="s">
        <v>257</v>
      </c>
      <c r="G48" s="10" t="s">
        <v>108</v>
      </c>
    </row>
    <row r="49" spans="1:7" ht="15" customHeight="1" x14ac:dyDescent="0.25">
      <c r="A49" s="12">
        <v>49</v>
      </c>
      <c r="B49" s="12" t="s">
        <v>324</v>
      </c>
      <c r="C49" s="12" t="s">
        <v>258</v>
      </c>
      <c r="D49" s="12" t="s">
        <v>258</v>
      </c>
      <c r="E49" s="12">
        <v>12896581</v>
      </c>
      <c r="F49" s="12" t="s">
        <v>258</v>
      </c>
      <c r="G49" s="10" t="s">
        <v>108</v>
      </c>
    </row>
    <row r="50" spans="1:7" ht="15" customHeight="1" x14ac:dyDescent="0.25">
      <c r="A50" s="12">
        <v>50</v>
      </c>
      <c r="B50" s="12" t="s">
        <v>325</v>
      </c>
      <c r="C50" s="12" t="s">
        <v>259</v>
      </c>
      <c r="D50" s="12" t="s">
        <v>259</v>
      </c>
      <c r="E50" s="12">
        <v>12896582</v>
      </c>
      <c r="F50" s="12" t="s">
        <v>259</v>
      </c>
      <c r="G50" s="10" t="s">
        <v>108</v>
      </c>
    </row>
    <row r="51" spans="1:7" ht="15" customHeight="1" x14ac:dyDescent="0.25">
      <c r="A51" s="12">
        <v>51</v>
      </c>
      <c r="B51" s="12" t="s">
        <v>326</v>
      </c>
      <c r="C51" s="12" t="s">
        <v>260</v>
      </c>
      <c r="D51" s="12" t="s">
        <v>260</v>
      </c>
      <c r="E51" s="12">
        <v>12896583</v>
      </c>
      <c r="F51" s="12" t="s">
        <v>260</v>
      </c>
      <c r="G51" s="10" t="s">
        <v>107</v>
      </c>
    </row>
    <row r="52" spans="1:7" ht="15" customHeight="1" x14ac:dyDescent="0.25">
      <c r="A52" s="12">
        <v>52</v>
      </c>
      <c r="B52" s="12" t="s">
        <v>327</v>
      </c>
      <c r="C52" s="12" t="s">
        <v>261</v>
      </c>
      <c r="D52" s="12" t="s">
        <v>261</v>
      </c>
      <c r="E52" s="12">
        <v>12896584</v>
      </c>
      <c r="F52" s="12" t="s">
        <v>261</v>
      </c>
      <c r="G52" s="10" t="s">
        <v>107</v>
      </c>
    </row>
    <row r="53" spans="1:7" ht="15" customHeight="1" x14ac:dyDescent="0.25">
      <c r="A53" s="12">
        <v>53</v>
      </c>
      <c r="B53" s="12" t="s">
        <v>328</v>
      </c>
      <c r="C53" s="12" t="s">
        <v>262</v>
      </c>
      <c r="D53" s="12" t="s">
        <v>262</v>
      </c>
      <c r="E53" s="12">
        <v>12896585</v>
      </c>
      <c r="F53" s="12" t="s">
        <v>262</v>
      </c>
      <c r="G53" s="10" t="s">
        <v>107</v>
      </c>
    </row>
    <row r="54" spans="1:7" ht="15" customHeight="1" x14ac:dyDescent="0.25">
      <c r="A54" s="12">
        <v>54</v>
      </c>
      <c r="B54" s="12" t="s">
        <v>329</v>
      </c>
      <c r="C54" s="12" t="s">
        <v>263</v>
      </c>
      <c r="D54" s="12" t="s">
        <v>263</v>
      </c>
      <c r="E54" s="12">
        <v>12896586</v>
      </c>
      <c r="F54" s="12" t="s">
        <v>263</v>
      </c>
      <c r="G54" s="10" t="s">
        <v>108</v>
      </c>
    </row>
    <row r="55" spans="1:7" ht="15" customHeight="1" x14ac:dyDescent="0.25">
      <c r="A55" s="12">
        <v>55</v>
      </c>
      <c r="B55" s="12" t="s">
        <v>330</v>
      </c>
      <c r="C55" s="12" t="s">
        <v>264</v>
      </c>
      <c r="D55" s="12" t="s">
        <v>264</v>
      </c>
      <c r="E55" s="12">
        <v>12896587</v>
      </c>
      <c r="F55" s="12" t="s">
        <v>264</v>
      </c>
      <c r="G55" s="10" t="s">
        <v>108</v>
      </c>
    </row>
    <row r="56" spans="1:7" ht="15" customHeight="1" x14ac:dyDescent="0.25">
      <c r="A56" s="12">
        <v>56</v>
      </c>
      <c r="B56" s="12" t="s">
        <v>331</v>
      </c>
      <c r="C56" s="12" t="s">
        <v>265</v>
      </c>
      <c r="D56" s="12" t="s">
        <v>265</v>
      </c>
      <c r="E56" s="12">
        <v>12896588</v>
      </c>
      <c r="F56" s="12" t="s">
        <v>265</v>
      </c>
      <c r="G56" s="10" t="s">
        <v>108</v>
      </c>
    </row>
    <row r="57" spans="1:7" ht="15" customHeight="1" x14ac:dyDescent="0.25">
      <c r="A57" s="12">
        <v>57</v>
      </c>
      <c r="B57" s="12" t="s">
        <v>332</v>
      </c>
      <c r="C57" s="12" t="s">
        <v>266</v>
      </c>
      <c r="D57" s="12" t="s">
        <v>266</v>
      </c>
      <c r="E57" s="12">
        <v>12896589</v>
      </c>
      <c r="F57" s="12" t="s">
        <v>266</v>
      </c>
      <c r="G57" s="10" t="s">
        <v>108</v>
      </c>
    </row>
    <row r="58" spans="1:7" ht="15" customHeight="1" x14ac:dyDescent="0.25">
      <c r="A58" s="12">
        <v>58</v>
      </c>
      <c r="B58" s="12" t="s">
        <v>333</v>
      </c>
      <c r="C58" s="12" t="s">
        <v>267</v>
      </c>
      <c r="D58" s="12" t="s">
        <v>267</v>
      </c>
      <c r="E58" s="12">
        <v>12896590</v>
      </c>
      <c r="F58" s="12" t="s">
        <v>267</v>
      </c>
      <c r="G58" s="10" t="s">
        <v>108</v>
      </c>
    </row>
    <row r="59" spans="1:7" ht="15" customHeight="1" x14ac:dyDescent="0.25">
      <c r="A59" s="12">
        <v>59</v>
      </c>
      <c r="B59" s="12" t="s">
        <v>334</v>
      </c>
      <c r="C59" s="12" t="s">
        <v>268</v>
      </c>
      <c r="D59" s="12" t="s">
        <v>268</v>
      </c>
      <c r="E59" s="14">
        <v>12896591</v>
      </c>
      <c r="F59" s="12" t="s">
        <v>268</v>
      </c>
      <c r="G59" s="10" t="s">
        <v>107</v>
      </c>
    </row>
    <row r="60" spans="1:7" ht="15" customHeight="1" x14ac:dyDescent="0.25">
      <c r="A60" s="12">
        <v>60</v>
      </c>
      <c r="B60" s="12" t="s">
        <v>335</v>
      </c>
      <c r="C60" s="12" t="s">
        <v>269</v>
      </c>
      <c r="D60" s="12" t="s">
        <v>269</v>
      </c>
      <c r="E60" s="12">
        <v>12896592</v>
      </c>
      <c r="F60" s="12" t="s">
        <v>269</v>
      </c>
      <c r="G60" s="10" t="s">
        <v>108</v>
      </c>
    </row>
    <row r="61" spans="1:7" ht="15" customHeight="1" x14ac:dyDescent="0.25">
      <c r="A61" s="12">
        <v>61</v>
      </c>
      <c r="B61" s="12" t="s">
        <v>336</v>
      </c>
      <c r="C61" s="12" t="s">
        <v>270</v>
      </c>
      <c r="D61" s="12" t="s">
        <v>270</v>
      </c>
      <c r="E61" s="12">
        <v>12896593</v>
      </c>
      <c r="F61" s="12" t="s">
        <v>270</v>
      </c>
      <c r="G61" s="10" t="s">
        <v>108</v>
      </c>
    </row>
    <row r="62" spans="1:7" ht="15" customHeight="1" x14ac:dyDescent="0.25">
      <c r="A62" s="12">
        <v>62</v>
      </c>
      <c r="B62" s="12" t="s">
        <v>337</v>
      </c>
      <c r="C62" s="12" t="s">
        <v>271</v>
      </c>
      <c r="D62" s="12" t="s">
        <v>271</v>
      </c>
      <c r="E62" s="12">
        <v>12896594</v>
      </c>
      <c r="F62" s="12" t="s">
        <v>271</v>
      </c>
      <c r="G62" s="10" t="s">
        <v>108</v>
      </c>
    </row>
    <row r="63" spans="1:7" ht="15" customHeight="1" x14ac:dyDescent="0.25">
      <c r="A63" s="12">
        <v>63</v>
      </c>
      <c r="B63" s="12" t="s">
        <v>338</v>
      </c>
      <c r="C63" s="12" t="s">
        <v>272</v>
      </c>
      <c r="D63" s="12" t="s">
        <v>272</v>
      </c>
      <c r="E63" s="12">
        <v>12896595</v>
      </c>
      <c r="F63" s="12" t="s">
        <v>272</v>
      </c>
      <c r="G63" s="10" t="s">
        <v>107</v>
      </c>
    </row>
    <row r="64" spans="1:7" ht="15" customHeight="1" x14ac:dyDescent="0.25">
      <c r="A64" s="12">
        <v>64</v>
      </c>
      <c r="B64" s="12" t="s">
        <v>339</v>
      </c>
      <c r="C64" s="12" t="s">
        <v>273</v>
      </c>
      <c r="D64" s="12" t="s">
        <v>273</v>
      </c>
      <c r="E64" s="12">
        <v>12896596</v>
      </c>
      <c r="F64" s="12" t="s">
        <v>273</v>
      </c>
      <c r="G64" s="10" t="s">
        <v>107</v>
      </c>
    </row>
    <row r="65" spans="1:7" ht="15" customHeight="1" x14ac:dyDescent="0.25">
      <c r="A65" s="12">
        <v>65</v>
      </c>
      <c r="B65" s="12" t="s">
        <v>340</v>
      </c>
      <c r="C65" s="12" t="s">
        <v>274</v>
      </c>
      <c r="D65" s="12" t="s">
        <v>274</v>
      </c>
      <c r="E65" s="12">
        <v>12896597</v>
      </c>
      <c r="F65" s="12" t="s">
        <v>274</v>
      </c>
      <c r="G65" s="10" t="s">
        <v>107</v>
      </c>
    </row>
    <row r="66" spans="1:7" ht="15" customHeight="1" x14ac:dyDescent="0.25">
      <c r="A66" s="12">
        <v>66</v>
      </c>
      <c r="B66" s="12" t="s">
        <v>341</v>
      </c>
      <c r="C66" s="12" t="s">
        <v>275</v>
      </c>
      <c r="D66" s="12" t="s">
        <v>275</v>
      </c>
      <c r="E66" s="12">
        <v>12896598</v>
      </c>
      <c r="F66" s="12" t="s">
        <v>275</v>
      </c>
      <c r="G66" s="10" t="s">
        <v>107</v>
      </c>
    </row>
    <row r="67" spans="1:7" ht="15" customHeight="1" x14ac:dyDescent="0.25">
      <c r="A67" s="12">
        <v>67</v>
      </c>
      <c r="B67" s="12" t="s">
        <v>342</v>
      </c>
      <c r="C67" s="12" t="s">
        <v>276</v>
      </c>
      <c r="D67" s="12" t="s">
        <v>276</v>
      </c>
      <c r="E67" s="12">
        <v>12896599</v>
      </c>
      <c r="F67" s="12" t="s">
        <v>276</v>
      </c>
      <c r="G67" s="10" t="e">
        <v>#N/A</v>
      </c>
    </row>
    <row r="68" spans="1:7" ht="15" customHeight="1" x14ac:dyDescent="0.25">
      <c r="A68" s="12">
        <v>68</v>
      </c>
      <c r="B68" s="12" t="s">
        <v>343</v>
      </c>
      <c r="C68" s="12" t="s">
        <v>277</v>
      </c>
      <c r="D68" s="12" t="s">
        <v>277</v>
      </c>
      <c r="E68" s="12">
        <v>12896600</v>
      </c>
      <c r="F68" s="12" t="s">
        <v>277</v>
      </c>
      <c r="G68" s="10" t="s">
        <v>107</v>
      </c>
    </row>
    <row r="69" spans="1:7" ht="15" customHeight="1" x14ac:dyDescent="0.25">
      <c r="A69" s="12">
        <v>69</v>
      </c>
      <c r="B69" s="12" t="s">
        <v>344</v>
      </c>
      <c r="C69" s="12" t="s">
        <v>278</v>
      </c>
      <c r="D69" s="12" t="s">
        <v>278</v>
      </c>
      <c r="E69" s="12">
        <v>12896601</v>
      </c>
      <c r="F69" s="12" t="s">
        <v>278</v>
      </c>
      <c r="G69" s="10" t="s">
        <v>108</v>
      </c>
    </row>
    <row r="70" spans="1:7" ht="15" customHeight="1" x14ac:dyDescent="0.25">
      <c r="A70" s="12">
        <v>70</v>
      </c>
      <c r="B70" s="12" t="s">
        <v>345</v>
      </c>
      <c r="C70" s="12" t="s">
        <v>279</v>
      </c>
      <c r="D70" s="12" t="s">
        <v>279</v>
      </c>
      <c r="E70" s="12">
        <v>12896602</v>
      </c>
      <c r="F70" s="12" t="s">
        <v>279</v>
      </c>
      <c r="G70" s="10" t="s">
        <v>108</v>
      </c>
    </row>
    <row r="71" spans="1:7" ht="15" customHeight="1" x14ac:dyDescent="0.25">
      <c r="A71" s="12">
        <v>71</v>
      </c>
      <c r="B71" s="12" t="s">
        <v>346</v>
      </c>
      <c r="C71" s="12" t="s">
        <v>280</v>
      </c>
      <c r="D71" s="12" t="s">
        <v>280</v>
      </c>
      <c r="E71" s="12">
        <v>12896603</v>
      </c>
      <c r="F71" s="12" t="s">
        <v>280</v>
      </c>
      <c r="G71" s="10" t="s">
        <v>108</v>
      </c>
    </row>
    <row r="72" spans="1:7" ht="15" customHeight="1" x14ac:dyDescent="0.25">
      <c r="A72" s="12">
        <v>72</v>
      </c>
      <c r="B72" s="12" t="s">
        <v>347</v>
      </c>
      <c r="C72" s="12" t="s">
        <v>281</v>
      </c>
      <c r="D72" s="12" t="s">
        <v>281</v>
      </c>
      <c r="E72" s="12">
        <v>12896604</v>
      </c>
      <c r="F72" s="12" t="s">
        <v>281</v>
      </c>
      <c r="G72" s="10" t="s">
        <v>108</v>
      </c>
    </row>
    <row r="73" spans="1:7" ht="15" customHeight="1" x14ac:dyDescent="0.25">
      <c r="A73" s="12">
        <v>73</v>
      </c>
      <c r="B73" s="12" t="s">
        <v>348</v>
      </c>
      <c r="C73" s="12" t="s">
        <v>282</v>
      </c>
      <c r="D73" s="12" t="s">
        <v>282</v>
      </c>
      <c r="E73" s="12">
        <v>12896605</v>
      </c>
      <c r="F73" s="12" t="s">
        <v>282</v>
      </c>
      <c r="G73" s="10" t="s">
        <v>108</v>
      </c>
    </row>
    <row r="74" spans="1:7" ht="15" customHeight="1" x14ac:dyDescent="0.25">
      <c r="A74" s="12">
        <v>74</v>
      </c>
      <c r="B74" s="12" t="s">
        <v>349</v>
      </c>
      <c r="C74" s="12" t="s">
        <v>283</v>
      </c>
      <c r="D74" s="12" t="s">
        <v>283</v>
      </c>
      <c r="E74" s="12">
        <v>12896606</v>
      </c>
      <c r="F74" s="12" t="s">
        <v>283</v>
      </c>
      <c r="G74" s="10" t="s">
        <v>107</v>
      </c>
    </row>
    <row r="75" spans="1:7" ht="15" customHeight="1" x14ac:dyDescent="0.25">
      <c r="A75" s="12">
        <v>75</v>
      </c>
      <c r="B75" s="12" t="s">
        <v>350</v>
      </c>
      <c r="C75" s="12" t="s">
        <v>284</v>
      </c>
      <c r="D75" s="12" t="s">
        <v>284</v>
      </c>
      <c r="E75" s="12">
        <v>12896607</v>
      </c>
      <c r="F75" s="12" t="s">
        <v>284</v>
      </c>
      <c r="G75" s="10" t="s">
        <v>107</v>
      </c>
    </row>
    <row r="76" spans="1:7" ht="15" customHeight="1" x14ac:dyDescent="0.25">
      <c r="A76" s="12">
        <v>76</v>
      </c>
      <c r="B76" s="12" t="s">
        <v>351</v>
      </c>
      <c r="C76" s="12" t="s">
        <v>285</v>
      </c>
      <c r="D76" s="12" t="s">
        <v>285</v>
      </c>
      <c r="E76" s="12">
        <v>12896608</v>
      </c>
      <c r="F76" s="12" t="s">
        <v>285</v>
      </c>
      <c r="G76" s="10" t="s">
        <v>107</v>
      </c>
    </row>
    <row r="77" spans="1:7" ht="15" customHeight="1" x14ac:dyDescent="0.25">
      <c r="A77" s="12">
        <v>80</v>
      </c>
      <c r="B77" s="12" t="s">
        <v>352</v>
      </c>
      <c r="C77" s="140" t="s">
        <v>286</v>
      </c>
      <c r="D77" s="140" t="s">
        <v>286</v>
      </c>
      <c r="E77" s="140">
        <v>12896609</v>
      </c>
      <c r="F77" s="140" t="s">
        <v>286</v>
      </c>
      <c r="G77" s="10" t="s">
        <v>109</v>
      </c>
    </row>
    <row r="78" spans="1:7" ht="15" customHeight="1" x14ac:dyDescent="0.25">
      <c r="A78" s="12">
        <v>81</v>
      </c>
      <c r="B78" s="12" t="s">
        <v>353</v>
      </c>
      <c r="C78" s="12" t="s">
        <v>287</v>
      </c>
      <c r="D78" s="12" t="s">
        <v>287</v>
      </c>
      <c r="E78" s="12">
        <v>12896610</v>
      </c>
      <c r="F78" s="12" t="s">
        <v>287</v>
      </c>
      <c r="G78" s="10" t="s">
        <v>109</v>
      </c>
    </row>
    <row r="79" spans="1:7" ht="15" customHeight="1" x14ac:dyDescent="0.25">
      <c r="A79" s="12">
        <v>82</v>
      </c>
      <c r="B79" s="12" t="s">
        <v>354</v>
      </c>
      <c r="C79" s="12" t="s">
        <v>288</v>
      </c>
      <c r="D79" s="12" t="s">
        <v>288</v>
      </c>
      <c r="E79" s="12">
        <v>12896611</v>
      </c>
      <c r="F79" s="12" t="s">
        <v>288</v>
      </c>
      <c r="G79" s="10" t="s">
        <v>109</v>
      </c>
    </row>
    <row r="80" spans="1:7" ht="15" customHeight="1" x14ac:dyDescent="0.25">
      <c r="A80" s="12">
        <v>83</v>
      </c>
      <c r="B80" s="12" t="s">
        <v>355</v>
      </c>
      <c r="C80" s="12" t="s">
        <v>289</v>
      </c>
      <c r="D80" s="12" t="s">
        <v>289</v>
      </c>
      <c r="E80" s="12">
        <v>12896612</v>
      </c>
      <c r="F80" s="12" t="s">
        <v>289</v>
      </c>
      <c r="G80" s="10" t="s">
        <v>109</v>
      </c>
    </row>
    <row r="81" spans="1:7" ht="15" customHeight="1" x14ac:dyDescent="0.25">
      <c r="A81" s="12">
        <v>84</v>
      </c>
      <c r="B81" s="12" t="s">
        <v>356</v>
      </c>
      <c r="C81" s="12" t="s">
        <v>290</v>
      </c>
      <c r="D81" s="12" t="s">
        <v>290</v>
      </c>
      <c r="E81" s="12">
        <v>12896613</v>
      </c>
      <c r="F81" s="12" t="s">
        <v>290</v>
      </c>
      <c r="G81" s="10" t="s">
        <v>109</v>
      </c>
    </row>
    <row r="82" spans="1:7" ht="15" customHeight="1" x14ac:dyDescent="0.25">
      <c r="A82" s="12">
        <v>85</v>
      </c>
      <c r="B82" s="12" t="s">
        <v>357</v>
      </c>
      <c r="C82" s="12" t="s">
        <v>291</v>
      </c>
      <c r="D82" s="12" t="s">
        <v>291</v>
      </c>
      <c r="E82" s="12">
        <v>12896614</v>
      </c>
      <c r="F82" s="12" t="s">
        <v>291</v>
      </c>
      <c r="G82" s="10" t="s">
        <v>109</v>
      </c>
    </row>
    <row r="83" spans="1:7" ht="15" customHeight="1" x14ac:dyDescent="0.25">
      <c r="A83" s="12">
        <v>86</v>
      </c>
      <c r="B83" s="12" t="s">
        <v>358</v>
      </c>
      <c r="C83" s="12" t="s">
        <v>292</v>
      </c>
      <c r="D83" s="12" t="s">
        <v>292</v>
      </c>
      <c r="E83" s="12">
        <v>12896615</v>
      </c>
      <c r="F83" s="12" t="s">
        <v>292</v>
      </c>
      <c r="G83" s="10" t="s">
        <v>109</v>
      </c>
    </row>
    <row r="84" spans="1:7" ht="15" customHeight="1" x14ac:dyDescent="0.25">
      <c r="A84" s="12">
        <v>87</v>
      </c>
      <c r="B84" s="12" t="s">
        <v>359</v>
      </c>
      <c r="C84" s="12" t="s">
        <v>293</v>
      </c>
      <c r="D84" s="12" t="s">
        <v>293</v>
      </c>
      <c r="E84" s="12">
        <v>12896616</v>
      </c>
      <c r="F84" s="12" t="s">
        <v>293</v>
      </c>
      <c r="G84" s="10" t="s">
        <v>109</v>
      </c>
    </row>
    <row r="85" spans="1:7" ht="15" customHeight="1" x14ac:dyDescent="0.25">
      <c r="A85" s="12">
        <v>88</v>
      </c>
      <c r="B85" s="12" t="s">
        <v>360</v>
      </c>
      <c r="C85" s="12" t="s">
        <v>294</v>
      </c>
      <c r="D85" s="12" t="s">
        <v>294</v>
      </c>
      <c r="E85" s="12">
        <v>12896617</v>
      </c>
      <c r="F85" s="12" t="s">
        <v>294</v>
      </c>
      <c r="G85" s="10" t="s">
        <v>109</v>
      </c>
    </row>
    <row r="86" spans="1:7" ht="15" customHeight="1" x14ac:dyDescent="0.25">
      <c r="A86" s="12">
        <v>89</v>
      </c>
      <c r="B86" s="12" t="s">
        <v>361</v>
      </c>
      <c r="C86" s="12" t="s">
        <v>295</v>
      </c>
      <c r="D86" s="12" t="s">
        <v>295</v>
      </c>
      <c r="E86" s="12">
        <v>12896618</v>
      </c>
      <c r="F86" s="12" t="s">
        <v>295</v>
      </c>
      <c r="G86" s="10" t="s">
        <v>109</v>
      </c>
    </row>
    <row r="87" spans="1:7" ht="15" customHeight="1" x14ac:dyDescent="0.25">
      <c r="A87" s="12">
        <v>90</v>
      </c>
      <c r="B87" s="12" t="s">
        <v>362</v>
      </c>
      <c r="C87" s="12" t="s">
        <v>296</v>
      </c>
      <c r="D87" s="12" t="s">
        <v>296</v>
      </c>
      <c r="E87" s="12">
        <v>12896619</v>
      </c>
      <c r="F87" s="12" t="s">
        <v>296</v>
      </c>
      <c r="G87" s="10" t="s">
        <v>109</v>
      </c>
    </row>
    <row r="88" spans="1:7" ht="15" customHeight="1" x14ac:dyDescent="0.25">
      <c r="A88" s="12">
        <v>91</v>
      </c>
      <c r="B88" s="12" t="s">
        <v>363</v>
      </c>
      <c r="C88" s="12" t="s">
        <v>297</v>
      </c>
      <c r="D88" s="12" t="s">
        <v>297</v>
      </c>
      <c r="E88" s="12">
        <v>12896620</v>
      </c>
      <c r="F88" s="12" t="s">
        <v>297</v>
      </c>
      <c r="G88" s="10" t="s">
        <v>109</v>
      </c>
    </row>
    <row r="89" spans="1:7" ht="15" customHeight="1" x14ac:dyDescent="0.25">
      <c r="A89" s="12">
        <v>92</v>
      </c>
      <c r="B89" s="12" t="s">
        <v>364</v>
      </c>
      <c r="C89" s="12" t="s">
        <v>298</v>
      </c>
      <c r="D89" s="12" t="s">
        <v>298</v>
      </c>
      <c r="E89" s="12">
        <v>12896621</v>
      </c>
      <c r="F89" s="12" t="s">
        <v>298</v>
      </c>
      <c r="G89" s="10" t="s">
        <v>92</v>
      </c>
    </row>
    <row r="90" spans="1:7" ht="15" customHeight="1" x14ac:dyDescent="0.25">
      <c r="A90" s="12">
        <v>93</v>
      </c>
      <c r="B90" s="12" t="s">
        <v>365</v>
      </c>
      <c r="C90" s="12" t="s">
        <v>299</v>
      </c>
      <c r="D90" s="12" t="s">
        <v>299</v>
      </c>
      <c r="E90" s="12">
        <v>12896622</v>
      </c>
      <c r="F90" s="12" t="s">
        <v>299</v>
      </c>
      <c r="G90" s="10" t="s">
        <v>92</v>
      </c>
    </row>
    <row r="91" spans="1:7" ht="15" customHeight="1" x14ac:dyDescent="0.25">
      <c r="A91" s="12">
        <v>94</v>
      </c>
      <c r="B91" s="12" t="s">
        <v>366</v>
      </c>
      <c r="C91" s="12" t="s">
        <v>300</v>
      </c>
      <c r="D91" s="12" t="s">
        <v>300</v>
      </c>
      <c r="E91" s="12">
        <v>12896623</v>
      </c>
      <c r="F91" s="12" t="s">
        <v>300</v>
      </c>
      <c r="G91" s="10" t="s">
        <v>92</v>
      </c>
    </row>
    <row r="92" spans="1:7" ht="15" customHeight="1" x14ac:dyDescent="0.25">
      <c r="A92" s="12">
        <v>95</v>
      </c>
      <c r="B92" s="12" t="s">
        <v>367</v>
      </c>
      <c r="C92" s="12" t="s">
        <v>301</v>
      </c>
      <c r="D92" s="12" t="s">
        <v>301</v>
      </c>
      <c r="E92" s="12">
        <v>12896624</v>
      </c>
      <c r="F92" s="12" t="s">
        <v>301</v>
      </c>
      <c r="G92" s="10" t="s">
        <v>92</v>
      </c>
    </row>
    <row r="93" spans="1:7" x14ac:dyDescent="0.25">
      <c r="A93" s="12">
        <v>114</v>
      </c>
      <c r="B93" s="12" t="s">
        <v>393</v>
      </c>
      <c r="C93" s="12" t="s">
        <v>394</v>
      </c>
      <c r="D93" s="12" t="s">
        <v>394</v>
      </c>
      <c r="E93" s="12">
        <v>50098078</v>
      </c>
      <c r="F93" s="12" t="s">
        <v>395</v>
      </c>
      <c r="G93" s="10" t="s">
        <v>93</v>
      </c>
    </row>
  </sheetData>
  <autoFilter ref="A1:H9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sqref="A1:I93"/>
    </sheetView>
  </sheetViews>
  <sheetFormatPr baseColWidth="10" defaultRowHeight="15" x14ac:dyDescent="0.25"/>
  <cols>
    <col min="6" max="6" width="11.42578125" style="10"/>
    <col min="8" max="8" width="11.85546875" bestFit="1" customWidth="1"/>
  </cols>
  <sheetData>
    <row r="1" spans="1:9" x14ac:dyDescent="0.25">
      <c r="A1" s="118" t="s">
        <v>153</v>
      </c>
      <c r="D1" s="118" t="s">
        <v>156</v>
      </c>
      <c r="E1" s="117" t="s">
        <v>36</v>
      </c>
      <c r="F1" s="117" t="s">
        <v>422</v>
      </c>
      <c r="G1" s="118" t="s">
        <v>154</v>
      </c>
      <c r="H1" s="118" t="s">
        <v>399</v>
      </c>
      <c r="I1" s="118" t="s">
        <v>65</v>
      </c>
    </row>
    <row r="2" spans="1:9" x14ac:dyDescent="0.25">
      <c r="A2" s="12">
        <v>12896534</v>
      </c>
      <c r="D2" s="12" t="s">
        <v>302</v>
      </c>
      <c r="E2" s="12" t="s">
        <v>211</v>
      </c>
      <c r="F2" s="12" t="s">
        <v>211</v>
      </c>
      <c r="G2" s="12" t="s">
        <v>211</v>
      </c>
      <c r="H2">
        <f>IF(I2="Especialista UAC",1,IF(I2="Supervisor",2,IF(I2="Jefe",3,IF(I2="Apoyo UAC",4,IF(I2="Especialista UAC Noche",5,0)))))</f>
        <v>4</v>
      </c>
      <c r="I2" s="10" t="s">
        <v>108</v>
      </c>
    </row>
    <row r="3" spans="1:9" x14ac:dyDescent="0.25">
      <c r="A3" s="12">
        <v>12896535</v>
      </c>
      <c r="D3" s="12" t="s">
        <v>303</v>
      </c>
      <c r="E3" s="12" t="s">
        <v>212</v>
      </c>
      <c r="F3" s="12" t="s">
        <v>212</v>
      </c>
      <c r="G3" s="12" t="s">
        <v>212</v>
      </c>
      <c r="H3" s="10">
        <f t="shared" ref="H3:H66" si="0">IF(I3="Especialista UAC",1,IF(I3="Supervisor",2,IF(I3="Jefe",3,IF(I3="Apoyo UAC",4,IF(I3="Especialista UAC Noche",5,0)))))</f>
        <v>1</v>
      </c>
      <c r="I3" s="10" t="s">
        <v>107</v>
      </c>
    </row>
    <row r="4" spans="1:9" x14ac:dyDescent="0.25">
      <c r="A4" s="12">
        <v>12896536</v>
      </c>
      <c r="D4" s="12" t="s">
        <v>368</v>
      </c>
      <c r="E4" s="12" t="s">
        <v>213</v>
      </c>
      <c r="F4" s="12" t="s">
        <v>213</v>
      </c>
      <c r="G4" s="12" t="s">
        <v>213</v>
      </c>
      <c r="H4" s="10">
        <f t="shared" si="0"/>
        <v>1</v>
      </c>
      <c r="I4" s="10" t="s">
        <v>107</v>
      </c>
    </row>
    <row r="5" spans="1:9" x14ac:dyDescent="0.25">
      <c r="A5" s="12">
        <v>12896537</v>
      </c>
      <c r="D5" s="12" t="s">
        <v>304</v>
      </c>
      <c r="E5" s="12" t="s">
        <v>214</v>
      </c>
      <c r="F5" s="12" t="s">
        <v>214</v>
      </c>
      <c r="G5" s="12" t="s">
        <v>214</v>
      </c>
      <c r="H5" s="10">
        <f t="shared" si="0"/>
        <v>4</v>
      </c>
      <c r="I5" s="10" t="s">
        <v>108</v>
      </c>
    </row>
    <row r="6" spans="1:9" x14ac:dyDescent="0.25">
      <c r="A6" s="14">
        <v>12896538</v>
      </c>
      <c r="D6" s="12" t="s">
        <v>369</v>
      </c>
      <c r="E6" s="14" t="s">
        <v>215</v>
      </c>
      <c r="F6" s="14" t="s">
        <v>215</v>
      </c>
      <c r="G6" s="14" t="s">
        <v>215</v>
      </c>
      <c r="H6" s="10">
        <f t="shared" si="0"/>
        <v>4</v>
      </c>
      <c r="I6" s="10" t="s">
        <v>108</v>
      </c>
    </row>
    <row r="7" spans="1:9" x14ac:dyDescent="0.25">
      <c r="A7" s="12">
        <v>12896539</v>
      </c>
      <c r="D7" s="12" t="s">
        <v>370</v>
      </c>
      <c r="E7" s="12" t="s">
        <v>216</v>
      </c>
      <c r="F7" s="12" t="s">
        <v>216</v>
      </c>
      <c r="G7" s="12" t="s">
        <v>216</v>
      </c>
      <c r="H7" s="10">
        <f t="shared" si="0"/>
        <v>4</v>
      </c>
      <c r="I7" s="10" t="s">
        <v>108</v>
      </c>
    </row>
    <row r="8" spans="1:9" x14ac:dyDescent="0.25">
      <c r="A8" s="12">
        <v>12896540</v>
      </c>
      <c r="D8" s="12" t="s">
        <v>371</v>
      </c>
      <c r="E8" s="12" t="s">
        <v>217</v>
      </c>
      <c r="F8" s="12" t="s">
        <v>217</v>
      </c>
      <c r="G8" s="12" t="s">
        <v>217</v>
      </c>
      <c r="H8" s="10">
        <f t="shared" si="0"/>
        <v>1</v>
      </c>
      <c r="I8" s="10" t="s">
        <v>107</v>
      </c>
    </row>
    <row r="9" spans="1:9" x14ac:dyDescent="0.25">
      <c r="A9" s="12">
        <v>12896541</v>
      </c>
      <c r="D9" s="12" t="s">
        <v>372</v>
      </c>
      <c r="E9" s="12" t="s">
        <v>218</v>
      </c>
      <c r="F9" s="12" t="s">
        <v>218</v>
      </c>
      <c r="G9" s="12" t="s">
        <v>218</v>
      </c>
      <c r="H9" s="10">
        <f t="shared" si="0"/>
        <v>1</v>
      </c>
      <c r="I9" s="10" t="s">
        <v>107</v>
      </c>
    </row>
    <row r="10" spans="1:9" x14ac:dyDescent="0.25">
      <c r="A10" s="12">
        <v>12896542</v>
      </c>
      <c r="D10" s="12" t="s">
        <v>305</v>
      </c>
      <c r="E10" s="12" t="s">
        <v>219</v>
      </c>
      <c r="F10" s="12" t="s">
        <v>219</v>
      </c>
      <c r="G10" s="12" t="s">
        <v>219</v>
      </c>
      <c r="H10" s="10">
        <f t="shared" si="0"/>
        <v>4</v>
      </c>
      <c r="I10" s="10" t="s">
        <v>108</v>
      </c>
    </row>
    <row r="11" spans="1:9" x14ac:dyDescent="0.25">
      <c r="A11" s="12">
        <v>12896543</v>
      </c>
      <c r="D11" s="12" t="s">
        <v>306</v>
      </c>
      <c r="E11" s="12" t="s">
        <v>220</v>
      </c>
      <c r="F11" s="12" t="s">
        <v>220</v>
      </c>
      <c r="G11" s="12" t="s">
        <v>220</v>
      </c>
      <c r="H11" s="10">
        <f t="shared" si="0"/>
        <v>4</v>
      </c>
      <c r="I11" s="10" t="s">
        <v>108</v>
      </c>
    </row>
    <row r="12" spans="1:9" x14ac:dyDescent="0.25">
      <c r="A12" s="12">
        <v>12896544</v>
      </c>
      <c r="D12" s="12" t="s">
        <v>307</v>
      </c>
      <c r="E12" s="12" t="s">
        <v>221</v>
      </c>
      <c r="F12" s="12" t="s">
        <v>221</v>
      </c>
      <c r="G12" s="12" t="s">
        <v>221</v>
      </c>
      <c r="H12" s="10">
        <f t="shared" si="0"/>
        <v>4</v>
      </c>
      <c r="I12" s="10" t="s">
        <v>108</v>
      </c>
    </row>
    <row r="13" spans="1:9" x14ac:dyDescent="0.25">
      <c r="A13" s="12">
        <v>12896545</v>
      </c>
      <c r="D13" s="12" t="s">
        <v>373</v>
      </c>
      <c r="E13" s="12" t="s">
        <v>222</v>
      </c>
      <c r="F13" s="12" t="s">
        <v>222</v>
      </c>
      <c r="G13" s="12" t="s">
        <v>222</v>
      </c>
      <c r="H13" s="10">
        <f t="shared" si="0"/>
        <v>4</v>
      </c>
      <c r="I13" s="10" t="s">
        <v>108</v>
      </c>
    </row>
    <row r="14" spans="1:9" x14ac:dyDescent="0.25">
      <c r="A14" s="12">
        <v>12896546</v>
      </c>
      <c r="D14" s="12" t="s">
        <v>374</v>
      </c>
      <c r="E14" s="12" t="s">
        <v>223</v>
      </c>
      <c r="F14" s="12" t="s">
        <v>223</v>
      </c>
      <c r="G14" s="12" t="s">
        <v>223</v>
      </c>
      <c r="H14" s="10">
        <f t="shared" si="0"/>
        <v>4</v>
      </c>
      <c r="I14" s="10" t="s">
        <v>108</v>
      </c>
    </row>
    <row r="15" spans="1:9" x14ac:dyDescent="0.25">
      <c r="A15" s="12">
        <v>12896547</v>
      </c>
      <c r="D15" s="12" t="s">
        <v>375</v>
      </c>
      <c r="E15" s="12" t="s">
        <v>224</v>
      </c>
      <c r="F15" s="12" t="s">
        <v>224</v>
      </c>
      <c r="G15" s="12" t="s">
        <v>224</v>
      </c>
      <c r="H15" s="10">
        <f t="shared" si="0"/>
        <v>4</v>
      </c>
      <c r="I15" s="10" t="s">
        <v>108</v>
      </c>
    </row>
    <row r="16" spans="1:9" x14ac:dyDescent="0.25">
      <c r="A16" s="12">
        <v>12896548</v>
      </c>
      <c r="D16" s="12" t="s">
        <v>376</v>
      </c>
      <c r="E16" s="12" t="s">
        <v>225</v>
      </c>
      <c r="F16" s="12" t="s">
        <v>225</v>
      </c>
      <c r="G16" s="12" t="s">
        <v>225</v>
      </c>
      <c r="H16" s="10">
        <f t="shared" si="0"/>
        <v>4</v>
      </c>
      <c r="I16" s="10" t="s">
        <v>108</v>
      </c>
    </row>
    <row r="17" spans="1:9" x14ac:dyDescent="0.25">
      <c r="A17" s="12">
        <v>12896549</v>
      </c>
      <c r="D17" s="12" t="s">
        <v>308</v>
      </c>
      <c r="E17" s="12" t="s">
        <v>226</v>
      </c>
      <c r="F17" s="12" t="s">
        <v>226</v>
      </c>
      <c r="G17" s="12" t="s">
        <v>226</v>
      </c>
      <c r="H17" s="10">
        <f t="shared" si="0"/>
        <v>1</v>
      </c>
      <c r="I17" s="10" t="s">
        <v>107</v>
      </c>
    </row>
    <row r="18" spans="1:9" x14ac:dyDescent="0.25">
      <c r="A18" s="12">
        <v>12896550</v>
      </c>
      <c r="D18" s="12" t="s">
        <v>377</v>
      </c>
      <c r="E18" s="12" t="s">
        <v>227</v>
      </c>
      <c r="F18" s="12" t="s">
        <v>227</v>
      </c>
      <c r="G18" s="12" t="s">
        <v>227</v>
      </c>
      <c r="H18" s="10">
        <f t="shared" si="0"/>
        <v>1</v>
      </c>
      <c r="I18" s="10" t="s">
        <v>107</v>
      </c>
    </row>
    <row r="19" spans="1:9" x14ac:dyDescent="0.25">
      <c r="A19" s="12">
        <v>12896551</v>
      </c>
      <c r="D19" s="12" t="s">
        <v>309</v>
      </c>
      <c r="E19" s="12" t="s">
        <v>228</v>
      </c>
      <c r="F19" s="12" t="s">
        <v>228</v>
      </c>
      <c r="G19" s="12" t="s">
        <v>228</v>
      </c>
      <c r="H19" s="10">
        <f t="shared" si="0"/>
        <v>1</v>
      </c>
      <c r="I19" s="10" t="s">
        <v>107</v>
      </c>
    </row>
    <row r="20" spans="1:9" x14ac:dyDescent="0.25">
      <c r="A20" s="12">
        <v>12896552</v>
      </c>
      <c r="D20" s="12" t="s">
        <v>310</v>
      </c>
      <c r="E20" s="12" t="s">
        <v>229</v>
      </c>
      <c r="F20" s="12" t="s">
        <v>229</v>
      </c>
      <c r="G20" s="12" t="s">
        <v>229</v>
      </c>
      <c r="H20" s="10">
        <f t="shared" si="0"/>
        <v>1</v>
      </c>
      <c r="I20" s="10" t="s">
        <v>107</v>
      </c>
    </row>
    <row r="21" spans="1:9" x14ac:dyDescent="0.25">
      <c r="A21" s="12">
        <v>12896553</v>
      </c>
      <c r="D21" s="12" t="s">
        <v>311</v>
      </c>
      <c r="E21" s="12" t="s">
        <v>230</v>
      </c>
      <c r="F21" s="12" t="s">
        <v>230</v>
      </c>
      <c r="G21" s="12" t="s">
        <v>230</v>
      </c>
      <c r="H21" s="10">
        <f t="shared" si="0"/>
        <v>1</v>
      </c>
      <c r="I21" s="10" t="s">
        <v>107</v>
      </c>
    </row>
    <row r="22" spans="1:9" x14ac:dyDescent="0.25">
      <c r="A22" s="12">
        <v>12896554</v>
      </c>
      <c r="D22" s="12" t="s">
        <v>312</v>
      </c>
      <c r="E22" s="12" t="s">
        <v>231</v>
      </c>
      <c r="F22" s="12" t="s">
        <v>231</v>
      </c>
      <c r="G22" s="12" t="s">
        <v>231</v>
      </c>
      <c r="H22" s="10">
        <f t="shared" si="0"/>
        <v>1</v>
      </c>
      <c r="I22" s="10" t="s">
        <v>107</v>
      </c>
    </row>
    <row r="23" spans="1:9" x14ac:dyDescent="0.25">
      <c r="A23" s="12">
        <v>12896555</v>
      </c>
      <c r="D23" s="12" t="s">
        <v>313</v>
      </c>
      <c r="E23" s="12" t="s">
        <v>232</v>
      </c>
      <c r="F23" s="12" t="s">
        <v>232</v>
      </c>
      <c r="G23" s="12" t="s">
        <v>232</v>
      </c>
      <c r="H23" s="10">
        <f t="shared" si="0"/>
        <v>4</v>
      </c>
      <c r="I23" s="10" t="s">
        <v>108</v>
      </c>
    </row>
    <row r="24" spans="1:9" x14ac:dyDescent="0.25">
      <c r="A24" s="12">
        <v>12896556</v>
      </c>
      <c r="D24" s="12" t="s">
        <v>378</v>
      </c>
      <c r="E24" s="12" t="s">
        <v>233</v>
      </c>
      <c r="F24" s="12" t="s">
        <v>233</v>
      </c>
      <c r="G24" s="12" t="s">
        <v>233</v>
      </c>
      <c r="H24" s="10">
        <f t="shared" si="0"/>
        <v>1</v>
      </c>
      <c r="I24" s="10" t="s">
        <v>107</v>
      </c>
    </row>
    <row r="25" spans="1:9" x14ac:dyDescent="0.25">
      <c r="A25" s="12">
        <v>12896557</v>
      </c>
      <c r="D25" s="12" t="s">
        <v>379</v>
      </c>
      <c r="E25" s="12" t="s">
        <v>234</v>
      </c>
      <c r="F25" s="12" t="s">
        <v>234</v>
      </c>
      <c r="G25" s="12" t="s">
        <v>234</v>
      </c>
      <c r="H25" s="10">
        <f t="shared" si="0"/>
        <v>4</v>
      </c>
      <c r="I25" s="10" t="s">
        <v>108</v>
      </c>
    </row>
    <row r="26" spans="1:9" x14ac:dyDescent="0.25">
      <c r="A26" s="12">
        <v>12896558</v>
      </c>
      <c r="D26" s="12" t="s">
        <v>380</v>
      </c>
      <c r="E26" s="12" t="s">
        <v>235</v>
      </c>
      <c r="F26" s="12" t="s">
        <v>235</v>
      </c>
      <c r="G26" s="12" t="s">
        <v>235</v>
      </c>
      <c r="H26" s="10">
        <f t="shared" si="0"/>
        <v>1</v>
      </c>
      <c r="I26" s="10" t="s">
        <v>107</v>
      </c>
    </row>
    <row r="27" spans="1:9" x14ac:dyDescent="0.25">
      <c r="A27" s="12">
        <v>12896559</v>
      </c>
      <c r="D27" s="12" t="s">
        <v>314</v>
      </c>
      <c r="E27" s="12" t="s">
        <v>236</v>
      </c>
      <c r="F27" s="12" t="s">
        <v>236</v>
      </c>
      <c r="G27" s="12" t="s">
        <v>236</v>
      </c>
      <c r="H27" s="10">
        <f t="shared" si="0"/>
        <v>1</v>
      </c>
      <c r="I27" s="10" t="s">
        <v>107</v>
      </c>
    </row>
    <row r="28" spans="1:9" x14ac:dyDescent="0.25">
      <c r="A28" s="12">
        <v>12896560</v>
      </c>
      <c r="D28" s="12" t="s">
        <v>381</v>
      </c>
      <c r="E28" s="12" t="s">
        <v>237</v>
      </c>
      <c r="F28" s="12" t="s">
        <v>237</v>
      </c>
      <c r="G28" s="12" t="s">
        <v>237</v>
      </c>
      <c r="H28" s="10">
        <f t="shared" si="0"/>
        <v>1</v>
      </c>
      <c r="I28" s="10" t="s">
        <v>107</v>
      </c>
    </row>
    <row r="29" spans="1:9" x14ac:dyDescent="0.25">
      <c r="A29" s="12">
        <v>12896561</v>
      </c>
      <c r="D29" s="12" t="s">
        <v>382</v>
      </c>
      <c r="E29" s="12" t="s">
        <v>238</v>
      </c>
      <c r="F29" s="12" t="s">
        <v>238</v>
      </c>
      <c r="G29" s="12" t="s">
        <v>238</v>
      </c>
      <c r="H29" s="10">
        <f t="shared" si="0"/>
        <v>1</v>
      </c>
      <c r="I29" s="10" t="s">
        <v>107</v>
      </c>
    </row>
    <row r="30" spans="1:9" x14ac:dyDescent="0.25">
      <c r="A30" s="12">
        <v>12896562</v>
      </c>
      <c r="D30" s="12" t="s">
        <v>383</v>
      </c>
      <c r="E30" s="12" t="s">
        <v>239</v>
      </c>
      <c r="F30" s="12" t="s">
        <v>239</v>
      </c>
      <c r="G30" s="12" t="s">
        <v>239</v>
      </c>
      <c r="H30" s="10">
        <f t="shared" si="0"/>
        <v>1</v>
      </c>
      <c r="I30" s="10" t="s">
        <v>107</v>
      </c>
    </row>
    <row r="31" spans="1:9" x14ac:dyDescent="0.25">
      <c r="A31" s="12">
        <v>12896563</v>
      </c>
      <c r="D31" s="12" t="s">
        <v>384</v>
      </c>
      <c r="E31" s="12" t="s">
        <v>240</v>
      </c>
      <c r="F31" s="12" t="s">
        <v>240</v>
      </c>
      <c r="G31" s="12" t="s">
        <v>240</v>
      </c>
      <c r="H31" s="10">
        <f t="shared" si="0"/>
        <v>4</v>
      </c>
      <c r="I31" s="10" t="s">
        <v>108</v>
      </c>
    </row>
    <row r="32" spans="1:9" x14ac:dyDescent="0.25">
      <c r="A32" s="12">
        <v>12896564</v>
      </c>
      <c r="D32" s="12" t="s">
        <v>385</v>
      </c>
      <c r="E32" s="12" t="s">
        <v>241</v>
      </c>
      <c r="F32" s="12" t="s">
        <v>241</v>
      </c>
      <c r="G32" s="12" t="s">
        <v>241</v>
      </c>
      <c r="H32" s="10">
        <f t="shared" si="0"/>
        <v>4</v>
      </c>
      <c r="I32" s="10" t="s">
        <v>108</v>
      </c>
    </row>
    <row r="33" spans="1:9" x14ac:dyDescent="0.25">
      <c r="A33" s="12">
        <v>12896565</v>
      </c>
      <c r="D33" s="12" t="s">
        <v>315</v>
      </c>
      <c r="E33" s="12" t="s">
        <v>242</v>
      </c>
      <c r="F33" s="12" t="s">
        <v>242</v>
      </c>
      <c r="G33" s="12" t="s">
        <v>242</v>
      </c>
      <c r="H33" s="10">
        <f t="shared" si="0"/>
        <v>1</v>
      </c>
      <c r="I33" s="10" t="s">
        <v>107</v>
      </c>
    </row>
    <row r="34" spans="1:9" x14ac:dyDescent="0.25">
      <c r="A34" s="12">
        <v>12896566</v>
      </c>
      <c r="D34" s="12" t="s">
        <v>386</v>
      </c>
      <c r="E34" s="12" t="s">
        <v>243</v>
      </c>
      <c r="F34" s="12" t="s">
        <v>243</v>
      </c>
      <c r="G34" s="12" t="s">
        <v>243</v>
      </c>
      <c r="H34" s="10">
        <f t="shared" si="0"/>
        <v>4</v>
      </c>
      <c r="I34" s="10" t="s">
        <v>108</v>
      </c>
    </row>
    <row r="35" spans="1:9" x14ac:dyDescent="0.25">
      <c r="A35" s="12">
        <v>12896567</v>
      </c>
      <c r="D35" s="12" t="s">
        <v>387</v>
      </c>
      <c r="E35" s="12" t="s">
        <v>244</v>
      </c>
      <c r="F35" s="12" t="s">
        <v>244</v>
      </c>
      <c r="G35" s="12" t="s">
        <v>244</v>
      </c>
      <c r="H35" s="10">
        <f t="shared" si="0"/>
        <v>1</v>
      </c>
      <c r="I35" s="10" t="s">
        <v>107</v>
      </c>
    </row>
    <row r="36" spans="1:9" x14ac:dyDescent="0.25">
      <c r="A36" s="12">
        <v>12896568</v>
      </c>
      <c r="D36" s="12" t="s">
        <v>316</v>
      </c>
      <c r="E36" s="12" t="s">
        <v>245</v>
      </c>
      <c r="F36" s="12" t="s">
        <v>245</v>
      </c>
      <c r="G36" s="12" t="s">
        <v>245</v>
      </c>
      <c r="H36" s="10">
        <f t="shared" si="0"/>
        <v>1</v>
      </c>
      <c r="I36" s="10" t="s">
        <v>107</v>
      </c>
    </row>
    <row r="37" spans="1:9" x14ac:dyDescent="0.25">
      <c r="A37" s="12">
        <v>12896569</v>
      </c>
      <c r="D37" s="12" t="s">
        <v>317</v>
      </c>
      <c r="E37" s="12" t="s">
        <v>246</v>
      </c>
      <c r="F37" s="12" t="s">
        <v>246</v>
      </c>
      <c r="G37" s="12" t="s">
        <v>246</v>
      </c>
      <c r="H37" s="10">
        <f t="shared" si="0"/>
        <v>1</v>
      </c>
      <c r="I37" s="10" t="s">
        <v>107</v>
      </c>
    </row>
    <row r="38" spans="1:9" x14ac:dyDescent="0.25">
      <c r="A38" s="12">
        <v>12896570</v>
      </c>
      <c r="D38" s="12" t="s">
        <v>318</v>
      </c>
      <c r="E38" s="12" t="s">
        <v>247</v>
      </c>
      <c r="F38" s="12" t="s">
        <v>247</v>
      </c>
      <c r="G38" s="12" t="s">
        <v>247</v>
      </c>
      <c r="H38" s="10">
        <f t="shared" si="0"/>
        <v>4</v>
      </c>
      <c r="I38" s="10" t="s">
        <v>108</v>
      </c>
    </row>
    <row r="39" spans="1:9" x14ac:dyDescent="0.25">
      <c r="A39" s="12">
        <v>12896571</v>
      </c>
      <c r="D39" s="12" t="s">
        <v>319</v>
      </c>
      <c r="E39" s="12" t="s">
        <v>248</v>
      </c>
      <c r="F39" s="12" t="s">
        <v>248</v>
      </c>
      <c r="G39" s="12" t="s">
        <v>248</v>
      </c>
      <c r="H39" s="10">
        <f t="shared" si="0"/>
        <v>4</v>
      </c>
      <c r="I39" s="10" t="s">
        <v>108</v>
      </c>
    </row>
    <row r="40" spans="1:9" x14ac:dyDescent="0.25">
      <c r="A40" s="12">
        <v>12896572</v>
      </c>
      <c r="D40" s="12" t="s">
        <v>320</v>
      </c>
      <c r="E40" s="12" t="s">
        <v>249</v>
      </c>
      <c r="F40" s="12" t="s">
        <v>249</v>
      </c>
      <c r="G40" s="12" t="s">
        <v>249</v>
      </c>
      <c r="H40" s="10">
        <f t="shared" si="0"/>
        <v>4</v>
      </c>
      <c r="I40" s="10" t="s">
        <v>108</v>
      </c>
    </row>
    <row r="41" spans="1:9" x14ac:dyDescent="0.25">
      <c r="A41" s="12">
        <v>12896573</v>
      </c>
      <c r="D41" s="12" t="s">
        <v>388</v>
      </c>
      <c r="E41" s="12" t="s">
        <v>250</v>
      </c>
      <c r="F41" s="12" t="s">
        <v>250</v>
      </c>
      <c r="G41" s="12" t="s">
        <v>250</v>
      </c>
      <c r="H41" s="10">
        <f t="shared" si="0"/>
        <v>4</v>
      </c>
      <c r="I41" s="10" t="s">
        <v>108</v>
      </c>
    </row>
    <row r="42" spans="1:9" x14ac:dyDescent="0.25">
      <c r="A42" s="12">
        <v>12896574</v>
      </c>
      <c r="D42" s="12" t="s">
        <v>389</v>
      </c>
      <c r="E42" s="12" t="s">
        <v>251</v>
      </c>
      <c r="F42" s="12" t="s">
        <v>251</v>
      </c>
      <c r="G42" s="12" t="s">
        <v>251</v>
      </c>
      <c r="H42" s="10">
        <f t="shared" si="0"/>
        <v>1</v>
      </c>
      <c r="I42" s="10" t="s">
        <v>107</v>
      </c>
    </row>
    <row r="43" spans="1:9" x14ac:dyDescent="0.25">
      <c r="A43" s="12">
        <v>12896575</v>
      </c>
      <c r="D43" s="12" t="s">
        <v>390</v>
      </c>
      <c r="E43" s="12" t="s">
        <v>252</v>
      </c>
      <c r="F43" s="12" t="s">
        <v>252</v>
      </c>
      <c r="G43" s="12" t="s">
        <v>252</v>
      </c>
      <c r="H43" s="10">
        <f t="shared" si="0"/>
        <v>4</v>
      </c>
      <c r="I43" s="10" t="s">
        <v>108</v>
      </c>
    </row>
    <row r="44" spans="1:9" x14ac:dyDescent="0.25">
      <c r="A44" s="12">
        <v>12896576</v>
      </c>
      <c r="D44" s="12" t="s">
        <v>391</v>
      </c>
      <c r="E44" s="12" t="s">
        <v>253</v>
      </c>
      <c r="F44" s="12" t="s">
        <v>253</v>
      </c>
      <c r="G44" s="12" t="s">
        <v>253</v>
      </c>
      <c r="H44" s="10">
        <f t="shared" si="0"/>
        <v>4</v>
      </c>
      <c r="I44" s="10" t="s">
        <v>108</v>
      </c>
    </row>
    <row r="45" spans="1:9" x14ac:dyDescent="0.25">
      <c r="A45" s="12">
        <v>12896577</v>
      </c>
      <c r="D45" s="12" t="s">
        <v>392</v>
      </c>
      <c r="E45" s="12" t="s">
        <v>254</v>
      </c>
      <c r="F45" s="12" t="s">
        <v>254</v>
      </c>
      <c r="G45" s="12" t="s">
        <v>254</v>
      </c>
      <c r="H45" s="10">
        <f t="shared" si="0"/>
        <v>4</v>
      </c>
      <c r="I45" s="10" t="s">
        <v>108</v>
      </c>
    </row>
    <row r="46" spans="1:9" x14ac:dyDescent="0.25">
      <c r="A46" s="59">
        <v>12896578</v>
      </c>
      <c r="D46" s="12" t="s">
        <v>321</v>
      </c>
      <c r="E46" s="13" t="s">
        <v>255</v>
      </c>
      <c r="F46" s="13" t="s">
        <v>255</v>
      </c>
      <c r="G46" s="59" t="s">
        <v>255</v>
      </c>
      <c r="H46" s="10">
        <f t="shared" si="0"/>
        <v>4</v>
      </c>
      <c r="I46" s="10" t="s">
        <v>108</v>
      </c>
    </row>
    <row r="47" spans="1:9" x14ac:dyDescent="0.25">
      <c r="A47" s="12">
        <v>12896579</v>
      </c>
      <c r="D47" s="12" t="s">
        <v>322</v>
      </c>
      <c r="E47" s="12" t="s">
        <v>256</v>
      </c>
      <c r="F47" s="12" t="s">
        <v>256</v>
      </c>
      <c r="G47" s="12" t="s">
        <v>256</v>
      </c>
      <c r="H47" s="10">
        <f t="shared" si="0"/>
        <v>1</v>
      </c>
      <c r="I47" s="10" t="s">
        <v>107</v>
      </c>
    </row>
    <row r="48" spans="1:9" x14ac:dyDescent="0.25">
      <c r="A48" s="12">
        <v>12896580</v>
      </c>
      <c r="D48" s="12" t="s">
        <v>323</v>
      </c>
      <c r="E48" s="12" t="s">
        <v>257</v>
      </c>
      <c r="F48" s="12" t="s">
        <v>257</v>
      </c>
      <c r="G48" s="12" t="s">
        <v>257</v>
      </c>
      <c r="H48" s="10">
        <f t="shared" si="0"/>
        <v>4</v>
      </c>
      <c r="I48" s="10" t="s">
        <v>108</v>
      </c>
    </row>
    <row r="49" spans="1:9" x14ac:dyDescent="0.25">
      <c r="A49" s="12">
        <v>12896581</v>
      </c>
      <c r="D49" s="12" t="s">
        <v>324</v>
      </c>
      <c r="E49" s="12" t="s">
        <v>258</v>
      </c>
      <c r="F49" s="12" t="s">
        <v>258</v>
      </c>
      <c r="G49" s="12" t="s">
        <v>258</v>
      </c>
      <c r="H49" s="10">
        <f t="shared" si="0"/>
        <v>4</v>
      </c>
      <c r="I49" s="10" t="s">
        <v>108</v>
      </c>
    </row>
    <row r="50" spans="1:9" x14ac:dyDescent="0.25">
      <c r="A50" s="12">
        <v>12896582</v>
      </c>
      <c r="D50" s="12" t="s">
        <v>325</v>
      </c>
      <c r="E50" s="12" t="s">
        <v>259</v>
      </c>
      <c r="F50" s="12" t="s">
        <v>259</v>
      </c>
      <c r="G50" s="12" t="s">
        <v>259</v>
      </c>
      <c r="H50" s="10">
        <f t="shared" si="0"/>
        <v>4</v>
      </c>
      <c r="I50" s="10" t="s">
        <v>108</v>
      </c>
    </row>
    <row r="51" spans="1:9" x14ac:dyDescent="0.25">
      <c r="A51" s="12">
        <v>12896583</v>
      </c>
      <c r="D51" s="12" t="s">
        <v>326</v>
      </c>
      <c r="E51" s="12" t="s">
        <v>260</v>
      </c>
      <c r="F51" s="12" t="s">
        <v>260</v>
      </c>
      <c r="G51" s="12" t="s">
        <v>260</v>
      </c>
      <c r="H51" s="10">
        <f t="shared" si="0"/>
        <v>1</v>
      </c>
      <c r="I51" s="10" t="s">
        <v>107</v>
      </c>
    </row>
    <row r="52" spans="1:9" x14ac:dyDescent="0.25">
      <c r="A52" s="12">
        <v>12896584</v>
      </c>
      <c r="D52" s="12" t="s">
        <v>327</v>
      </c>
      <c r="E52" s="12" t="s">
        <v>261</v>
      </c>
      <c r="F52" s="12" t="s">
        <v>261</v>
      </c>
      <c r="G52" s="12" t="s">
        <v>261</v>
      </c>
      <c r="H52" s="10">
        <f t="shared" si="0"/>
        <v>1</v>
      </c>
      <c r="I52" s="10" t="s">
        <v>107</v>
      </c>
    </row>
    <row r="53" spans="1:9" x14ac:dyDescent="0.25">
      <c r="A53" s="12">
        <v>12896585</v>
      </c>
      <c r="D53" s="12" t="s">
        <v>328</v>
      </c>
      <c r="E53" s="12" t="s">
        <v>262</v>
      </c>
      <c r="F53" s="12" t="s">
        <v>262</v>
      </c>
      <c r="G53" s="12" t="s">
        <v>262</v>
      </c>
      <c r="H53" s="10">
        <f t="shared" si="0"/>
        <v>1</v>
      </c>
      <c r="I53" s="10" t="s">
        <v>107</v>
      </c>
    </row>
    <row r="54" spans="1:9" x14ac:dyDescent="0.25">
      <c r="A54" s="12">
        <v>12896586</v>
      </c>
      <c r="D54" s="12" t="s">
        <v>329</v>
      </c>
      <c r="E54" s="12" t="s">
        <v>263</v>
      </c>
      <c r="F54" s="12" t="s">
        <v>263</v>
      </c>
      <c r="G54" s="12" t="s">
        <v>263</v>
      </c>
      <c r="H54" s="10">
        <f t="shared" si="0"/>
        <v>4</v>
      </c>
      <c r="I54" s="10" t="s">
        <v>108</v>
      </c>
    </row>
    <row r="55" spans="1:9" x14ac:dyDescent="0.25">
      <c r="A55" s="12">
        <v>12896587</v>
      </c>
      <c r="D55" s="12" t="s">
        <v>330</v>
      </c>
      <c r="E55" s="12" t="s">
        <v>264</v>
      </c>
      <c r="F55" s="12" t="s">
        <v>264</v>
      </c>
      <c r="G55" s="12" t="s">
        <v>264</v>
      </c>
      <c r="H55" s="10">
        <f t="shared" si="0"/>
        <v>4</v>
      </c>
      <c r="I55" s="10" t="s">
        <v>108</v>
      </c>
    </row>
    <row r="56" spans="1:9" x14ac:dyDescent="0.25">
      <c r="A56" s="12">
        <v>12896588</v>
      </c>
      <c r="D56" s="12" t="s">
        <v>331</v>
      </c>
      <c r="E56" s="12" t="s">
        <v>265</v>
      </c>
      <c r="F56" s="12" t="s">
        <v>265</v>
      </c>
      <c r="G56" s="12" t="s">
        <v>265</v>
      </c>
      <c r="H56" s="10">
        <f t="shared" si="0"/>
        <v>4</v>
      </c>
      <c r="I56" s="10" t="s">
        <v>108</v>
      </c>
    </row>
    <row r="57" spans="1:9" x14ac:dyDescent="0.25">
      <c r="A57" s="12">
        <v>12896589</v>
      </c>
      <c r="D57" s="12" t="s">
        <v>332</v>
      </c>
      <c r="E57" s="12" t="s">
        <v>266</v>
      </c>
      <c r="F57" s="12" t="s">
        <v>266</v>
      </c>
      <c r="G57" s="12" t="s">
        <v>266</v>
      </c>
      <c r="H57" s="10">
        <f t="shared" si="0"/>
        <v>4</v>
      </c>
      <c r="I57" s="10" t="s">
        <v>108</v>
      </c>
    </row>
    <row r="58" spans="1:9" x14ac:dyDescent="0.25">
      <c r="A58" s="12">
        <v>12896590</v>
      </c>
      <c r="D58" s="12" t="s">
        <v>333</v>
      </c>
      <c r="E58" s="12" t="s">
        <v>267</v>
      </c>
      <c r="F58" s="12" t="s">
        <v>267</v>
      </c>
      <c r="G58" s="12" t="s">
        <v>267</v>
      </c>
      <c r="H58" s="10">
        <f t="shared" si="0"/>
        <v>4</v>
      </c>
      <c r="I58" s="10" t="s">
        <v>108</v>
      </c>
    </row>
    <row r="59" spans="1:9" x14ac:dyDescent="0.25">
      <c r="A59" s="14">
        <v>12896591</v>
      </c>
      <c r="D59" s="12" t="s">
        <v>334</v>
      </c>
      <c r="E59" s="12" t="s">
        <v>268</v>
      </c>
      <c r="F59" s="12" t="s">
        <v>268</v>
      </c>
      <c r="G59" s="12" t="s">
        <v>268</v>
      </c>
      <c r="H59" s="10">
        <f t="shared" si="0"/>
        <v>1</v>
      </c>
      <c r="I59" s="10" t="s">
        <v>107</v>
      </c>
    </row>
    <row r="60" spans="1:9" x14ac:dyDescent="0.25">
      <c r="A60" s="12">
        <v>12896592</v>
      </c>
      <c r="D60" s="12" t="s">
        <v>335</v>
      </c>
      <c r="E60" s="12" t="s">
        <v>269</v>
      </c>
      <c r="F60" s="12" t="s">
        <v>269</v>
      </c>
      <c r="G60" s="12" t="s">
        <v>269</v>
      </c>
      <c r="H60" s="10">
        <f t="shared" si="0"/>
        <v>4</v>
      </c>
      <c r="I60" s="10" t="s">
        <v>108</v>
      </c>
    </row>
    <row r="61" spans="1:9" x14ac:dyDescent="0.25">
      <c r="A61" s="12">
        <v>12896593</v>
      </c>
      <c r="D61" s="12" t="s">
        <v>336</v>
      </c>
      <c r="E61" s="12" t="s">
        <v>270</v>
      </c>
      <c r="F61" s="12" t="s">
        <v>270</v>
      </c>
      <c r="G61" s="12" t="s">
        <v>270</v>
      </c>
      <c r="H61" s="10">
        <f t="shared" si="0"/>
        <v>4</v>
      </c>
      <c r="I61" s="10" t="s">
        <v>108</v>
      </c>
    </row>
    <row r="62" spans="1:9" x14ac:dyDescent="0.25">
      <c r="A62" s="12">
        <v>12896594</v>
      </c>
      <c r="D62" s="12" t="s">
        <v>337</v>
      </c>
      <c r="E62" s="12" t="s">
        <v>271</v>
      </c>
      <c r="F62" s="12" t="s">
        <v>271</v>
      </c>
      <c r="G62" s="12" t="s">
        <v>271</v>
      </c>
      <c r="H62" s="10">
        <f t="shared" si="0"/>
        <v>4</v>
      </c>
      <c r="I62" s="10" t="s">
        <v>108</v>
      </c>
    </row>
    <row r="63" spans="1:9" x14ac:dyDescent="0.25">
      <c r="A63" s="12">
        <v>12896595</v>
      </c>
      <c r="D63" s="12" t="s">
        <v>338</v>
      </c>
      <c r="E63" s="12" t="s">
        <v>272</v>
      </c>
      <c r="F63" s="12" t="s">
        <v>272</v>
      </c>
      <c r="G63" s="12" t="s">
        <v>272</v>
      </c>
      <c r="H63" s="10">
        <f t="shared" si="0"/>
        <v>1</v>
      </c>
      <c r="I63" s="10" t="s">
        <v>107</v>
      </c>
    </row>
    <row r="64" spans="1:9" x14ac:dyDescent="0.25">
      <c r="A64" s="12">
        <v>12896596</v>
      </c>
      <c r="D64" s="12" t="s">
        <v>339</v>
      </c>
      <c r="E64" s="12" t="s">
        <v>273</v>
      </c>
      <c r="F64" s="12" t="s">
        <v>273</v>
      </c>
      <c r="G64" s="12" t="s">
        <v>273</v>
      </c>
      <c r="H64" s="10">
        <f t="shared" si="0"/>
        <v>1</v>
      </c>
      <c r="I64" s="10" t="s">
        <v>107</v>
      </c>
    </row>
    <row r="65" spans="1:9" x14ac:dyDescent="0.25">
      <c r="A65" s="12">
        <v>12896597</v>
      </c>
      <c r="D65" s="12" t="s">
        <v>340</v>
      </c>
      <c r="E65" s="12" t="s">
        <v>274</v>
      </c>
      <c r="F65" s="12" t="s">
        <v>274</v>
      </c>
      <c r="G65" s="12" t="s">
        <v>274</v>
      </c>
      <c r="H65" s="10">
        <f t="shared" si="0"/>
        <v>1</v>
      </c>
      <c r="I65" s="10" t="s">
        <v>107</v>
      </c>
    </row>
    <row r="66" spans="1:9" x14ac:dyDescent="0.25">
      <c r="A66" s="12">
        <v>12896598</v>
      </c>
      <c r="D66" s="12" t="s">
        <v>341</v>
      </c>
      <c r="E66" s="12" t="s">
        <v>275</v>
      </c>
      <c r="F66" s="12" t="s">
        <v>275</v>
      </c>
      <c r="G66" s="12" t="s">
        <v>275</v>
      </c>
      <c r="H66" s="10">
        <f t="shared" si="0"/>
        <v>1</v>
      </c>
      <c r="I66" s="10" t="s">
        <v>107</v>
      </c>
    </row>
    <row r="67" spans="1:9" x14ac:dyDescent="0.25">
      <c r="A67" s="12">
        <v>12896599</v>
      </c>
      <c r="D67" s="12" t="s">
        <v>342</v>
      </c>
      <c r="E67" s="12" t="s">
        <v>276</v>
      </c>
      <c r="F67" s="12" t="s">
        <v>276</v>
      </c>
      <c r="G67" s="12" t="s">
        <v>276</v>
      </c>
      <c r="H67" s="10" t="e">
        <f t="shared" ref="H67:H92" si="1">IF(I67="Especialista UAC",1,IF(I67="Supervisor",2,IF(I67="Jefe",3,IF(I67="Apoyo UAC",4,IF(I67="Especialista UAC Noche",5,0)))))</f>
        <v>#N/A</v>
      </c>
      <c r="I67" s="10" t="e">
        <v>#N/A</v>
      </c>
    </row>
    <row r="68" spans="1:9" x14ac:dyDescent="0.25">
      <c r="A68" s="12">
        <v>12896600</v>
      </c>
      <c r="D68" s="12" t="s">
        <v>343</v>
      </c>
      <c r="E68" s="12" t="s">
        <v>277</v>
      </c>
      <c r="F68" s="12" t="s">
        <v>277</v>
      </c>
      <c r="G68" s="12" t="s">
        <v>277</v>
      </c>
      <c r="H68" s="10">
        <f t="shared" si="1"/>
        <v>1</v>
      </c>
      <c r="I68" s="10" t="s">
        <v>107</v>
      </c>
    </row>
    <row r="69" spans="1:9" x14ac:dyDescent="0.25">
      <c r="A69" s="12">
        <v>12896601</v>
      </c>
      <c r="D69" s="12" t="s">
        <v>344</v>
      </c>
      <c r="E69" s="12" t="s">
        <v>278</v>
      </c>
      <c r="F69" s="12" t="s">
        <v>278</v>
      </c>
      <c r="G69" s="12" t="s">
        <v>278</v>
      </c>
      <c r="H69" s="10">
        <f t="shared" si="1"/>
        <v>4</v>
      </c>
      <c r="I69" s="10" t="s">
        <v>108</v>
      </c>
    </row>
    <row r="70" spans="1:9" x14ac:dyDescent="0.25">
      <c r="A70" s="12">
        <v>12896602</v>
      </c>
      <c r="D70" s="12" t="s">
        <v>345</v>
      </c>
      <c r="E70" s="12" t="s">
        <v>279</v>
      </c>
      <c r="F70" s="12" t="s">
        <v>279</v>
      </c>
      <c r="G70" s="12" t="s">
        <v>279</v>
      </c>
      <c r="H70" s="10">
        <f t="shared" si="1"/>
        <v>4</v>
      </c>
      <c r="I70" s="10" t="s">
        <v>108</v>
      </c>
    </row>
    <row r="71" spans="1:9" x14ac:dyDescent="0.25">
      <c r="A71" s="12">
        <v>12896603</v>
      </c>
      <c r="D71" s="12" t="s">
        <v>346</v>
      </c>
      <c r="E71" s="12" t="s">
        <v>280</v>
      </c>
      <c r="F71" s="12" t="s">
        <v>280</v>
      </c>
      <c r="G71" s="12" t="s">
        <v>280</v>
      </c>
      <c r="H71" s="10">
        <f t="shared" si="1"/>
        <v>4</v>
      </c>
      <c r="I71" s="10" t="s">
        <v>108</v>
      </c>
    </row>
    <row r="72" spans="1:9" x14ac:dyDescent="0.25">
      <c r="A72" s="12">
        <v>12896604</v>
      </c>
      <c r="D72" s="12" t="s">
        <v>347</v>
      </c>
      <c r="E72" s="12" t="s">
        <v>281</v>
      </c>
      <c r="F72" s="12" t="s">
        <v>281</v>
      </c>
      <c r="G72" s="12" t="s">
        <v>281</v>
      </c>
      <c r="H72" s="10">
        <f t="shared" si="1"/>
        <v>4</v>
      </c>
      <c r="I72" s="10" t="s">
        <v>108</v>
      </c>
    </row>
    <row r="73" spans="1:9" x14ac:dyDescent="0.25">
      <c r="A73" s="12">
        <v>12896605</v>
      </c>
      <c r="D73" s="12" t="s">
        <v>348</v>
      </c>
      <c r="E73" s="12" t="s">
        <v>282</v>
      </c>
      <c r="F73" s="12" t="s">
        <v>282</v>
      </c>
      <c r="G73" s="12" t="s">
        <v>282</v>
      </c>
      <c r="H73" s="10">
        <f t="shared" si="1"/>
        <v>4</v>
      </c>
      <c r="I73" s="10" t="s">
        <v>108</v>
      </c>
    </row>
    <row r="74" spans="1:9" x14ac:dyDescent="0.25">
      <c r="A74" s="12">
        <v>12896606</v>
      </c>
      <c r="D74" s="12" t="s">
        <v>349</v>
      </c>
      <c r="E74" s="12" t="s">
        <v>283</v>
      </c>
      <c r="F74" s="12" t="s">
        <v>283</v>
      </c>
      <c r="G74" s="12" t="s">
        <v>283</v>
      </c>
      <c r="H74" s="10">
        <f t="shared" si="1"/>
        <v>1</v>
      </c>
      <c r="I74" s="10" t="s">
        <v>107</v>
      </c>
    </row>
    <row r="75" spans="1:9" x14ac:dyDescent="0.25">
      <c r="A75" s="12">
        <v>12896607</v>
      </c>
      <c r="D75" s="12" t="s">
        <v>350</v>
      </c>
      <c r="E75" s="12" t="s">
        <v>284</v>
      </c>
      <c r="F75" s="12" t="s">
        <v>284</v>
      </c>
      <c r="G75" s="12" t="s">
        <v>284</v>
      </c>
      <c r="H75" s="10">
        <f t="shared" si="1"/>
        <v>1</v>
      </c>
      <c r="I75" s="10" t="s">
        <v>107</v>
      </c>
    </row>
    <row r="76" spans="1:9" x14ac:dyDescent="0.25">
      <c r="A76" s="12">
        <v>12896608</v>
      </c>
      <c r="D76" s="12" t="s">
        <v>351</v>
      </c>
      <c r="E76" s="12" t="s">
        <v>285</v>
      </c>
      <c r="F76" s="12" t="s">
        <v>285</v>
      </c>
      <c r="G76" s="12" t="s">
        <v>285</v>
      </c>
      <c r="H76" s="10">
        <f t="shared" si="1"/>
        <v>1</v>
      </c>
      <c r="I76" s="10" t="s">
        <v>107</v>
      </c>
    </row>
    <row r="77" spans="1:9" x14ac:dyDescent="0.25">
      <c r="A77" s="140">
        <v>12896609</v>
      </c>
      <c r="D77" s="12" t="s">
        <v>352</v>
      </c>
      <c r="E77" s="140" t="s">
        <v>286</v>
      </c>
      <c r="F77" s="140" t="s">
        <v>286</v>
      </c>
      <c r="G77" s="140" t="s">
        <v>286</v>
      </c>
      <c r="H77" s="10">
        <f t="shared" si="1"/>
        <v>5</v>
      </c>
      <c r="I77" s="10" t="s">
        <v>109</v>
      </c>
    </row>
    <row r="78" spans="1:9" x14ac:dyDescent="0.25">
      <c r="A78" s="12">
        <v>12896610</v>
      </c>
      <c r="D78" s="12" t="s">
        <v>353</v>
      </c>
      <c r="E78" s="12" t="s">
        <v>287</v>
      </c>
      <c r="F78" s="12" t="s">
        <v>287</v>
      </c>
      <c r="G78" s="12" t="s">
        <v>287</v>
      </c>
      <c r="H78" s="10">
        <f t="shared" si="1"/>
        <v>5</v>
      </c>
      <c r="I78" s="10" t="s">
        <v>109</v>
      </c>
    </row>
    <row r="79" spans="1:9" x14ac:dyDescent="0.25">
      <c r="A79" s="12">
        <v>12896611</v>
      </c>
      <c r="D79" s="12" t="s">
        <v>354</v>
      </c>
      <c r="E79" s="12" t="s">
        <v>288</v>
      </c>
      <c r="F79" s="12" t="s">
        <v>288</v>
      </c>
      <c r="G79" s="12" t="s">
        <v>288</v>
      </c>
      <c r="H79" s="10">
        <f t="shared" si="1"/>
        <v>5</v>
      </c>
      <c r="I79" s="10" t="s">
        <v>109</v>
      </c>
    </row>
    <row r="80" spans="1:9" x14ac:dyDescent="0.25">
      <c r="A80" s="12">
        <v>12896612</v>
      </c>
      <c r="D80" s="12" t="s">
        <v>355</v>
      </c>
      <c r="E80" s="12" t="s">
        <v>289</v>
      </c>
      <c r="F80" s="12" t="s">
        <v>289</v>
      </c>
      <c r="G80" s="12" t="s">
        <v>289</v>
      </c>
      <c r="H80" s="10">
        <f t="shared" si="1"/>
        <v>5</v>
      </c>
      <c r="I80" s="10" t="s">
        <v>109</v>
      </c>
    </row>
    <row r="81" spans="1:9" x14ac:dyDescent="0.25">
      <c r="A81" s="12">
        <v>12896613</v>
      </c>
      <c r="D81" s="12" t="s">
        <v>356</v>
      </c>
      <c r="E81" s="12" t="s">
        <v>290</v>
      </c>
      <c r="F81" s="12" t="s">
        <v>290</v>
      </c>
      <c r="G81" s="12" t="s">
        <v>290</v>
      </c>
      <c r="H81" s="10">
        <f t="shared" si="1"/>
        <v>5</v>
      </c>
      <c r="I81" s="10" t="s">
        <v>109</v>
      </c>
    </row>
    <row r="82" spans="1:9" x14ac:dyDescent="0.25">
      <c r="A82" s="12">
        <v>12896614</v>
      </c>
      <c r="D82" s="12" t="s">
        <v>357</v>
      </c>
      <c r="E82" s="12" t="s">
        <v>291</v>
      </c>
      <c r="F82" s="12" t="s">
        <v>291</v>
      </c>
      <c r="G82" s="12" t="s">
        <v>291</v>
      </c>
      <c r="H82" s="10">
        <f t="shared" si="1"/>
        <v>5</v>
      </c>
      <c r="I82" s="10" t="s">
        <v>109</v>
      </c>
    </row>
    <row r="83" spans="1:9" x14ac:dyDescent="0.25">
      <c r="A83" s="12">
        <v>12896615</v>
      </c>
      <c r="D83" s="12" t="s">
        <v>358</v>
      </c>
      <c r="E83" s="12" t="s">
        <v>292</v>
      </c>
      <c r="F83" s="12" t="s">
        <v>292</v>
      </c>
      <c r="G83" s="12" t="s">
        <v>292</v>
      </c>
      <c r="H83" s="10">
        <f t="shared" si="1"/>
        <v>5</v>
      </c>
      <c r="I83" s="10" t="s">
        <v>109</v>
      </c>
    </row>
    <row r="84" spans="1:9" x14ac:dyDescent="0.25">
      <c r="A84" s="12">
        <v>12896616</v>
      </c>
      <c r="D84" s="12" t="s">
        <v>359</v>
      </c>
      <c r="E84" s="12" t="s">
        <v>293</v>
      </c>
      <c r="F84" s="12" t="s">
        <v>293</v>
      </c>
      <c r="G84" s="12" t="s">
        <v>293</v>
      </c>
      <c r="H84" s="10">
        <f t="shared" si="1"/>
        <v>5</v>
      </c>
      <c r="I84" s="10" t="s">
        <v>109</v>
      </c>
    </row>
    <row r="85" spans="1:9" x14ac:dyDescent="0.25">
      <c r="A85" s="12">
        <v>12896617</v>
      </c>
      <c r="D85" s="12" t="s">
        <v>360</v>
      </c>
      <c r="E85" s="12" t="s">
        <v>294</v>
      </c>
      <c r="F85" s="12" t="s">
        <v>294</v>
      </c>
      <c r="G85" s="12" t="s">
        <v>294</v>
      </c>
      <c r="H85" s="10">
        <f t="shared" si="1"/>
        <v>5</v>
      </c>
      <c r="I85" s="10" t="s">
        <v>109</v>
      </c>
    </row>
    <row r="86" spans="1:9" x14ac:dyDescent="0.25">
      <c r="A86" s="12">
        <v>12896618</v>
      </c>
      <c r="D86" s="12" t="s">
        <v>361</v>
      </c>
      <c r="E86" s="12" t="s">
        <v>295</v>
      </c>
      <c r="F86" s="12" t="s">
        <v>295</v>
      </c>
      <c r="G86" s="12" t="s">
        <v>295</v>
      </c>
      <c r="H86" s="10">
        <f t="shared" si="1"/>
        <v>5</v>
      </c>
      <c r="I86" s="10" t="s">
        <v>109</v>
      </c>
    </row>
    <row r="87" spans="1:9" x14ac:dyDescent="0.25">
      <c r="A87" s="12">
        <v>12896619</v>
      </c>
      <c r="D87" s="12" t="s">
        <v>362</v>
      </c>
      <c r="E87" s="12" t="s">
        <v>296</v>
      </c>
      <c r="F87" s="12" t="s">
        <v>296</v>
      </c>
      <c r="G87" s="12" t="s">
        <v>296</v>
      </c>
      <c r="H87" s="10">
        <f t="shared" si="1"/>
        <v>5</v>
      </c>
      <c r="I87" s="10" t="s">
        <v>109</v>
      </c>
    </row>
    <row r="88" spans="1:9" x14ac:dyDescent="0.25">
      <c r="A88" s="12">
        <v>12896620</v>
      </c>
      <c r="D88" s="12" t="s">
        <v>363</v>
      </c>
      <c r="E88" s="12" t="s">
        <v>297</v>
      </c>
      <c r="F88" s="12" t="s">
        <v>297</v>
      </c>
      <c r="G88" s="12" t="s">
        <v>297</v>
      </c>
      <c r="H88" s="10">
        <f t="shared" si="1"/>
        <v>5</v>
      </c>
      <c r="I88" s="10" t="s">
        <v>109</v>
      </c>
    </row>
    <row r="89" spans="1:9" x14ac:dyDescent="0.25">
      <c r="A89" s="12">
        <v>12896621</v>
      </c>
      <c r="D89" s="12" t="s">
        <v>364</v>
      </c>
      <c r="E89" s="12" t="s">
        <v>298</v>
      </c>
      <c r="F89" s="12" t="s">
        <v>298</v>
      </c>
      <c r="G89" s="12" t="s">
        <v>298</v>
      </c>
      <c r="H89" s="10">
        <f t="shared" si="1"/>
        <v>2</v>
      </c>
      <c r="I89" s="10" t="s">
        <v>92</v>
      </c>
    </row>
    <row r="90" spans="1:9" x14ac:dyDescent="0.25">
      <c r="A90" s="12">
        <v>12896622</v>
      </c>
      <c r="D90" s="12" t="s">
        <v>365</v>
      </c>
      <c r="E90" s="12" t="s">
        <v>299</v>
      </c>
      <c r="F90" s="12" t="s">
        <v>299</v>
      </c>
      <c r="G90" s="12" t="s">
        <v>299</v>
      </c>
      <c r="H90" s="10">
        <f t="shared" si="1"/>
        <v>2</v>
      </c>
      <c r="I90" s="10" t="s">
        <v>92</v>
      </c>
    </row>
    <row r="91" spans="1:9" x14ac:dyDescent="0.25">
      <c r="A91" s="12">
        <v>12896623</v>
      </c>
      <c r="D91" s="12" t="s">
        <v>366</v>
      </c>
      <c r="E91" s="12" t="s">
        <v>300</v>
      </c>
      <c r="F91" s="12" t="s">
        <v>300</v>
      </c>
      <c r="G91" s="12" t="s">
        <v>300</v>
      </c>
      <c r="H91" s="10">
        <f t="shared" si="1"/>
        <v>2</v>
      </c>
      <c r="I91" s="10" t="s">
        <v>92</v>
      </c>
    </row>
    <row r="92" spans="1:9" x14ac:dyDescent="0.25">
      <c r="A92" s="12">
        <v>12896624</v>
      </c>
      <c r="D92" s="12" t="s">
        <v>367</v>
      </c>
      <c r="E92" s="12" t="s">
        <v>301</v>
      </c>
      <c r="F92" s="12" t="s">
        <v>301</v>
      </c>
      <c r="G92" s="12" t="s">
        <v>301</v>
      </c>
      <c r="H92" s="10">
        <f t="shared" si="1"/>
        <v>2</v>
      </c>
      <c r="I92" s="10" t="s">
        <v>92</v>
      </c>
    </row>
    <row r="93" spans="1:9" x14ac:dyDescent="0.25">
      <c r="A93" s="12">
        <v>50098078</v>
      </c>
      <c r="D93" s="12" t="s">
        <v>393</v>
      </c>
      <c r="E93" s="12" t="s">
        <v>394</v>
      </c>
      <c r="F93" s="12" t="s">
        <v>394</v>
      </c>
      <c r="G93" s="12" t="s">
        <v>395</v>
      </c>
      <c r="H93" s="10">
        <v>3</v>
      </c>
      <c r="I93" s="10" t="s">
        <v>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C1" workbookViewId="0">
      <selection activeCell="J2" sqref="J2:L7"/>
    </sheetView>
  </sheetViews>
  <sheetFormatPr baseColWidth="10" defaultRowHeight="15" x14ac:dyDescent="0.25"/>
  <cols>
    <col min="3" max="3" width="11.42578125" style="10"/>
    <col min="5" max="5" width="16.140625" customWidth="1"/>
    <col min="6" max="6" width="14.42578125" style="245" customWidth="1"/>
    <col min="15" max="15" width="5.85546875" customWidth="1"/>
  </cols>
  <sheetData>
    <row r="1" spans="1:17" s="10" customFormat="1" x14ac:dyDescent="0.25">
      <c r="A1" s="281" t="s">
        <v>420</v>
      </c>
      <c r="B1" s="281"/>
      <c r="C1" s="281"/>
      <c r="D1" s="281"/>
      <c r="E1" s="281"/>
      <c r="F1" s="281"/>
      <c r="H1" s="282" t="s">
        <v>421</v>
      </c>
      <c r="I1" s="282"/>
      <c r="J1" s="282"/>
      <c r="K1" s="282"/>
      <c r="L1" s="282"/>
      <c r="O1" s="282" t="s">
        <v>415</v>
      </c>
      <c r="P1" s="282"/>
      <c r="Q1" s="282"/>
    </row>
    <row r="2" spans="1:17" x14ac:dyDescent="0.25">
      <c r="A2" s="249" t="s">
        <v>409</v>
      </c>
      <c r="B2" s="255" t="s">
        <v>410</v>
      </c>
      <c r="C2" s="250" t="s">
        <v>411</v>
      </c>
      <c r="D2" s="255" t="s">
        <v>412</v>
      </c>
      <c r="E2" s="250" t="s">
        <v>413</v>
      </c>
      <c r="F2" s="256" t="s">
        <v>414</v>
      </c>
      <c r="H2" t="s">
        <v>409</v>
      </c>
      <c r="I2" t="s">
        <v>410</v>
      </c>
      <c r="J2" t="s">
        <v>411</v>
      </c>
      <c r="K2" t="s">
        <v>415</v>
      </c>
      <c r="L2" t="s">
        <v>416</v>
      </c>
      <c r="O2" t="s">
        <v>411</v>
      </c>
      <c r="P2" t="s">
        <v>415</v>
      </c>
      <c r="Q2" t="s">
        <v>417</v>
      </c>
    </row>
    <row r="3" spans="1:17" ht="30" x14ac:dyDescent="0.25">
      <c r="A3" s="247">
        <v>2017</v>
      </c>
      <c r="B3" s="212">
        <v>11</v>
      </c>
      <c r="C3" s="246" t="s">
        <v>402</v>
      </c>
      <c r="D3" s="246" t="s">
        <v>3</v>
      </c>
      <c r="E3" s="246" t="s">
        <v>405</v>
      </c>
      <c r="F3" s="248" t="s">
        <v>394</v>
      </c>
      <c r="H3" s="212">
        <v>2017</v>
      </c>
      <c r="I3" s="212">
        <v>11</v>
      </c>
      <c r="J3" s="212">
        <v>4</v>
      </c>
      <c r="K3" s="244" t="s">
        <v>108</v>
      </c>
      <c r="L3" s="74">
        <v>300</v>
      </c>
      <c r="O3" s="238">
        <v>1</v>
      </c>
      <c r="P3" s="238" t="s">
        <v>107</v>
      </c>
      <c r="Q3" s="238" t="s">
        <v>418</v>
      </c>
    </row>
    <row r="4" spans="1:17" ht="30" x14ac:dyDescent="0.25">
      <c r="A4" s="247">
        <v>2017</v>
      </c>
      <c r="B4" s="212">
        <v>11</v>
      </c>
      <c r="C4" s="246" t="s">
        <v>404</v>
      </c>
      <c r="D4" s="246" t="s">
        <v>172</v>
      </c>
      <c r="E4" s="246" t="s">
        <v>405</v>
      </c>
      <c r="F4" s="248" t="s">
        <v>394</v>
      </c>
      <c r="H4" s="212">
        <v>2017</v>
      </c>
      <c r="I4" s="212">
        <v>11</v>
      </c>
      <c r="J4" s="212">
        <v>1</v>
      </c>
      <c r="K4" s="244" t="s">
        <v>107</v>
      </c>
      <c r="L4" s="74">
        <v>750</v>
      </c>
      <c r="O4" s="238">
        <v>2</v>
      </c>
      <c r="P4" s="238" t="s">
        <v>92</v>
      </c>
      <c r="Q4" s="238" t="s">
        <v>92</v>
      </c>
    </row>
    <row r="5" spans="1:17" x14ac:dyDescent="0.25">
      <c r="A5" s="247">
        <v>2017</v>
      </c>
      <c r="B5" s="212">
        <v>11</v>
      </c>
      <c r="C5" s="246" t="s">
        <v>4</v>
      </c>
      <c r="D5" s="246" t="s">
        <v>4</v>
      </c>
      <c r="E5" s="246" t="s">
        <v>405</v>
      </c>
      <c r="F5" s="248" t="s">
        <v>406</v>
      </c>
      <c r="H5" s="212">
        <v>2017</v>
      </c>
      <c r="I5" s="212">
        <v>11</v>
      </c>
      <c r="J5" s="212">
        <v>5</v>
      </c>
      <c r="K5" s="244" t="s">
        <v>109</v>
      </c>
      <c r="L5" s="74">
        <v>277</v>
      </c>
      <c r="O5" s="238">
        <v>3</v>
      </c>
      <c r="P5" s="238" t="s">
        <v>93</v>
      </c>
      <c r="Q5" s="238" t="s">
        <v>419</v>
      </c>
    </row>
    <row r="6" spans="1:17" x14ac:dyDescent="0.25">
      <c r="A6" s="247">
        <v>2017</v>
      </c>
      <c r="B6" s="212">
        <v>11</v>
      </c>
      <c r="C6" s="246" t="s">
        <v>6</v>
      </c>
      <c r="D6" s="246" t="s">
        <v>6</v>
      </c>
      <c r="E6" s="246" t="s">
        <v>405</v>
      </c>
      <c r="F6" s="248" t="s">
        <v>406</v>
      </c>
      <c r="H6" s="212">
        <v>2017</v>
      </c>
      <c r="I6" s="212">
        <v>11</v>
      </c>
      <c r="J6" s="212">
        <v>3</v>
      </c>
      <c r="K6" s="244" t="s">
        <v>93</v>
      </c>
      <c r="L6" s="74">
        <v>2000</v>
      </c>
      <c r="O6" s="238">
        <v>4</v>
      </c>
      <c r="P6" s="238" t="s">
        <v>108</v>
      </c>
      <c r="Q6" s="238" t="s">
        <v>418</v>
      </c>
    </row>
    <row r="7" spans="1:17" ht="30" x14ac:dyDescent="0.25">
      <c r="A7" s="247">
        <v>2017</v>
      </c>
      <c r="B7" s="212">
        <v>11</v>
      </c>
      <c r="C7" s="246" t="s">
        <v>7</v>
      </c>
      <c r="D7" s="246" t="s">
        <v>7</v>
      </c>
      <c r="E7" s="246" t="s">
        <v>405</v>
      </c>
      <c r="F7" s="248" t="s">
        <v>407</v>
      </c>
      <c r="H7" s="252">
        <v>2017</v>
      </c>
      <c r="I7" s="252">
        <v>11</v>
      </c>
      <c r="J7" s="252">
        <v>2</v>
      </c>
      <c r="K7" s="257" t="s">
        <v>92</v>
      </c>
      <c r="L7" s="258">
        <v>500</v>
      </c>
      <c r="O7" s="238">
        <v>5</v>
      </c>
      <c r="P7" s="238" t="s">
        <v>109</v>
      </c>
      <c r="Q7" s="238" t="s">
        <v>418</v>
      </c>
    </row>
    <row r="8" spans="1:17" x14ac:dyDescent="0.25">
      <c r="A8" s="247">
        <v>2017</v>
      </c>
      <c r="B8" s="212">
        <v>11</v>
      </c>
      <c r="C8" s="246" t="s">
        <v>8</v>
      </c>
      <c r="D8" s="246" t="s">
        <v>8</v>
      </c>
      <c r="E8" s="246" t="s">
        <v>405</v>
      </c>
      <c r="F8" s="248" t="s">
        <v>407</v>
      </c>
    </row>
    <row r="9" spans="1:17" x14ac:dyDescent="0.25">
      <c r="A9" s="247">
        <v>2017</v>
      </c>
      <c r="B9" s="212">
        <v>11</v>
      </c>
      <c r="C9" s="246" t="s">
        <v>9</v>
      </c>
      <c r="D9" s="246" t="s">
        <v>9</v>
      </c>
      <c r="E9" s="246" t="s">
        <v>405</v>
      </c>
      <c r="F9" s="248" t="s">
        <v>408</v>
      </c>
    </row>
    <row r="10" spans="1:17" x14ac:dyDescent="0.25">
      <c r="A10" s="247">
        <v>2017</v>
      </c>
      <c r="B10" s="212">
        <v>11</v>
      </c>
      <c r="C10" s="246" t="s">
        <v>10</v>
      </c>
      <c r="D10" s="246" t="s">
        <v>10</v>
      </c>
      <c r="E10" s="246" t="s">
        <v>405</v>
      </c>
      <c r="F10" s="248"/>
    </row>
    <row r="11" spans="1:17" x14ac:dyDescent="0.25">
      <c r="A11" s="247">
        <v>2017</v>
      </c>
      <c r="B11" s="212">
        <v>11</v>
      </c>
      <c r="C11" s="246" t="s">
        <v>11</v>
      </c>
      <c r="D11" s="246" t="s">
        <v>11</v>
      </c>
      <c r="E11" s="246" t="s">
        <v>405</v>
      </c>
      <c r="F11" s="248" t="s">
        <v>406</v>
      </c>
    </row>
    <row r="12" spans="1:17" x14ac:dyDescent="0.25">
      <c r="A12" s="247">
        <v>2017</v>
      </c>
      <c r="B12" s="212">
        <v>11</v>
      </c>
      <c r="C12" s="246" t="s">
        <v>88</v>
      </c>
      <c r="D12" s="246" t="s">
        <v>88</v>
      </c>
      <c r="E12" s="246" t="s">
        <v>405</v>
      </c>
      <c r="F12" s="248" t="s">
        <v>407</v>
      </c>
    </row>
    <row r="13" spans="1:17" x14ac:dyDescent="0.25">
      <c r="A13" s="247">
        <v>2017</v>
      </c>
      <c r="B13" s="212">
        <v>11</v>
      </c>
      <c r="C13" s="246" t="s">
        <v>12</v>
      </c>
      <c r="D13" s="246" t="s">
        <v>12</v>
      </c>
      <c r="E13" s="246" t="s">
        <v>405</v>
      </c>
      <c r="F13" s="248" t="s">
        <v>408</v>
      </c>
    </row>
    <row r="14" spans="1:17" x14ac:dyDescent="0.25">
      <c r="A14" s="247">
        <v>2017</v>
      </c>
      <c r="B14" s="212">
        <v>11</v>
      </c>
      <c r="C14" s="246" t="s">
        <v>400</v>
      </c>
      <c r="D14" s="246" t="s">
        <v>89</v>
      </c>
      <c r="E14" s="246" t="s">
        <v>405</v>
      </c>
      <c r="F14" s="248" t="s">
        <v>408</v>
      </c>
    </row>
    <row r="15" spans="1:17" ht="30" x14ac:dyDescent="0.25">
      <c r="A15" s="247">
        <v>2017</v>
      </c>
      <c r="B15" s="212">
        <v>11</v>
      </c>
      <c r="C15" s="246" t="s">
        <v>401</v>
      </c>
      <c r="D15" s="246" t="s">
        <v>18</v>
      </c>
      <c r="E15" s="246" t="s">
        <v>405</v>
      </c>
      <c r="F15" s="248" t="s">
        <v>406</v>
      </c>
    </row>
    <row r="16" spans="1:17" x14ac:dyDescent="0.25">
      <c r="A16" s="251">
        <v>2017</v>
      </c>
      <c r="B16" s="252">
        <v>11</v>
      </c>
      <c r="C16" s="253" t="s">
        <v>403</v>
      </c>
      <c r="D16" s="253" t="s">
        <v>167</v>
      </c>
      <c r="E16" s="253" t="s">
        <v>405</v>
      </c>
      <c r="F16" s="254" t="s">
        <v>394</v>
      </c>
    </row>
    <row r="33" spans="7:12" x14ac:dyDescent="0.25">
      <c r="G33" s="10"/>
      <c r="H33" s="10"/>
      <c r="I33" s="238"/>
      <c r="J33" s="238"/>
      <c r="K33" s="238"/>
      <c r="L33" s="238"/>
    </row>
  </sheetData>
  <mergeCells count="3">
    <mergeCell ref="A1:F1"/>
    <mergeCell ref="H1:L1"/>
    <mergeCell ref="O1:Q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21" sqref="G21"/>
    </sheetView>
  </sheetViews>
  <sheetFormatPr baseColWidth="10" defaultRowHeight="15" x14ac:dyDescent="0.25"/>
  <cols>
    <col min="2" max="2" width="31.7109375" bestFit="1" customWidth="1"/>
  </cols>
  <sheetData>
    <row r="1" spans="1:10" s="10" customFormat="1" x14ac:dyDescent="0.25">
      <c r="A1" s="220">
        <v>7052616</v>
      </c>
      <c r="C1" s="10">
        <v>29</v>
      </c>
      <c r="D1" s="10">
        <v>30</v>
      </c>
      <c r="E1" s="221">
        <v>30</v>
      </c>
      <c r="F1" s="221">
        <v>19</v>
      </c>
      <c r="G1" s="221">
        <v>30</v>
      </c>
      <c r="H1" s="221">
        <v>30</v>
      </c>
    </row>
    <row r="2" spans="1:10" s="10" customFormat="1" x14ac:dyDescent="0.25">
      <c r="A2" s="220">
        <v>50028026</v>
      </c>
      <c r="C2" s="10">
        <v>23</v>
      </c>
      <c r="D2" s="10">
        <v>29</v>
      </c>
      <c r="E2" s="221">
        <v>30</v>
      </c>
      <c r="F2" s="221">
        <v>26</v>
      </c>
      <c r="G2" s="221">
        <v>11</v>
      </c>
      <c r="H2" s="221">
        <v>27</v>
      </c>
    </row>
    <row r="3" spans="1:10" x14ac:dyDescent="0.25">
      <c r="A3" s="212"/>
      <c r="B3" s="212"/>
      <c r="C3" s="215" t="s">
        <v>208</v>
      </c>
      <c r="D3" s="215" t="s">
        <v>209</v>
      </c>
      <c r="E3" s="215" t="s">
        <v>210</v>
      </c>
      <c r="F3" s="215" t="s">
        <v>207</v>
      </c>
      <c r="G3" s="215" t="s">
        <v>206</v>
      </c>
      <c r="H3" s="215" t="s">
        <v>205</v>
      </c>
      <c r="I3" s="212" t="s">
        <v>96</v>
      </c>
      <c r="J3" s="10"/>
    </row>
    <row r="4" spans="1:10" x14ac:dyDescent="0.25">
      <c r="A4" s="213">
        <v>7052616</v>
      </c>
      <c r="B4" s="214" t="e">
        <f>VLOOKUP(A4,Homologacion!$E$1:$F$92,2,0)</f>
        <v>#N/A</v>
      </c>
      <c r="C4" s="216">
        <v>255.20000000000007</v>
      </c>
      <c r="D4" s="216">
        <v>231</v>
      </c>
      <c r="E4" s="216">
        <v>264.00000000000006</v>
      </c>
      <c r="F4" s="216">
        <v>205.20000000000002</v>
      </c>
      <c r="G4" s="216">
        <v>346.50000000000006</v>
      </c>
      <c r="H4" s="216">
        <v>0</v>
      </c>
      <c r="I4" s="216">
        <f>AVERAGE(C4:H4)</f>
        <v>216.98333333333335</v>
      </c>
      <c r="J4" s="10"/>
    </row>
    <row r="5" spans="1:10" x14ac:dyDescent="0.25">
      <c r="A5" s="213">
        <v>50028026</v>
      </c>
      <c r="B5" s="214" t="e">
        <f>VLOOKUP(A5,Homologacion!$E$1:$F$92,2,0)</f>
        <v>#N/A</v>
      </c>
      <c r="C5" s="216">
        <v>240.35</v>
      </c>
      <c r="D5" s="216">
        <v>191.39999999999998</v>
      </c>
      <c r="E5" s="216">
        <v>198</v>
      </c>
      <c r="F5" s="216">
        <v>271.7</v>
      </c>
      <c r="G5" s="216">
        <v>145.19999999999999</v>
      </c>
      <c r="H5" s="216">
        <v>237.60000000000008</v>
      </c>
      <c r="I5" s="216">
        <f>AVERAGE(C5:H5)</f>
        <v>214.04166666666671</v>
      </c>
      <c r="J5" s="10"/>
    </row>
    <row r="6" spans="1:10" x14ac:dyDescent="0.25">
      <c r="J6" s="10"/>
    </row>
    <row r="7" spans="1:10" x14ac:dyDescent="0.25">
      <c r="J7" s="10"/>
    </row>
    <row r="8" spans="1:10" x14ac:dyDescent="0.25">
      <c r="A8" s="222">
        <v>7052616</v>
      </c>
      <c r="B8" s="223" t="e">
        <f>VLOOKUP(A8,Homologacion!$E$1:$F$92,2,0)</f>
        <v>#N/A</v>
      </c>
      <c r="C8" s="217">
        <f t="shared" ref="C8:H9" si="0">C4/C1*30</f>
        <v>264.00000000000006</v>
      </c>
      <c r="D8" s="217">
        <f t="shared" si="0"/>
        <v>231</v>
      </c>
      <c r="E8" s="217">
        <f t="shared" si="0"/>
        <v>264.00000000000006</v>
      </c>
      <c r="F8" s="217">
        <f t="shared" si="0"/>
        <v>324</v>
      </c>
      <c r="G8" s="217">
        <f t="shared" si="0"/>
        <v>346.50000000000006</v>
      </c>
      <c r="H8" s="217">
        <f t="shared" si="0"/>
        <v>0</v>
      </c>
      <c r="I8" s="216">
        <f>AVERAGE(C8:G8)</f>
        <v>285.89999999999998</v>
      </c>
      <c r="J8" s="10"/>
    </row>
    <row r="9" spans="1:10" x14ac:dyDescent="0.25">
      <c r="A9" s="222">
        <v>50028026</v>
      </c>
      <c r="B9" s="223" t="e">
        <f>VLOOKUP(A9,Homologacion!$E$1:$F$92,2,0)</f>
        <v>#N/A</v>
      </c>
      <c r="C9" s="217">
        <f t="shared" si="0"/>
        <v>313.5</v>
      </c>
      <c r="D9" s="217">
        <f t="shared" si="0"/>
        <v>198</v>
      </c>
      <c r="E9" s="217">
        <f t="shared" si="0"/>
        <v>198</v>
      </c>
      <c r="F9" s="217">
        <f t="shared" si="0"/>
        <v>313.5</v>
      </c>
      <c r="G9" s="217">
        <f t="shared" si="0"/>
        <v>396</v>
      </c>
      <c r="H9" s="217">
        <f t="shared" si="0"/>
        <v>264.00000000000006</v>
      </c>
      <c r="I9" s="216">
        <f>AVERAGE(E9,F9,G9,H9,C9)</f>
        <v>297</v>
      </c>
      <c r="J9" s="10"/>
    </row>
    <row r="10" spans="1:10" x14ac:dyDescent="0.25">
      <c r="J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X21"/>
  <sheetViews>
    <sheetView showGridLines="0" zoomScale="70" zoomScaleNormal="70" workbookViewId="0">
      <pane xSplit="4" ySplit="7" topLeftCell="E8" activePane="bottomRight" state="frozen"/>
      <selection activeCell="B1" sqref="B1"/>
      <selection pane="topRight" activeCell="H1" sqref="H1"/>
      <selection pane="bottomLeft" activeCell="B6" sqref="B6"/>
      <selection pane="bottomRight" activeCell="G14" sqref="G14"/>
    </sheetView>
  </sheetViews>
  <sheetFormatPr baseColWidth="10" defaultColWidth="11.42578125" defaultRowHeight="12.75" outlineLevelCol="1" x14ac:dyDescent="0.2"/>
  <cols>
    <col min="1" max="1" width="10.42578125" style="20" customWidth="1" collapsed="1"/>
    <col min="2" max="2" width="30.5703125" style="20" bestFit="1" customWidth="1"/>
    <col min="3" max="3" width="12.42578125" style="20" bestFit="1" customWidth="1" collapsed="1"/>
    <col min="4" max="4" width="12.5703125" style="20" customWidth="1"/>
    <col min="5" max="5" width="8.85546875" style="20" customWidth="1"/>
    <col min="6" max="6" width="10" style="20" bestFit="1" customWidth="1"/>
    <col min="7" max="7" width="9.85546875" style="20" customWidth="1"/>
    <col min="8" max="8" width="11.28515625" style="20" bestFit="1" customWidth="1"/>
    <col min="9" max="9" width="10.7109375" style="20" customWidth="1" collapsed="1"/>
    <col min="10" max="10" width="8.85546875" style="20" customWidth="1"/>
    <col min="11" max="11" width="11.28515625" style="20" customWidth="1"/>
    <col min="12" max="12" width="8.42578125" style="20" customWidth="1"/>
    <col min="13" max="14" width="10.28515625" style="20" customWidth="1" outlineLevel="1"/>
    <col min="15" max="15" width="10.28515625" style="20" customWidth="1"/>
    <col min="16" max="16" width="8.7109375" style="20" customWidth="1"/>
    <col min="17" max="18" width="10.85546875" style="20" customWidth="1"/>
    <col min="19" max="19" width="12.42578125" style="27" bestFit="1" customWidth="1"/>
    <col min="20" max="20" width="9.42578125" style="20" customWidth="1"/>
    <col min="21" max="21" width="13.42578125" style="27" customWidth="1"/>
    <col min="22" max="22" width="6" style="20" bestFit="1" customWidth="1"/>
    <col min="23" max="16384" width="11.42578125" style="20"/>
  </cols>
  <sheetData>
    <row r="1" spans="1:24" ht="12" customHeight="1" x14ac:dyDescent="0.2">
      <c r="A1" s="39"/>
      <c r="B1" s="39"/>
      <c r="C1" s="38"/>
      <c r="S1" s="25"/>
    </row>
    <row r="2" spans="1:24" ht="12.75" customHeight="1" x14ac:dyDescent="0.2">
      <c r="A2" s="38"/>
      <c r="B2" s="38"/>
      <c r="C2" s="38"/>
      <c r="G2" s="23"/>
      <c r="H2" s="21"/>
      <c r="I2" s="21"/>
      <c r="J2" s="22"/>
      <c r="K2" s="23"/>
      <c r="Q2" s="259" t="s">
        <v>93</v>
      </c>
      <c r="R2" s="259"/>
      <c r="S2" s="74">
        <v>2000</v>
      </c>
    </row>
    <row r="3" spans="1:24" ht="12.75" customHeight="1" x14ac:dyDescent="0.2">
      <c r="A3" s="38"/>
      <c r="B3" s="38"/>
      <c r="C3" s="38"/>
      <c r="G3" s="23"/>
      <c r="H3" s="21"/>
      <c r="I3" s="21"/>
      <c r="J3" s="22"/>
      <c r="K3" s="23"/>
      <c r="Q3" s="259"/>
      <c r="R3" s="259"/>
      <c r="S3" s="74"/>
      <c r="T3" s="272"/>
      <c r="U3" s="273"/>
    </row>
    <row r="4" spans="1:24" ht="12" customHeight="1" x14ac:dyDescent="0.2">
      <c r="A4" s="38"/>
      <c r="B4" s="38"/>
      <c r="C4" s="38"/>
      <c r="Q4" s="259" t="s">
        <v>92</v>
      </c>
      <c r="R4" s="259"/>
      <c r="S4" s="74">
        <v>500</v>
      </c>
    </row>
    <row r="5" spans="1:24" ht="12" customHeight="1" x14ac:dyDescent="0.2">
      <c r="A5" s="38"/>
      <c r="B5" s="38"/>
      <c r="C5" s="38"/>
      <c r="Q5" s="75"/>
      <c r="R5" s="75"/>
      <c r="S5" s="76"/>
    </row>
    <row r="6" spans="1:24" ht="15.75" x14ac:dyDescent="0.2">
      <c r="E6" s="260" t="s">
        <v>110</v>
      </c>
      <c r="F6" s="260"/>
      <c r="G6" s="260"/>
      <c r="H6" s="36">
        <v>0.6</v>
      </c>
      <c r="I6" s="263" t="s">
        <v>124</v>
      </c>
      <c r="J6" s="264"/>
      <c r="K6" s="264"/>
      <c r="L6" s="35">
        <v>0.4</v>
      </c>
      <c r="M6" s="265" t="s">
        <v>158</v>
      </c>
      <c r="N6" s="266"/>
      <c r="O6" s="266"/>
      <c r="P6" s="267"/>
      <c r="Q6" s="261" t="s">
        <v>75</v>
      </c>
      <c r="R6" s="262"/>
      <c r="S6" s="25"/>
      <c r="T6" s="90"/>
    </row>
    <row r="7" spans="1:24" ht="55.5" customHeight="1" x14ac:dyDescent="0.2">
      <c r="A7" s="32" t="s">
        <v>1</v>
      </c>
      <c r="B7" s="32" t="s">
        <v>2</v>
      </c>
      <c r="C7" s="32" t="s">
        <v>65</v>
      </c>
      <c r="D7" s="32" t="s">
        <v>127</v>
      </c>
      <c r="E7" s="31" t="s">
        <v>21</v>
      </c>
      <c r="F7" s="31" t="s">
        <v>66</v>
      </c>
      <c r="G7" s="31" t="s">
        <v>78</v>
      </c>
      <c r="H7" s="31" t="s">
        <v>81</v>
      </c>
      <c r="I7" s="33" t="s">
        <v>71</v>
      </c>
      <c r="J7" s="34" t="s">
        <v>70</v>
      </c>
      <c r="K7" s="34" t="s">
        <v>78</v>
      </c>
      <c r="L7" s="34" t="s">
        <v>82</v>
      </c>
      <c r="M7" s="129" t="s">
        <v>160</v>
      </c>
      <c r="N7" s="130" t="s">
        <v>159</v>
      </c>
      <c r="O7" s="130" t="s">
        <v>158</v>
      </c>
      <c r="P7" s="131" t="s">
        <v>22</v>
      </c>
      <c r="Q7" s="37" t="s">
        <v>79</v>
      </c>
      <c r="R7" s="37" t="s">
        <v>77</v>
      </c>
      <c r="S7" s="29" t="s">
        <v>62</v>
      </c>
      <c r="T7" s="30" t="s">
        <v>63</v>
      </c>
      <c r="U7" s="30" t="s">
        <v>64</v>
      </c>
    </row>
    <row r="8" spans="1:24" x14ac:dyDescent="0.2">
      <c r="A8" s="45">
        <v>12896621</v>
      </c>
      <c r="B8" s="45" t="str">
        <f>VLOOKUP(A8,Homologacion!$E$1:$F$93,2,0)</f>
        <v xml:space="preserve">MIDEROS OLIVERA ROSA </v>
      </c>
      <c r="C8" s="45" t="s">
        <v>92</v>
      </c>
      <c r="D8" s="45">
        <v>30</v>
      </c>
      <c r="E8" s="81">
        <f>SUMIF(ESPECIALISTA!$B$8:$B$80,$B8,ESPECIALISTA!$G$8:$G$80)</f>
        <v>5014.5</v>
      </c>
      <c r="F8" s="81">
        <f>SUMIF(ESPECIALISTA!$B$8:$B$80,$B8,ESPECIALISTA!$H$8:$H$80)</f>
        <v>3779</v>
      </c>
      <c r="G8" s="47">
        <f>IFERROR((F8/E8),0)</f>
        <v>0.75361451789809553</v>
      </c>
      <c r="H8" s="56">
        <f>+G8*$H$6</f>
        <v>0.45216871073885728</v>
      </c>
      <c r="I8" s="83">
        <f>SUMIF(ESPECIALISTA!$B$8:$B$80,$B8,ESPECIALISTA!$K$8:$K$80)</f>
        <v>227</v>
      </c>
      <c r="J8" s="81">
        <f>SUMIF(ESPECIALISTA!$B$8:$B$80,$B8,ESPECIALISTA!$L$8:$L$80)</f>
        <v>199</v>
      </c>
      <c r="K8" s="47">
        <f>IFERROR((J8/I8),0)</f>
        <v>0.87665198237885467</v>
      </c>
      <c r="L8" s="49">
        <f>+K8*$L$6</f>
        <v>0.3506607929515419</v>
      </c>
      <c r="M8" s="57">
        <f>ROUND(SUM(H8+L8),2)</f>
        <v>0.8</v>
      </c>
      <c r="N8" s="126">
        <f>SUMIF(I8,"&lt;&gt;0",$L$6)+SUMIF(E8,"&lt;&gt;0",$H$6)</f>
        <v>1</v>
      </c>
      <c r="O8" s="127">
        <f>ROUND(M8/N8,2)</f>
        <v>0.8</v>
      </c>
      <c r="P8" s="58">
        <f>VLOOKUP(O8,TABLA!$G$5:$J$16,4,1)</f>
        <v>0.7</v>
      </c>
      <c r="Q8" s="50">
        <f>AVERAGEIF(ESPECIALISTA!$B$8:$B$80,$B8,ESPECIALISTA!$S$8:$S$80)</f>
        <v>1</v>
      </c>
      <c r="R8" s="51">
        <f>VLOOKUP(Q8,TABLA!$G$20:$J$29,4,1)</f>
        <v>1.1000000000000001</v>
      </c>
      <c r="S8" s="52">
        <f>IFERROR(IF(OR(K8&gt;=60%,I8=0),(R8*P8)*VLOOKUP(C8,$Q$2:$S$4,3,0),0),0)/30*D8</f>
        <v>385</v>
      </c>
      <c r="T8" s="53">
        <v>0</v>
      </c>
      <c r="U8" s="55">
        <f t="shared" ref="U8:U15" si="0">T8+S8</f>
        <v>385</v>
      </c>
    </row>
    <row r="9" spans="1:24" x14ac:dyDescent="0.2">
      <c r="A9" s="45">
        <v>12896622</v>
      </c>
      <c r="B9" s="45" t="str">
        <f>VLOOKUP(A9,Homologacion!$E$1:$F$93,2,0)</f>
        <v xml:space="preserve">MINAURO DUARTE TREICY </v>
      </c>
      <c r="C9" s="45" t="s">
        <v>92</v>
      </c>
      <c r="D9" s="45">
        <v>28</v>
      </c>
      <c r="E9" s="81">
        <f>SUMIF(ESPECIALISTA!$B$8:$B$80,$B9,ESPECIALISTA!$G$8:$G$80)</f>
        <v>2610.8888888888887</v>
      </c>
      <c r="F9" s="81">
        <f>SUMIF(ESPECIALISTA!$B$8:$B$80,$B9,ESPECIALISTA!$H$8:$H$80)</f>
        <v>2712</v>
      </c>
      <c r="G9" s="47">
        <f>IFERROR((F9/E9),0)</f>
        <v>1.0387267001446931</v>
      </c>
      <c r="H9" s="56">
        <f>+G9*$H$6</f>
        <v>0.62323602008681589</v>
      </c>
      <c r="I9" s="83">
        <f>SUMIF(ESPECIALISTA!$B$8:$B$80,$B9,ESPECIALISTA!$K$8:$K$80)</f>
        <v>3177</v>
      </c>
      <c r="J9" s="81">
        <f>SUMIF(ESPECIALISTA!$B$8:$B$80,$B9,ESPECIALISTA!$L$8:$L$80)</f>
        <v>1994</v>
      </c>
      <c r="K9" s="47">
        <f>IFERROR((J9/I9),0)</f>
        <v>0.62763613471828772</v>
      </c>
      <c r="L9" s="49">
        <f>+K9*$L$6</f>
        <v>0.25105445388731512</v>
      </c>
      <c r="M9" s="57">
        <f>ROUND(SUM(H9+L9),2)</f>
        <v>0.87</v>
      </c>
      <c r="N9" s="126">
        <f>SUMIF(I9,"&lt;&gt;0",$L$6)+SUMIF(E9,"&lt;&gt;0",$H$6)</f>
        <v>1</v>
      </c>
      <c r="O9" s="127">
        <f>ROUND(M9/N9,2)</f>
        <v>0.87</v>
      </c>
      <c r="P9" s="58">
        <f>VLOOKUP(O9,TABLA!$G$5:$J$16,4,1)</f>
        <v>0.8</v>
      </c>
      <c r="Q9" s="50">
        <f>AVERAGEIF(ESPECIALISTA!$B$8:$B$80,$B9,ESPECIALISTA!$S$8:$S$80)</f>
        <v>1</v>
      </c>
      <c r="R9" s="51">
        <f>VLOOKUP(Q9,TABLA!$G$20:$J$29,4,1)</f>
        <v>1.1000000000000001</v>
      </c>
      <c r="S9" s="52">
        <f>IFERROR(IF(OR(K9&gt;=60%,I9=0),(R9*P9)*VLOOKUP(C9,$Q$2:$S$4,3,0),0),0)/30*D9</f>
        <v>410.66666666666669</v>
      </c>
      <c r="T9" s="53">
        <v>0</v>
      </c>
      <c r="U9" s="55">
        <f t="shared" si="0"/>
        <v>410.66666666666669</v>
      </c>
    </row>
    <row r="10" spans="1:24" x14ac:dyDescent="0.2">
      <c r="A10" s="45">
        <v>12896623</v>
      </c>
      <c r="B10" s="45" t="str">
        <f>VLOOKUP(A10,Homologacion!$E$1:$F$93,2,0)</f>
        <v xml:space="preserve">MIRELES SOTO CARLOS </v>
      </c>
      <c r="C10" s="45" t="s">
        <v>92</v>
      </c>
      <c r="D10" s="45">
        <v>14</v>
      </c>
      <c r="E10" s="81">
        <f>SUMIF(ESPECIALISTA!$B$8:$B$80,$B10,ESPECIALISTA!$G$8:$G$80)</f>
        <v>2599.0138888888901</v>
      </c>
      <c r="F10" s="81">
        <f>SUMIF(ESPECIALISTA!$B$8:$B$80,$B10,ESPECIALISTA!$H$8:$H$80)</f>
        <v>2254</v>
      </c>
      <c r="G10" s="47">
        <f>IFERROR((F10/E10),0)</f>
        <v>0.86725200262920188</v>
      </c>
      <c r="H10" s="56">
        <f>+G10*$H$6</f>
        <v>0.52035120157752113</v>
      </c>
      <c r="I10" s="83">
        <f>SUMIF(ESPECIALISTA!$B$8:$B$80,$B10,ESPECIALISTA!$K$8:$K$80)</f>
        <v>1327</v>
      </c>
      <c r="J10" s="81">
        <f>SUMIF(ESPECIALISTA!$B$8:$B$80,$B10,ESPECIALISTA!$L$8:$L$80)</f>
        <v>1100</v>
      </c>
      <c r="K10" s="47">
        <f>IFERROR((J10/I10),0)</f>
        <v>0.82893745290128107</v>
      </c>
      <c r="L10" s="49">
        <f>+K10*$L$6</f>
        <v>0.33157498116051243</v>
      </c>
      <c r="M10" s="57">
        <f>ROUND(SUM(H10+L10),2)</f>
        <v>0.85</v>
      </c>
      <c r="N10" s="126">
        <f>SUMIF(I10,"&lt;&gt;0",$L$6)+SUMIF(E10,"&lt;&gt;0",$H$6)</f>
        <v>1</v>
      </c>
      <c r="O10" s="127">
        <f>ROUND(M10/N10,2)</f>
        <v>0.85</v>
      </c>
      <c r="P10" s="58">
        <f>VLOOKUP(O10,TABLA!$G$5:$J$16,4,1)</f>
        <v>0.8</v>
      </c>
      <c r="Q10" s="50">
        <f>AVERAGEIF(ESPECIALISTA!$B$8:$B$80,$B10,ESPECIALISTA!$S$8:$S$80)</f>
        <v>1</v>
      </c>
      <c r="R10" s="51">
        <f>VLOOKUP(Q10,TABLA!$G$20:$J$29,4,1)</f>
        <v>1.1000000000000001</v>
      </c>
      <c r="S10" s="52">
        <f>IFERROR(IF(OR(K10&gt;=60%,I10=0),(R10*P10)*VLOOKUP(C10,$Q$2:$S$4,3,0),0),0)/30*D10</f>
        <v>205.33333333333334</v>
      </c>
      <c r="T10" s="53">
        <v>0</v>
      </c>
      <c r="U10" s="55">
        <f t="shared" si="0"/>
        <v>205.33333333333334</v>
      </c>
    </row>
    <row r="11" spans="1:24" x14ac:dyDescent="0.2">
      <c r="A11" s="196"/>
      <c r="B11" s="196"/>
      <c r="C11" s="196"/>
      <c r="D11" s="196"/>
      <c r="E11" s="197"/>
      <c r="F11" s="197"/>
      <c r="G11" s="198"/>
      <c r="H11" s="199"/>
      <c r="I11" s="197"/>
      <c r="J11" s="197"/>
      <c r="K11" s="198"/>
      <c r="L11" s="200"/>
      <c r="M11" s="201"/>
      <c r="N11" s="201"/>
      <c r="O11" s="202"/>
      <c r="P11" s="203"/>
      <c r="Q11" s="204"/>
      <c r="R11" s="205"/>
      <c r="S11" s="206"/>
      <c r="T11" s="206"/>
      <c r="U11" s="206"/>
    </row>
    <row r="12" spans="1:24" x14ac:dyDescent="0.2">
      <c r="I12" s="82"/>
      <c r="J12" s="82"/>
    </row>
    <row r="13" spans="1:24" ht="15.75" x14ac:dyDescent="0.2">
      <c r="E13" s="260" t="s">
        <v>110</v>
      </c>
      <c r="F13" s="260"/>
      <c r="G13" s="260"/>
      <c r="H13" s="36">
        <v>0.3</v>
      </c>
      <c r="I13" s="263" t="s">
        <v>124</v>
      </c>
      <c r="J13" s="264"/>
      <c r="K13" s="264"/>
      <c r="L13" s="35">
        <v>0.7</v>
      </c>
      <c r="M13" s="269" t="s">
        <v>80</v>
      </c>
      <c r="N13" s="270"/>
      <c r="O13" s="270"/>
      <c r="P13" s="271"/>
      <c r="Q13" s="261" t="s">
        <v>75</v>
      </c>
      <c r="R13" s="262"/>
      <c r="S13" s="25"/>
      <c r="T13" s="90"/>
    </row>
    <row r="14" spans="1:24" ht="58.5" customHeight="1" x14ac:dyDescent="0.2">
      <c r="A14" s="32" t="s">
        <v>1</v>
      </c>
      <c r="B14" s="32" t="s">
        <v>2</v>
      </c>
      <c r="C14" s="32" t="s">
        <v>65</v>
      </c>
      <c r="D14" s="32" t="s">
        <v>127</v>
      </c>
      <c r="E14" s="31" t="s">
        <v>21</v>
      </c>
      <c r="F14" s="31" t="s">
        <v>66</v>
      </c>
      <c r="G14" s="31" t="s">
        <v>78</v>
      </c>
      <c r="H14" s="31" t="s">
        <v>81</v>
      </c>
      <c r="I14" s="33" t="s">
        <v>71</v>
      </c>
      <c r="J14" s="34" t="s">
        <v>70</v>
      </c>
      <c r="K14" s="34" t="s">
        <v>78</v>
      </c>
      <c r="L14" s="34" t="s">
        <v>82</v>
      </c>
      <c r="M14" s="41" t="s">
        <v>160</v>
      </c>
      <c r="N14" s="135" t="s">
        <v>159</v>
      </c>
      <c r="O14" s="135" t="s">
        <v>158</v>
      </c>
      <c r="P14" s="42" t="s">
        <v>22</v>
      </c>
      <c r="Q14" s="37" t="s">
        <v>79</v>
      </c>
      <c r="R14" s="37" t="s">
        <v>77</v>
      </c>
      <c r="S14" s="29" t="s">
        <v>62</v>
      </c>
      <c r="T14" s="30"/>
      <c r="U14" s="30" t="s">
        <v>64</v>
      </c>
    </row>
    <row r="15" spans="1:24" x14ac:dyDescent="0.2">
      <c r="A15" s="45">
        <v>7013196</v>
      </c>
      <c r="B15" s="45" t="s">
        <v>91</v>
      </c>
      <c r="C15" s="45" t="s">
        <v>93</v>
      </c>
      <c r="D15" s="45">
        <v>30</v>
      </c>
      <c r="E15" s="81">
        <f>SUM(E8:E10)</f>
        <v>10224.402777777779</v>
      </c>
      <c r="F15" s="81">
        <f>SUM(F8:F10)</f>
        <v>8745</v>
      </c>
      <c r="G15" s="47">
        <f>IFERROR((F15/E15),0)</f>
        <v>0.85530668050429448</v>
      </c>
      <c r="H15" s="56">
        <f>+G15*$H$13</f>
        <v>0.25659200415128836</v>
      </c>
      <c r="I15" s="83">
        <f>SUM(I8:I10)</f>
        <v>4731</v>
      </c>
      <c r="J15" s="81">
        <f>SUM(J8:J10)</f>
        <v>3293</v>
      </c>
      <c r="K15" s="47">
        <f>IFERROR((J15/I15),0)</f>
        <v>0.6960473472838723</v>
      </c>
      <c r="L15" s="49">
        <f>+K15*$L$13</f>
        <v>0.48723314309871057</v>
      </c>
      <c r="M15" s="57">
        <f>ROUND(SUM(H15+L15),2)</f>
        <v>0.74</v>
      </c>
      <c r="N15" s="126">
        <f>SUMIF(I15,"&lt;&gt;0",$L$6)+SUMIF(E15,"&lt;&gt;0",$H$6)</f>
        <v>1</v>
      </c>
      <c r="O15" s="127">
        <f>ROUND(M15/N15,2)</f>
        <v>0.74</v>
      </c>
      <c r="P15" s="58">
        <f>VLOOKUP(O15,TABLA!$G$5:$J$16,4,1)</f>
        <v>0.6</v>
      </c>
      <c r="Q15" s="50">
        <f>AVERAGE(Q8:Q10)</f>
        <v>1</v>
      </c>
      <c r="R15" s="51">
        <f>VLOOKUP(Q15,TABLA!$G$20:$J$29,4,1)</f>
        <v>1.1000000000000001</v>
      </c>
      <c r="S15" s="52">
        <f>IFERROR(IF(OR(K15&gt;=60%,I15=0),(R15*P15)*VLOOKUP(C15,$Q$2:$S$4,3,0),0),0)/30*D15</f>
        <v>1320</v>
      </c>
      <c r="T15" s="53"/>
      <c r="U15" s="55">
        <f t="shared" si="0"/>
        <v>1320</v>
      </c>
      <c r="X15" s="173"/>
    </row>
    <row r="21" spans="21:21" x14ac:dyDescent="0.2">
      <c r="U21" s="27">
        <f>SUM(U8:U10)</f>
        <v>1001.0000000000001</v>
      </c>
    </row>
  </sheetData>
  <autoFilter ref="A7:U7"/>
  <mergeCells count="12">
    <mergeCell ref="T3:U3"/>
    <mergeCell ref="Q6:R6"/>
    <mergeCell ref="E6:G6"/>
    <mergeCell ref="I6:K6"/>
    <mergeCell ref="M6:P6"/>
    <mergeCell ref="Q2:R2"/>
    <mergeCell ref="Q3:R3"/>
    <mergeCell ref="Q4:R4"/>
    <mergeCell ref="E13:G13"/>
    <mergeCell ref="I13:K13"/>
    <mergeCell ref="M13:P13"/>
    <mergeCell ref="Q13:R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F18" sqref="F18"/>
    </sheetView>
  </sheetViews>
  <sheetFormatPr baseColWidth="10" defaultRowHeight="15" x14ac:dyDescent="0.25"/>
  <cols>
    <col min="2" max="2" width="14.28515625" customWidth="1"/>
    <col min="3" max="3" width="20.7109375" customWidth="1"/>
    <col min="6" max="6" width="18.5703125" customWidth="1"/>
    <col min="7" max="7" width="14.28515625" customWidth="1"/>
    <col min="8" max="8" width="21.42578125" customWidth="1"/>
    <col min="11" max="11" width="12.28515625" customWidth="1"/>
    <col min="12" max="12" width="15.140625" customWidth="1"/>
    <col min="13" max="13" width="11.7109375" customWidth="1"/>
  </cols>
  <sheetData>
    <row r="1" spans="1:14" x14ac:dyDescent="0.25">
      <c r="A1" t="s">
        <v>0</v>
      </c>
      <c r="B1" t="s">
        <v>69</v>
      </c>
      <c r="C1" t="s">
        <v>1</v>
      </c>
      <c r="D1" t="s">
        <v>2</v>
      </c>
      <c r="E1" t="s">
        <v>65</v>
      </c>
      <c r="F1" t="s">
        <v>127</v>
      </c>
      <c r="G1" t="s">
        <v>21</v>
      </c>
      <c r="H1" t="s">
        <v>66</v>
      </c>
      <c r="I1" t="s">
        <v>78</v>
      </c>
      <c r="J1" t="s">
        <v>81</v>
      </c>
      <c r="K1" t="s">
        <v>71</v>
      </c>
      <c r="L1" t="s">
        <v>70</v>
      </c>
      <c r="M1" t="s">
        <v>396</v>
      </c>
      <c r="N1" t="s">
        <v>82</v>
      </c>
    </row>
    <row r="2" spans="1:14" x14ac:dyDescent="0.25">
      <c r="A2" t="s">
        <v>6</v>
      </c>
      <c r="B2" t="s">
        <v>397</v>
      </c>
      <c r="C2">
        <v>12896561</v>
      </c>
      <c r="D2" t="s">
        <v>238</v>
      </c>
      <c r="E2" t="s">
        <v>107</v>
      </c>
      <c r="F2">
        <v>30</v>
      </c>
      <c r="G2">
        <v>510</v>
      </c>
      <c r="H2">
        <v>353</v>
      </c>
      <c r="I2">
        <v>0.69215686274509802</v>
      </c>
      <c r="J2">
        <v>0.34607843137254901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6</v>
      </c>
      <c r="B3" t="s">
        <v>397</v>
      </c>
      <c r="C3">
        <v>12896560</v>
      </c>
      <c r="D3" t="s">
        <v>237</v>
      </c>
      <c r="E3" t="s">
        <v>107</v>
      </c>
      <c r="F3">
        <v>15</v>
      </c>
      <c r="G3">
        <v>495</v>
      </c>
      <c r="H3">
        <v>526</v>
      </c>
      <c r="I3">
        <v>1.0626262626262626</v>
      </c>
      <c r="J3">
        <v>0.53131313131313129</v>
      </c>
      <c r="K3">
        <v>0</v>
      </c>
      <c r="L3">
        <v>0</v>
      </c>
      <c r="M3">
        <v>0</v>
      </c>
      <c r="N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sqref="A1:N5"/>
    </sheetView>
  </sheetViews>
  <sheetFormatPr baseColWidth="10" defaultRowHeight="15" x14ac:dyDescent="0.25"/>
  <cols>
    <col min="2" max="2" width="14.28515625" customWidth="1"/>
    <col min="3" max="3" width="20.7109375" customWidth="1"/>
    <col min="6" max="6" width="18.5703125" customWidth="1"/>
    <col min="7" max="7" width="14.28515625" customWidth="1"/>
    <col min="8" max="8" width="21.42578125" customWidth="1"/>
    <col min="11" max="11" width="12.28515625" customWidth="1"/>
    <col min="12" max="12" width="15.140625" customWidth="1"/>
    <col min="13" max="13" width="11.7109375" customWidth="1"/>
  </cols>
  <sheetData>
    <row r="1" spans="1:14" x14ac:dyDescent="0.25">
      <c r="A1" t="s">
        <v>0</v>
      </c>
      <c r="B1" t="s">
        <v>69</v>
      </c>
      <c r="C1" t="s">
        <v>1</v>
      </c>
      <c r="D1" t="s">
        <v>2</v>
      </c>
      <c r="E1" t="s">
        <v>65</v>
      </c>
      <c r="F1" t="s">
        <v>127</v>
      </c>
      <c r="G1" t="s">
        <v>21</v>
      </c>
      <c r="H1" t="s">
        <v>66</v>
      </c>
      <c r="I1" t="s">
        <v>78</v>
      </c>
      <c r="J1" t="s">
        <v>81</v>
      </c>
      <c r="K1" t="s">
        <v>71</v>
      </c>
      <c r="L1" t="s">
        <v>70</v>
      </c>
      <c r="M1" t="s">
        <v>396</v>
      </c>
      <c r="N1" t="s">
        <v>82</v>
      </c>
    </row>
    <row r="2" spans="1:14" x14ac:dyDescent="0.25">
      <c r="A2" t="s">
        <v>18</v>
      </c>
      <c r="B2" t="s">
        <v>397</v>
      </c>
      <c r="C2">
        <v>12896569</v>
      </c>
      <c r="D2" t="s">
        <v>246</v>
      </c>
      <c r="E2" t="s">
        <v>107</v>
      </c>
      <c r="F2">
        <v>28</v>
      </c>
      <c r="G2">
        <v>40</v>
      </c>
      <c r="H2">
        <v>31</v>
      </c>
      <c r="I2">
        <v>0.77500000000000002</v>
      </c>
      <c r="J2">
        <v>0.38750000000000001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18</v>
      </c>
      <c r="B3" t="s">
        <v>397</v>
      </c>
      <c r="C3">
        <v>12896568</v>
      </c>
      <c r="D3" t="s">
        <v>245</v>
      </c>
      <c r="E3" t="s">
        <v>107</v>
      </c>
      <c r="F3">
        <v>30</v>
      </c>
      <c r="G3">
        <v>48</v>
      </c>
      <c r="H3">
        <v>35</v>
      </c>
      <c r="I3">
        <v>0.72916666666666663</v>
      </c>
      <c r="J3">
        <v>0.36458333333333331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18</v>
      </c>
      <c r="B4" t="s">
        <v>397</v>
      </c>
      <c r="C4">
        <v>12896567</v>
      </c>
      <c r="D4" t="s">
        <v>244</v>
      </c>
      <c r="E4" t="s">
        <v>107</v>
      </c>
      <c r="F4">
        <v>30</v>
      </c>
      <c r="G4">
        <v>152</v>
      </c>
      <c r="H4">
        <v>106</v>
      </c>
      <c r="I4">
        <v>0.69736842105263153</v>
      </c>
      <c r="J4">
        <v>0.34868421052631576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18</v>
      </c>
      <c r="B5" t="s">
        <v>397</v>
      </c>
      <c r="C5">
        <v>12896566</v>
      </c>
      <c r="D5" t="s">
        <v>243</v>
      </c>
      <c r="E5" t="s">
        <v>108</v>
      </c>
      <c r="F5">
        <v>15</v>
      </c>
      <c r="G5">
        <v>152</v>
      </c>
      <c r="H5">
        <v>124</v>
      </c>
      <c r="I5">
        <v>0.81578947368421051</v>
      </c>
      <c r="J5">
        <v>0.40789473684210525</v>
      </c>
      <c r="K5">
        <v>227</v>
      </c>
      <c r="L5">
        <v>199</v>
      </c>
      <c r="M5">
        <v>0.87665198237885467</v>
      </c>
      <c r="N5">
        <v>0.43832599118942733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showGridLines="0" zoomScale="80" zoomScaleNormal="80" workbookViewId="0">
      <selection activeCell="E17" sqref="B5:E17"/>
    </sheetView>
  </sheetViews>
  <sheetFormatPr baseColWidth="10" defaultRowHeight="15" x14ac:dyDescent="0.25"/>
  <cols>
    <col min="1" max="1" width="3.7109375" customWidth="1"/>
    <col min="2" max="2" width="18.42578125" customWidth="1"/>
    <col min="3" max="3" width="21" style="2" customWidth="1"/>
    <col min="4" max="4" width="28.85546875" customWidth="1"/>
    <col min="5" max="5" width="7.7109375" style="10" bestFit="1" customWidth="1"/>
    <col min="6" max="6" width="6.28515625" customWidth="1"/>
  </cols>
  <sheetData>
    <row r="2" spans="2:6" ht="18.75" x14ac:dyDescent="0.3">
      <c r="B2" s="19" t="s">
        <v>58</v>
      </c>
    </row>
    <row r="3" spans="2:6" s="10" customFormat="1" ht="9" customHeight="1" x14ac:dyDescent="0.25">
      <c r="C3" s="2"/>
    </row>
    <row r="4" spans="2:6" x14ac:dyDescent="0.25">
      <c r="C4" s="1" t="s">
        <v>46</v>
      </c>
      <c r="E4" s="24"/>
    </row>
    <row r="5" spans="2:6" ht="30" customHeight="1" x14ac:dyDescent="0.25">
      <c r="B5" s="1" t="s">
        <v>90</v>
      </c>
      <c r="C5" s="10" t="s">
        <v>47</v>
      </c>
      <c r="D5" s="10" t="s">
        <v>68</v>
      </c>
      <c r="E5" s="79" t="s">
        <v>48</v>
      </c>
    </row>
    <row r="6" spans="2:6" x14ac:dyDescent="0.25">
      <c r="B6" s="207" t="s">
        <v>3</v>
      </c>
      <c r="C6" s="208">
        <v>123.75</v>
      </c>
      <c r="D6" s="208">
        <v>132</v>
      </c>
      <c r="E6" s="209">
        <f>IFERROR((D6/C6),0)</f>
        <v>1.0666666666666667</v>
      </c>
      <c r="F6" s="163"/>
    </row>
    <row r="7" spans="2:6" x14ac:dyDescent="0.25">
      <c r="B7" s="207" t="s">
        <v>4</v>
      </c>
      <c r="C7" s="208">
        <v>3097.5</v>
      </c>
      <c r="D7" s="208">
        <v>2084</v>
      </c>
      <c r="E7" s="209">
        <f t="shared" ref="E7:E17" si="0">IFERROR((D7/C7),0)</f>
        <v>0.6728006456820016</v>
      </c>
      <c r="F7" s="164"/>
    </row>
    <row r="8" spans="2:6" x14ac:dyDescent="0.25">
      <c r="B8" s="207" t="s">
        <v>6</v>
      </c>
      <c r="C8" s="208">
        <v>1005</v>
      </c>
      <c r="D8" s="208">
        <v>879</v>
      </c>
      <c r="E8" s="209">
        <f t="shared" si="0"/>
        <v>0.87462686567164183</v>
      </c>
      <c r="F8" s="164"/>
    </row>
    <row r="9" spans="2:6" x14ac:dyDescent="0.25">
      <c r="B9" s="207" t="s">
        <v>7</v>
      </c>
      <c r="C9" s="208">
        <v>1530.2222222222219</v>
      </c>
      <c r="D9" s="208">
        <v>1400</v>
      </c>
      <c r="E9" s="209">
        <f t="shared" si="0"/>
        <v>0.91489979668893429</v>
      </c>
      <c r="F9" s="164"/>
    </row>
    <row r="10" spans="2:6" x14ac:dyDescent="0.25">
      <c r="B10" s="207" t="s">
        <v>8</v>
      </c>
      <c r="C10" s="208">
        <v>198.66666666666666</v>
      </c>
      <c r="D10" s="208">
        <v>228</v>
      </c>
      <c r="E10" s="209">
        <f t="shared" si="0"/>
        <v>1.1476510067114094</v>
      </c>
      <c r="F10" s="164"/>
    </row>
    <row r="11" spans="2:6" x14ac:dyDescent="0.25">
      <c r="B11" s="207" t="s">
        <v>11</v>
      </c>
      <c r="C11" s="208">
        <v>520</v>
      </c>
      <c r="D11" s="208">
        <v>520</v>
      </c>
      <c r="E11" s="209">
        <f t="shared" si="0"/>
        <v>1</v>
      </c>
      <c r="F11" s="164"/>
    </row>
    <row r="12" spans="2:6" x14ac:dyDescent="0.25">
      <c r="B12" s="207" t="s">
        <v>12</v>
      </c>
      <c r="C12" s="208">
        <v>2431.3888888888896</v>
      </c>
      <c r="D12" s="208">
        <v>2114</v>
      </c>
      <c r="E12" s="209">
        <f t="shared" si="0"/>
        <v>0.86946189877756175</v>
      </c>
      <c r="F12" s="164"/>
    </row>
    <row r="13" spans="2:6" x14ac:dyDescent="0.25">
      <c r="B13" s="142" t="s">
        <v>18</v>
      </c>
      <c r="C13" s="153">
        <v>392</v>
      </c>
      <c r="D13" s="153">
        <v>296</v>
      </c>
      <c r="E13" s="162">
        <f t="shared" si="0"/>
        <v>0.75510204081632648</v>
      </c>
      <c r="F13" s="164"/>
    </row>
    <row r="14" spans="2:6" x14ac:dyDescent="0.25">
      <c r="B14" s="142" t="s">
        <v>88</v>
      </c>
      <c r="C14" s="153">
        <v>882</v>
      </c>
      <c r="D14" s="153">
        <v>1084</v>
      </c>
      <c r="E14" s="162">
        <f t="shared" si="0"/>
        <v>1.2290249433106577</v>
      </c>
      <c r="F14" s="164"/>
    </row>
    <row r="15" spans="2:6" x14ac:dyDescent="0.25">
      <c r="B15" s="142" t="s">
        <v>9</v>
      </c>
      <c r="C15" s="153">
        <v>167.625</v>
      </c>
      <c r="D15" s="153">
        <v>140</v>
      </c>
      <c r="E15" s="162">
        <f t="shared" si="0"/>
        <v>0.83519761372110368</v>
      </c>
      <c r="F15" s="164"/>
    </row>
    <row r="16" spans="2:6" x14ac:dyDescent="0.25">
      <c r="B16" s="142" t="s">
        <v>167</v>
      </c>
      <c r="C16" s="153">
        <v>60</v>
      </c>
      <c r="D16" s="153">
        <v>110</v>
      </c>
      <c r="E16" s="162">
        <f t="shared" si="0"/>
        <v>1.8333333333333333</v>
      </c>
      <c r="F16" s="164"/>
    </row>
    <row r="17" spans="2:6" x14ac:dyDescent="0.25">
      <c r="B17" s="15" t="s">
        <v>20</v>
      </c>
      <c r="C17" s="149">
        <v>10408.152777777777</v>
      </c>
      <c r="D17" s="149">
        <v>8987</v>
      </c>
      <c r="E17" s="162">
        <f t="shared" si="0"/>
        <v>0.86345773278693116</v>
      </c>
      <c r="F17" s="164"/>
    </row>
    <row r="18" spans="2:6" s="10" customFormat="1" x14ac:dyDescent="0.25">
      <c r="B18"/>
      <c r="C18"/>
      <c r="D18"/>
      <c r="E18" s="162"/>
      <c r="F18" s="164"/>
    </row>
    <row r="19" spans="2:6" s="10" customFormat="1" x14ac:dyDescent="0.25">
      <c r="B19"/>
      <c r="C19"/>
      <c r="D19"/>
    </row>
    <row r="20" spans="2:6" s="10" customFormat="1" x14ac:dyDescent="0.25">
      <c r="B20"/>
      <c r="C20"/>
      <c r="D20"/>
    </row>
    <row r="21" spans="2:6" x14ac:dyDescent="0.25">
      <c r="D21" s="149"/>
    </row>
    <row r="22" spans="2:6" x14ac:dyDescent="0.25">
      <c r="C22"/>
      <c r="F22" s="10"/>
    </row>
    <row r="23" spans="2:6" ht="40.5" customHeight="1" x14ac:dyDescent="0.25">
      <c r="F23" s="10"/>
    </row>
    <row r="24" spans="2:6" ht="27" customHeight="1" x14ac:dyDescent="0.25"/>
    <row r="25" spans="2:6" ht="27" customHeight="1" x14ac:dyDescent="0.25"/>
    <row r="26" spans="2:6" ht="27" customHeight="1" x14ac:dyDescent="0.25"/>
    <row r="27" spans="2:6" ht="27" customHeight="1" x14ac:dyDescent="0.25"/>
    <row r="28" spans="2:6" ht="27" customHeight="1" x14ac:dyDescent="0.25"/>
    <row r="29" spans="2:6" x14ac:dyDescent="0.25">
      <c r="C29"/>
    </row>
    <row r="30" spans="2:6" x14ac:dyDescent="0.25">
      <c r="C30"/>
    </row>
    <row r="31" spans="2:6" x14ac:dyDescent="0.25">
      <c r="C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showGridLines="0" zoomScale="75" zoomScaleNormal="75" workbookViewId="0">
      <selection activeCell="K24" sqref="A5:K24"/>
    </sheetView>
  </sheetViews>
  <sheetFormatPr baseColWidth="10" defaultRowHeight="15" x14ac:dyDescent="0.25"/>
  <cols>
    <col min="1" max="1" width="8" bestFit="1" customWidth="1"/>
    <col min="2" max="2" width="8" style="10" bestFit="1" customWidth="1"/>
    <col min="3" max="3" width="18.42578125" bestFit="1" customWidth="1"/>
    <col min="4" max="4" width="8.5703125" bestFit="1" customWidth="1"/>
    <col min="5" max="5" width="13" bestFit="1" customWidth="1"/>
    <col min="6" max="6" width="4.140625" customWidth="1"/>
    <col min="7" max="7" width="8" bestFit="1" customWidth="1"/>
    <col min="8" max="8" width="8" style="10" bestFit="1" customWidth="1"/>
    <col min="9" max="9" width="18.42578125" bestFit="1" customWidth="1"/>
    <col min="10" max="10" width="8.5703125" bestFit="1" customWidth="1"/>
    <col min="11" max="11" width="42.5703125" bestFit="1" customWidth="1"/>
    <col min="12" max="12" width="7" customWidth="1"/>
    <col min="13" max="13" width="8" bestFit="1" customWidth="1"/>
    <col min="14" max="14" width="7.42578125" bestFit="1" customWidth="1"/>
    <col min="15" max="15" width="18.42578125" bestFit="1" customWidth="1"/>
    <col min="16" max="16" width="8.5703125" bestFit="1" customWidth="1"/>
  </cols>
  <sheetData>
    <row r="1" spans="1:18" x14ac:dyDescent="0.25">
      <c r="A1" s="274" t="s">
        <v>117</v>
      </c>
      <c r="B1" s="275"/>
      <c r="C1" s="275"/>
      <c r="D1" s="275"/>
      <c r="E1" s="275"/>
      <c r="F1" s="276"/>
      <c r="G1" s="274" t="s">
        <v>69</v>
      </c>
      <c r="H1" s="275"/>
      <c r="I1" s="275"/>
      <c r="J1" s="275"/>
      <c r="K1" s="275"/>
      <c r="L1" s="276"/>
      <c r="M1" s="274" t="s">
        <v>161</v>
      </c>
      <c r="N1" s="275"/>
      <c r="O1" s="275"/>
      <c r="P1" s="275"/>
      <c r="Q1" s="275"/>
      <c r="R1" s="276"/>
    </row>
    <row r="2" spans="1:18" s="10" customFormat="1" x14ac:dyDescent="0.25">
      <c r="A2" s="86"/>
      <c r="B2" s="86"/>
      <c r="C2" s="86"/>
      <c r="D2" s="86"/>
      <c r="E2" s="86"/>
      <c r="F2" s="85"/>
      <c r="G2" s="13"/>
      <c r="H2" s="13"/>
      <c r="I2" s="13"/>
      <c r="J2" s="13"/>
      <c r="K2" s="13"/>
      <c r="L2" s="84"/>
      <c r="M2" s="13"/>
      <c r="N2" s="13"/>
      <c r="O2" s="13"/>
      <c r="P2" s="13"/>
      <c r="Q2" s="13"/>
      <c r="R2" s="84"/>
    </row>
    <row r="3" spans="1:18" s="10" customFormat="1" x14ac:dyDescent="0.25">
      <c r="C3" s="28" t="s">
        <v>76</v>
      </c>
      <c r="F3" s="84"/>
      <c r="G3" s="13"/>
      <c r="H3" s="13"/>
      <c r="I3" s="87" t="s">
        <v>76</v>
      </c>
      <c r="J3" s="13"/>
      <c r="K3" s="13"/>
      <c r="L3" s="84"/>
      <c r="M3" s="13"/>
      <c r="N3" s="13"/>
      <c r="O3" s="87" t="s">
        <v>76</v>
      </c>
      <c r="P3" s="13"/>
      <c r="Q3" s="13"/>
      <c r="R3" s="84"/>
    </row>
    <row r="4" spans="1:18" s="10" customFormat="1" ht="15.75" thickBot="1" x14ac:dyDescent="0.3">
      <c r="C4" s="28"/>
      <c r="F4" s="84"/>
      <c r="G4" s="13"/>
      <c r="H4" s="13"/>
      <c r="I4" s="13"/>
      <c r="J4" s="13"/>
      <c r="K4" s="13"/>
      <c r="L4" s="84"/>
      <c r="M4" s="13"/>
      <c r="N4" s="13"/>
      <c r="O4" s="13"/>
      <c r="P4" s="13"/>
      <c r="Q4" s="13"/>
      <c r="R4" s="84"/>
    </row>
    <row r="5" spans="1:18" ht="16.5" thickBot="1" x14ac:dyDescent="0.3">
      <c r="A5" s="3" t="s">
        <v>105</v>
      </c>
      <c r="B5" s="3" t="s">
        <v>106</v>
      </c>
      <c r="C5" s="3" t="s">
        <v>23</v>
      </c>
      <c r="D5" s="3" t="s">
        <v>24</v>
      </c>
      <c r="F5" s="84"/>
      <c r="G5" s="3" t="s">
        <v>105</v>
      </c>
      <c r="H5" s="3" t="s">
        <v>106</v>
      </c>
      <c r="I5" s="3" t="s">
        <v>23</v>
      </c>
      <c r="J5" s="3" t="s">
        <v>24</v>
      </c>
      <c r="K5" s="13"/>
      <c r="L5" s="84"/>
      <c r="M5" s="3" t="s">
        <v>105</v>
      </c>
      <c r="N5" s="3" t="s">
        <v>106</v>
      </c>
      <c r="O5" s="3" t="s">
        <v>23</v>
      </c>
      <c r="P5" s="3" t="s">
        <v>24</v>
      </c>
      <c r="Q5" s="13"/>
      <c r="R5" s="84"/>
    </row>
    <row r="6" spans="1:18" ht="16.5" thickBot="1" x14ac:dyDescent="0.3">
      <c r="A6" s="69">
        <f>-9999%</f>
        <v>-99.99</v>
      </c>
      <c r="B6" s="69">
        <v>0.59</v>
      </c>
      <c r="C6" s="4" t="s">
        <v>25</v>
      </c>
      <c r="D6" s="5">
        <v>0</v>
      </c>
      <c r="F6" s="84"/>
      <c r="G6" s="88">
        <f>-9999%</f>
        <v>-99.99</v>
      </c>
      <c r="H6" s="88">
        <v>0.59</v>
      </c>
      <c r="I6" s="4" t="s">
        <v>25</v>
      </c>
      <c r="J6" s="5">
        <v>0</v>
      </c>
      <c r="K6" s="13"/>
      <c r="L6" s="84"/>
      <c r="M6" s="88">
        <f>-9999%</f>
        <v>-99.99</v>
      </c>
      <c r="N6" s="88">
        <v>0.59</v>
      </c>
      <c r="O6" s="4" t="s">
        <v>25</v>
      </c>
      <c r="P6" s="5">
        <v>0</v>
      </c>
      <c r="Q6" s="13"/>
      <c r="R6" s="84"/>
    </row>
    <row r="7" spans="1:18" ht="17.25" thickTop="1" thickBot="1" x14ac:dyDescent="0.3">
      <c r="A7" s="69">
        <v>0.6</v>
      </c>
      <c r="B7" s="69">
        <f>A8-1%</f>
        <v>0.79</v>
      </c>
      <c r="C7" s="6" t="s">
        <v>26</v>
      </c>
      <c r="D7" s="7">
        <v>0.6</v>
      </c>
      <c r="F7" s="84"/>
      <c r="G7" s="88">
        <v>0.6</v>
      </c>
      <c r="H7" s="88">
        <f>G8-1%</f>
        <v>0.79</v>
      </c>
      <c r="I7" s="6" t="s">
        <v>111</v>
      </c>
      <c r="J7" s="7">
        <v>0.6</v>
      </c>
      <c r="K7" s="13"/>
      <c r="L7" s="84"/>
      <c r="M7" s="88">
        <v>0.6</v>
      </c>
      <c r="N7" s="88">
        <f>M8-1%</f>
        <v>0.79</v>
      </c>
      <c r="O7" s="6" t="s">
        <v>111</v>
      </c>
      <c r="P7" s="7">
        <v>0.6</v>
      </c>
      <c r="Q7" s="13"/>
      <c r="R7" s="84"/>
    </row>
    <row r="8" spans="1:18" ht="16.5" thickBot="1" x14ac:dyDescent="0.3">
      <c r="A8" s="69">
        <v>0.8</v>
      </c>
      <c r="B8" s="69">
        <f t="shared" ref="B8:B15" si="0">A9-1%</f>
        <v>0.84</v>
      </c>
      <c r="C8" s="8" t="s">
        <v>27</v>
      </c>
      <c r="D8" s="9">
        <v>0.7</v>
      </c>
      <c r="F8" s="84"/>
      <c r="G8" s="88">
        <v>0.8</v>
      </c>
      <c r="H8" s="88">
        <f t="shared" ref="H8:H15" si="1">G9-1%</f>
        <v>0.84</v>
      </c>
      <c r="I8" s="8" t="s">
        <v>112</v>
      </c>
      <c r="J8" s="9">
        <v>0.7</v>
      </c>
      <c r="K8" s="13"/>
      <c r="L8" s="84"/>
      <c r="M8" s="88">
        <v>0.8</v>
      </c>
      <c r="N8" s="88">
        <f t="shared" ref="N8:N15" si="2">M9-1%</f>
        <v>0.84</v>
      </c>
      <c r="O8" s="8" t="s">
        <v>112</v>
      </c>
      <c r="P8" s="9">
        <v>0.7</v>
      </c>
      <c r="Q8" s="13"/>
      <c r="R8" s="84"/>
    </row>
    <row r="9" spans="1:18" ht="16.5" thickBot="1" x14ac:dyDescent="0.3">
      <c r="A9" s="69">
        <v>0.85</v>
      </c>
      <c r="B9" s="69">
        <f t="shared" si="0"/>
        <v>0.89</v>
      </c>
      <c r="C9" s="8" t="s">
        <v>28</v>
      </c>
      <c r="D9" s="9">
        <v>0.8</v>
      </c>
      <c r="F9" s="84"/>
      <c r="G9" s="88">
        <v>0.85</v>
      </c>
      <c r="H9" s="88">
        <f t="shared" si="1"/>
        <v>0.89</v>
      </c>
      <c r="I9" s="8" t="s">
        <v>113</v>
      </c>
      <c r="J9" s="9">
        <v>0.8</v>
      </c>
      <c r="K9" s="13"/>
      <c r="L9" s="84"/>
      <c r="M9" s="88">
        <v>0.85</v>
      </c>
      <c r="N9" s="88">
        <f t="shared" si="2"/>
        <v>0.89</v>
      </c>
      <c r="O9" s="8" t="s">
        <v>113</v>
      </c>
      <c r="P9" s="9">
        <v>0.8</v>
      </c>
      <c r="Q9" s="13"/>
      <c r="R9" s="84"/>
    </row>
    <row r="10" spans="1:18" ht="16.5" thickBot="1" x14ac:dyDescent="0.3">
      <c r="A10" s="69">
        <v>0.9</v>
      </c>
      <c r="B10" s="69">
        <f t="shared" si="0"/>
        <v>0.92999999999999994</v>
      </c>
      <c r="C10" s="8" t="s">
        <v>29</v>
      </c>
      <c r="D10" s="9">
        <v>0.9</v>
      </c>
      <c r="F10" s="84"/>
      <c r="G10" s="88">
        <v>0.9</v>
      </c>
      <c r="H10" s="88">
        <f t="shared" si="1"/>
        <v>0.92999999999999994</v>
      </c>
      <c r="I10" s="8" t="s">
        <v>114</v>
      </c>
      <c r="J10" s="9">
        <v>0.9</v>
      </c>
      <c r="K10" s="13"/>
      <c r="L10" s="84"/>
      <c r="M10" s="88">
        <v>0.9</v>
      </c>
      <c r="N10" s="88">
        <f t="shared" si="2"/>
        <v>0.92999999999999994</v>
      </c>
      <c r="O10" s="8" t="s">
        <v>114</v>
      </c>
      <c r="P10" s="9">
        <v>0.9</v>
      </c>
      <c r="Q10" s="13"/>
      <c r="R10" s="84"/>
    </row>
    <row r="11" spans="1:18" ht="16.5" thickBot="1" x14ac:dyDescent="0.3">
      <c r="A11" s="69">
        <v>0.94</v>
      </c>
      <c r="B11" s="69">
        <f t="shared" si="0"/>
        <v>0.97</v>
      </c>
      <c r="C11" s="8" t="s">
        <v>30</v>
      </c>
      <c r="D11" s="9">
        <v>0.95</v>
      </c>
      <c r="F11" s="84"/>
      <c r="G11" s="88">
        <v>0.94</v>
      </c>
      <c r="H11" s="88">
        <f t="shared" si="1"/>
        <v>0.97</v>
      </c>
      <c r="I11" s="8" t="s">
        <v>115</v>
      </c>
      <c r="J11" s="9">
        <v>0.95</v>
      </c>
      <c r="K11" s="13"/>
      <c r="L11" s="84"/>
      <c r="M11" s="88">
        <v>0.94</v>
      </c>
      <c r="N11" s="88">
        <f t="shared" si="2"/>
        <v>0.97</v>
      </c>
      <c r="O11" s="8" t="s">
        <v>115</v>
      </c>
      <c r="P11" s="9">
        <v>0.95</v>
      </c>
      <c r="Q11" s="13"/>
      <c r="R11" s="84"/>
    </row>
    <row r="12" spans="1:18" ht="16.5" thickBot="1" x14ac:dyDescent="0.3">
      <c r="A12" s="69">
        <v>0.98</v>
      </c>
      <c r="B12" s="69">
        <f t="shared" si="0"/>
        <v>1</v>
      </c>
      <c r="C12" s="8" t="s">
        <v>84</v>
      </c>
      <c r="D12" s="9">
        <v>1</v>
      </c>
      <c r="F12" s="84"/>
      <c r="G12" s="88">
        <v>0.98</v>
      </c>
      <c r="H12" s="88">
        <f t="shared" si="1"/>
        <v>1</v>
      </c>
      <c r="I12" s="8" t="s">
        <v>116</v>
      </c>
      <c r="J12" s="9">
        <v>1</v>
      </c>
      <c r="K12" s="13"/>
      <c r="L12" s="84"/>
      <c r="M12" s="88">
        <v>0.98</v>
      </c>
      <c r="N12" s="88">
        <f t="shared" si="2"/>
        <v>1</v>
      </c>
      <c r="O12" s="8" t="s">
        <v>116</v>
      </c>
      <c r="P12" s="9">
        <v>1</v>
      </c>
      <c r="Q12" s="13"/>
      <c r="R12" s="84"/>
    </row>
    <row r="13" spans="1:18" ht="16.5" thickBot="1" x14ac:dyDescent="0.3">
      <c r="A13" s="69">
        <v>1.01</v>
      </c>
      <c r="B13" s="69">
        <f t="shared" si="0"/>
        <v>1.05</v>
      </c>
      <c r="C13" s="8" t="s">
        <v>85</v>
      </c>
      <c r="D13" s="9">
        <v>1.05</v>
      </c>
      <c r="F13" s="84"/>
      <c r="G13" s="88">
        <v>1.01</v>
      </c>
      <c r="H13" s="88">
        <f t="shared" si="1"/>
        <v>1.05</v>
      </c>
      <c r="I13" s="8" t="s">
        <v>85</v>
      </c>
      <c r="J13" s="9">
        <v>1.05</v>
      </c>
      <c r="K13" s="13"/>
      <c r="L13" s="84"/>
      <c r="M13" s="88">
        <v>1.01</v>
      </c>
      <c r="N13" s="88">
        <f t="shared" si="2"/>
        <v>1.05</v>
      </c>
      <c r="O13" s="8" t="s">
        <v>85</v>
      </c>
      <c r="P13" s="9">
        <v>1.05</v>
      </c>
      <c r="Q13" s="13"/>
      <c r="R13" s="84"/>
    </row>
    <row r="14" spans="1:18" s="10" customFormat="1" ht="16.5" thickBot="1" x14ac:dyDescent="0.3">
      <c r="A14" s="69">
        <v>1.06</v>
      </c>
      <c r="B14" s="69">
        <f t="shared" si="0"/>
        <v>1.1000000000000001</v>
      </c>
      <c r="C14" s="8" t="s">
        <v>86</v>
      </c>
      <c r="D14" s="9">
        <v>1.1000000000000001</v>
      </c>
      <c r="F14" s="84"/>
      <c r="G14" s="88">
        <v>1.06</v>
      </c>
      <c r="H14" s="88">
        <f t="shared" si="1"/>
        <v>1.1000000000000001</v>
      </c>
      <c r="I14" s="8" t="s">
        <v>86</v>
      </c>
      <c r="J14" s="9">
        <v>1.1000000000000001</v>
      </c>
      <c r="K14" s="13"/>
      <c r="L14" s="84"/>
      <c r="M14" s="88">
        <v>1.06</v>
      </c>
      <c r="N14" s="88">
        <f t="shared" si="2"/>
        <v>1.1000000000000001</v>
      </c>
      <c r="O14" s="8" t="s">
        <v>86</v>
      </c>
      <c r="P14" s="9">
        <v>1.1000000000000001</v>
      </c>
      <c r="Q14" s="13"/>
      <c r="R14" s="84"/>
    </row>
    <row r="15" spans="1:18" s="10" customFormat="1" ht="16.5" thickBot="1" x14ac:dyDescent="0.3">
      <c r="A15" s="69">
        <v>1.1100000000000001</v>
      </c>
      <c r="B15" s="69">
        <f t="shared" si="0"/>
        <v>1.1399999999999999</v>
      </c>
      <c r="C15" s="8" t="s">
        <v>87</v>
      </c>
      <c r="D15" s="9">
        <v>1.1499999999999999</v>
      </c>
      <c r="F15" s="84"/>
      <c r="G15" s="88">
        <v>1.1100000000000001</v>
      </c>
      <c r="H15" s="88">
        <f t="shared" si="1"/>
        <v>1.1399999999999999</v>
      </c>
      <c r="I15" s="8" t="s">
        <v>87</v>
      </c>
      <c r="J15" s="9">
        <v>1.1499999999999999</v>
      </c>
      <c r="K15" s="13"/>
      <c r="L15" s="84"/>
      <c r="M15" s="88">
        <v>1.1100000000000001</v>
      </c>
      <c r="N15" s="88">
        <f t="shared" si="2"/>
        <v>1.1399999999999999</v>
      </c>
      <c r="O15" s="8" t="s">
        <v>87</v>
      </c>
      <c r="P15" s="9">
        <v>1.1499999999999999</v>
      </c>
      <c r="Q15" s="13"/>
      <c r="R15" s="84"/>
    </row>
    <row r="16" spans="1:18" s="10" customFormat="1" ht="16.5" thickBot="1" x14ac:dyDescent="0.3">
      <c r="A16" s="69">
        <v>1.1499999999999999</v>
      </c>
      <c r="B16" s="69">
        <f>9999%</f>
        <v>99.99</v>
      </c>
      <c r="C16" s="8" t="s">
        <v>53</v>
      </c>
      <c r="D16" s="9">
        <v>1.2</v>
      </c>
      <c r="F16" s="84"/>
      <c r="G16" s="88">
        <v>1.1499999999999999</v>
      </c>
      <c r="H16" s="88">
        <f>9999%</f>
        <v>99.99</v>
      </c>
      <c r="I16" s="8" t="s">
        <v>53</v>
      </c>
      <c r="J16" s="9">
        <v>1.2</v>
      </c>
      <c r="K16" s="13"/>
      <c r="L16" s="84"/>
      <c r="M16" s="88">
        <v>1.1499999999999999</v>
      </c>
      <c r="N16" s="88">
        <f>9999%</f>
        <v>99.99</v>
      </c>
      <c r="O16" s="8" t="s">
        <v>53</v>
      </c>
      <c r="P16" s="9">
        <v>1.2</v>
      </c>
      <c r="Q16" s="13"/>
      <c r="R16" s="84"/>
    </row>
    <row r="17" spans="1:18" x14ac:dyDescent="0.25">
      <c r="F17" s="84"/>
      <c r="G17" s="13"/>
      <c r="H17" s="13"/>
      <c r="I17" s="13"/>
      <c r="J17" s="13"/>
      <c r="K17" s="13"/>
      <c r="L17" s="84"/>
      <c r="M17" s="13"/>
      <c r="N17" s="13"/>
      <c r="O17" s="13"/>
      <c r="P17" s="13"/>
      <c r="Q17" s="13"/>
      <c r="R17" s="84"/>
    </row>
    <row r="18" spans="1:18" x14ac:dyDescent="0.25">
      <c r="C18" s="28" t="s">
        <v>75</v>
      </c>
      <c r="D18" s="10"/>
      <c r="F18" s="84"/>
      <c r="G18" s="13"/>
      <c r="H18" s="13"/>
      <c r="I18" s="13"/>
      <c r="J18" s="13"/>
      <c r="K18" s="13"/>
      <c r="L18" s="84"/>
      <c r="M18" s="13"/>
      <c r="N18" s="13"/>
      <c r="O18" s="13"/>
      <c r="P18" s="13"/>
      <c r="Q18" s="13"/>
      <c r="R18" s="84"/>
    </row>
    <row r="19" spans="1:18" ht="15.75" thickBot="1" x14ac:dyDescent="0.3">
      <c r="C19" s="10"/>
      <c r="D19" s="10"/>
      <c r="F19" s="84"/>
      <c r="G19" s="13"/>
      <c r="H19" s="13"/>
      <c r="I19" s="13"/>
      <c r="J19" s="13"/>
      <c r="K19" s="13"/>
      <c r="L19" s="84"/>
      <c r="M19" s="13"/>
      <c r="N19" s="13"/>
      <c r="O19" s="13"/>
      <c r="P19" s="13"/>
      <c r="Q19" s="13"/>
      <c r="R19" s="84"/>
    </row>
    <row r="20" spans="1:18" ht="16.5" thickBot="1" x14ac:dyDescent="0.3">
      <c r="A20" s="3" t="s">
        <v>105</v>
      </c>
      <c r="B20" s="3" t="s">
        <v>106</v>
      </c>
      <c r="C20" s="3" t="s">
        <v>23</v>
      </c>
      <c r="D20" s="3" t="s">
        <v>24</v>
      </c>
      <c r="F20" s="84"/>
      <c r="G20" s="3" t="s">
        <v>105</v>
      </c>
      <c r="H20" s="3" t="s">
        <v>106</v>
      </c>
      <c r="I20" s="3" t="s">
        <v>23</v>
      </c>
      <c r="J20" s="3" t="s">
        <v>24</v>
      </c>
      <c r="K20" s="13"/>
      <c r="L20" s="84"/>
      <c r="M20" s="3" t="s">
        <v>105</v>
      </c>
      <c r="N20" s="3" t="s">
        <v>106</v>
      </c>
      <c r="O20" s="3" t="s">
        <v>23</v>
      </c>
      <c r="P20" s="3" t="s">
        <v>24</v>
      </c>
      <c r="Q20" s="13"/>
      <c r="R20" s="84"/>
    </row>
    <row r="21" spans="1:18" ht="16.5" thickBot="1" x14ac:dyDescent="0.3">
      <c r="A21" s="69">
        <f>-9999%</f>
        <v>-99.99</v>
      </c>
      <c r="B21" s="69">
        <v>0.59</v>
      </c>
      <c r="C21" s="4" t="s">
        <v>25</v>
      </c>
      <c r="D21" s="5">
        <v>0</v>
      </c>
      <c r="F21" s="84"/>
      <c r="G21" s="88">
        <f>-9999%</f>
        <v>-99.99</v>
      </c>
      <c r="H21" s="88">
        <v>0.59</v>
      </c>
      <c r="I21" s="4" t="s">
        <v>25</v>
      </c>
      <c r="J21" s="5">
        <v>0</v>
      </c>
      <c r="K21" s="13"/>
      <c r="L21" s="84"/>
      <c r="M21" s="88">
        <f>-9999%</f>
        <v>-99.99</v>
      </c>
      <c r="N21" s="88">
        <v>0.59</v>
      </c>
      <c r="O21" s="4" t="s">
        <v>25</v>
      </c>
      <c r="P21" s="5">
        <v>0</v>
      </c>
      <c r="Q21" s="13"/>
      <c r="R21" s="84"/>
    </row>
    <row r="22" spans="1:18" ht="17.25" thickTop="1" thickBot="1" x14ac:dyDescent="0.3">
      <c r="A22" s="69">
        <v>0.6</v>
      </c>
      <c r="B22" s="69">
        <v>0.59</v>
      </c>
      <c r="C22" s="6" t="s">
        <v>26</v>
      </c>
      <c r="D22" s="7">
        <v>0.6</v>
      </c>
      <c r="F22" s="84"/>
      <c r="G22" s="88">
        <v>0.6</v>
      </c>
      <c r="H22" s="88">
        <v>0.59</v>
      </c>
      <c r="I22" s="6" t="s">
        <v>111</v>
      </c>
      <c r="J22" s="7">
        <v>0.6</v>
      </c>
      <c r="K22" s="13"/>
      <c r="L22" s="84"/>
      <c r="M22" s="88">
        <v>0.6</v>
      </c>
      <c r="N22" s="88">
        <v>0.59</v>
      </c>
      <c r="O22" s="6" t="s">
        <v>111</v>
      </c>
      <c r="P22" s="7">
        <v>0.6</v>
      </c>
      <c r="Q22" s="13"/>
      <c r="R22" s="84"/>
    </row>
    <row r="23" spans="1:18" ht="16.5" thickBot="1" x14ac:dyDescent="0.3">
      <c r="A23" s="69">
        <v>0.8</v>
      </c>
      <c r="B23" s="69">
        <v>0.59</v>
      </c>
      <c r="C23" s="8" t="s">
        <v>27</v>
      </c>
      <c r="D23" s="9">
        <v>0.7</v>
      </c>
      <c r="F23" s="84"/>
      <c r="G23" s="88">
        <v>0.8</v>
      </c>
      <c r="H23" s="88">
        <v>0.59</v>
      </c>
      <c r="I23" s="8" t="s">
        <v>112</v>
      </c>
      <c r="J23" s="9">
        <v>0.7</v>
      </c>
      <c r="K23" s="13"/>
      <c r="L23" s="84"/>
      <c r="M23" s="88">
        <v>0.8</v>
      </c>
      <c r="N23" s="88">
        <v>0.59</v>
      </c>
      <c r="O23" s="8" t="s">
        <v>112</v>
      </c>
      <c r="P23" s="9">
        <v>0.7</v>
      </c>
      <c r="Q23" s="13"/>
      <c r="R23" s="84"/>
    </row>
    <row r="24" spans="1:18" ht="16.5" thickBot="1" x14ac:dyDescent="0.3">
      <c r="A24" s="69">
        <v>0.85</v>
      </c>
      <c r="B24" s="69">
        <v>0.59</v>
      </c>
      <c r="C24" s="8" t="s">
        <v>28</v>
      </c>
      <c r="D24" s="9">
        <v>0.8</v>
      </c>
      <c r="F24" s="84"/>
      <c r="G24" s="88">
        <v>0.85</v>
      </c>
      <c r="H24" s="88">
        <v>0.59</v>
      </c>
      <c r="I24" s="8" t="s">
        <v>113</v>
      </c>
      <c r="J24" s="9">
        <v>0.8</v>
      </c>
      <c r="K24" s="13"/>
      <c r="L24" s="84"/>
      <c r="M24" s="88">
        <v>0.85</v>
      </c>
      <c r="N24" s="88">
        <v>0.59</v>
      </c>
      <c r="O24" s="8" t="s">
        <v>113</v>
      </c>
      <c r="P24" s="9">
        <v>0.8</v>
      </c>
      <c r="Q24" s="13"/>
      <c r="R24" s="84"/>
    </row>
    <row r="25" spans="1:18" ht="16.5" thickBot="1" x14ac:dyDescent="0.3">
      <c r="A25" s="69">
        <v>0.9</v>
      </c>
      <c r="B25" s="69">
        <v>0.59</v>
      </c>
      <c r="C25" s="8" t="s">
        <v>31</v>
      </c>
      <c r="D25" s="9">
        <v>0.9</v>
      </c>
      <c r="F25" s="84"/>
      <c r="G25" s="88">
        <v>0.9</v>
      </c>
      <c r="H25" s="88">
        <v>0.59</v>
      </c>
      <c r="I25" s="8" t="s">
        <v>118</v>
      </c>
      <c r="J25" s="9">
        <v>0.9</v>
      </c>
      <c r="K25" s="13"/>
      <c r="L25" s="84"/>
      <c r="M25" s="88">
        <v>0.9</v>
      </c>
      <c r="N25" s="88">
        <v>0.59</v>
      </c>
      <c r="O25" s="8" t="s">
        <v>118</v>
      </c>
      <c r="P25" s="9">
        <v>0.9</v>
      </c>
      <c r="Q25" s="13"/>
      <c r="R25" s="84"/>
    </row>
    <row r="26" spans="1:18" ht="16.5" thickBot="1" x14ac:dyDescent="0.3">
      <c r="A26" s="69">
        <v>0.93</v>
      </c>
      <c r="B26" s="69">
        <v>0.59</v>
      </c>
      <c r="C26" s="8" t="s">
        <v>32</v>
      </c>
      <c r="D26" s="9">
        <v>0.95</v>
      </c>
      <c r="F26" s="84"/>
      <c r="G26" s="88">
        <v>0.93</v>
      </c>
      <c r="H26" s="88">
        <v>0.59</v>
      </c>
      <c r="I26" s="8" t="s">
        <v>119</v>
      </c>
      <c r="J26" s="9">
        <v>0.95</v>
      </c>
      <c r="K26" s="13"/>
      <c r="L26" s="84"/>
      <c r="M26" s="88">
        <v>0.93</v>
      </c>
      <c r="N26" s="88">
        <v>0.59</v>
      </c>
      <c r="O26" s="8" t="s">
        <v>119</v>
      </c>
      <c r="P26" s="9">
        <v>0.95</v>
      </c>
      <c r="Q26" s="13"/>
      <c r="R26" s="84"/>
    </row>
    <row r="27" spans="1:18" ht="16.5" thickBot="1" x14ac:dyDescent="0.3">
      <c r="A27" s="69">
        <v>0.95</v>
      </c>
      <c r="B27" s="69">
        <v>0.59</v>
      </c>
      <c r="C27" s="8" t="s">
        <v>33</v>
      </c>
      <c r="D27" s="9">
        <v>1</v>
      </c>
      <c r="F27" s="84"/>
      <c r="G27" s="88">
        <v>0.95</v>
      </c>
      <c r="H27" s="88">
        <v>0.59</v>
      </c>
      <c r="I27" s="8" t="s">
        <v>120</v>
      </c>
      <c r="J27" s="9">
        <v>1</v>
      </c>
      <c r="K27" s="13"/>
      <c r="L27" s="84"/>
      <c r="M27" s="88">
        <v>0.95</v>
      </c>
      <c r="N27" s="88">
        <v>0.59</v>
      </c>
      <c r="O27" s="8" t="s">
        <v>120</v>
      </c>
      <c r="P27" s="9">
        <v>1</v>
      </c>
      <c r="Q27" s="13"/>
      <c r="R27" s="84"/>
    </row>
    <row r="28" spans="1:18" ht="16.5" thickBot="1" x14ac:dyDescent="0.3">
      <c r="A28" s="69">
        <v>0.98</v>
      </c>
      <c r="B28" s="69">
        <v>0.59</v>
      </c>
      <c r="C28" s="8" t="s">
        <v>34</v>
      </c>
      <c r="D28" s="9">
        <v>1.05</v>
      </c>
      <c r="F28" s="84"/>
      <c r="G28" s="88">
        <v>0.98</v>
      </c>
      <c r="H28" s="88">
        <v>0.59</v>
      </c>
      <c r="I28" s="8" t="s">
        <v>121</v>
      </c>
      <c r="J28" s="9">
        <v>1.05</v>
      </c>
      <c r="K28" s="13"/>
      <c r="L28" s="84"/>
      <c r="M28" s="88">
        <v>0.98</v>
      </c>
      <c r="N28" s="88">
        <v>0.59</v>
      </c>
      <c r="O28" s="8" t="s">
        <v>121</v>
      </c>
      <c r="P28" s="9">
        <v>1.05</v>
      </c>
      <c r="Q28" s="13"/>
      <c r="R28" s="84"/>
    </row>
    <row r="29" spans="1:18" ht="16.5" thickBot="1" x14ac:dyDescent="0.3">
      <c r="A29" s="69">
        <v>1</v>
      </c>
      <c r="B29" s="69">
        <f>9999%</f>
        <v>99.99</v>
      </c>
      <c r="C29" s="9">
        <v>1</v>
      </c>
      <c r="D29" s="9">
        <v>1.1000000000000001</v>
      </c>
      <c r="F29" s="84"/>
      <c r="G29" s="88">
        <v>1</v>
      </c>
      <c r="H29" s="88">
        <f>9999%</f>
        <v>99.99</v>
      </c>
      <c r="I29" s="9">
        <v>1</v>
      </c>
      <c r="J29" s="9">
        <v>1.1000000000000001</v>
      </c>
      <c r="K29" s="13"/>
      <c r="L29" s="84"/>
      <c r="M29" s="88">
        <v>1</v>
      </c>
      <c r="N29" s="88">
        <f>9999%</f>
        <v>99.99</v>
      </c>
      <c r="O29" s="9">
        <v>1</v>
      </c>
      <c r="P29" s="9">
        <v>1.1000000000000001</v>
      </c>
      <c r="Q29" s="13"/>
      <c r="R29" s="84"/>
    </row>
    <row r="30" spans="1:18" s="10" customFormat="1" ht="15.75" x14ac:dyDescent="0.25">
      <c r="A30" s="239"/>
      <c r="B30" s="239"/>
      <c r="C30" s="240"/>
      <c r="D30" s="240"/>
      <c r="E30" s="241"/>
      <c r="F30" s="84"/>
      <c r="G30" s="242"/>
      <c r="H30" s="242"/>
      <c r="I30" s="240"/>
      <c r="J30" s="240"/>
      <c r="K30" s="243"/>
      <c r="L30" s="84"/>
      <c r="M30" s="88"/>
      <c r="N30" s="242"/>
      <c r="O30" s="240"/>
      <c r="P30" s="240"/>
      <c r="Q30" s="243"/>
      <c r="R30" s="13"/>
    </row>
    <row r="31" spans="1:18" s="10" customFormat="1" ht="15.75" x14ac:dyDescent="0.25">
      <c r="A31" s="239"/>
      <c r="B31" s="239"/>
      <c r="C31" s="240"/>
      <c r="D31" s="240"/>
      <c r="E31" s="241"/>
      <c r="F31" s="84"/>
      <c r="G31" s="242"/>
      <c r="H31" s="242"/>
      <c r="I31" s="240"/>
      <c r="J31" s="240"/>
      <c r="K31" s="243"/>
      <c r="L31" s="84"/>
      <c r="M31" s="88"/>
      <c r="N31" s="242"/>
      <c r="O31" s="240"/>
      <c r="P31" s="240"/>
      <c r="Q31" s="243"/>
      <c r="R31" s="13"/>
    </row>
    <row r="32" spans="1:18" ht="15.75" thickBot="1" x14ac:dyDescent="0.3">
      <c r="A32" s="69"/>
      <c r="F32" s="84"/>
      <c r="G32" s="13"/>
      <c r="H32" s="13"/>
      <c r="I32" s="13"/>
      <c r="J32" s="13"/>
      <c r="K32" s="13"/>
      <c r="L32" s="84"/>
    </row>
    <row r="33" spans="1:12" ht="16.5" thickBot="1" x14ac:dyDescent="0.3">
      <c r="A33" s="16" t="s">
        <v>105</v>
      </c>
      <c r="B33" s="16" t="s">
        <v>106</v>
      </c>
      <c r="C33" s="16" t="s">
        <v>51</v>
      </c>
      <c r="D33" s="16" t="s">
        <v>52</v>
      </c>
      <c r="E33" s="16" t="s">
        <v>50</v>
      </c>
      <c r="F33" s="84"/>
      <c r="G33" s="16" t="s">
        <v>105</v>
      </c>
      <c r="H33" s="16" t="s">
        <v>106</v>
      </c>
      <c r="I33" s="16" t="s">
        <v>51</v>
      </c>
      <c r="J33" s="16" t="s">
        <v>52</v>
      </c>
      <c r="K33" s="234" t="s">
        <v>49</v>
      </c>
      <c r="L33" s="84"/>
    </row>
    <row r="34" spans="1:12" ht="17.25" thickTop="1" thickBot="1" x14ac:dyDescent="0.3">
      <c r="A34" s="69">
        <v>-99.99</v>
      </c>
      <c r="B34" s="70">
        <f>A35-1%</f>
        <v>0.99</v>
      </c>
      <c r="C34" s="8" t="s">
        <v>57</v>
      </c>
      <c r="D34" s="18">
        <v>0</v>
      </c>
      <c r="E34" s="277">
        <v>1</v>
      </c>
      <c r="F34" s="84"/>
      <c r="G34" s="88">
        <v>-99.99</v>
      </c>
      <c r="H34" s="89">
        <f>G35-1%</f>
        <v>0.99</v>
      </c>
      <c r="I34" s="8" t="s">
        <v>57</v>
      </c>
      <c r="J34" s="18">
        <v>0</v>
      </c>
      <c r="K34" s="235" t="s">
        <v>122</v>
      </c>
      <c r="L34" s="84"/>
    </row>
    <row r="35" spans="1:12" ht="16.5" thickBot="1" x14ac:dyDescent="0.3">
      <c r="A35" s="69">
        <v>1</v>
      </c>
      <c r="B35" s="70">
        <f>A36-1%</f>
        <v>1.05</v>
      </c>
      <c r="C35" s="8" t="s">
        <v>56</v>
      </c>
      <c r="D35" s="18">
        <v>50</v>
      </c>
      <c r="E35" s="278"/>
      <c r="F35" s="84"/>
      <c r="G35" s="88">
        <v>1</v>
      </c>
      <c r="H35" s="89">
        <f>G36-1%</f>
        <v>1.05</v>
      </c>
      <c r="I35" s="8" t="s">
        <v>56</v>
      </c>
      <c r="J35" s="18">
        <v>100</v>
      </c>
      <c r="K35" s="236" t="s">
        <v>59</v>
      </c>
      <c r="L35" s="84"/>
    </row>
    <row r="36" spans="1:12" ht="16.5" thickBot="1" x14ac:dyDescent="0.3">
      <c r="A36" s="69">
        <v>1.06</v>
      </c>
      <c r="B36" s="70">
        <f>A37-1%</f>
        <v>1.1000000000000001</v>
      </c>
      <c r="C36" s="8" t="s">
        <v>55</v>
      </c>
      <c r="D36" s="18">
        <v>100</v>
      </c>
      <c r="E36" s="278"/>
      <c r="F36" s="84"/>
      <c r="G36" s="88">
        <v>1.06</v>
      </c>
      <c r="H36" s="89">
        <f>G37-1%</f>
        <v>1.1000000000000001</v>
      </c>
      <c r="I36" s="8" t="s">
        <v>55</v>
      </c>
      <c r="J36" s="18">
        <v>200</v>
      </c>
      <c r="K36" s="236" t="s">
        <v>60</v>
      </c>
      <c r="L36" s="84"/>
    </row>
    <row r="37" spans="1:12" ht="16.5" thickBot="1" x14ac:dyDescent="0.3">
      <c r="A37" s="69">
        <v>1.1100000000000001</v>
      </c>
      <c r="B37" s="70">
        <f>A38-1%</f>
        <v>1.1499999999999999</v>
      </c>
      <c r="C37" s="8" t="s">
        <v>54</v>
      </c>
      <c r="D37" s="18">
        <v>150</v>
      </c>
      <c r="E37" s="278"/>
      <c r="F37" s="84"/>
      <c r="G37" s="88">
        <v>1.1100000000000001</v>
      </c>
      <c r="H37" s="89">
        <f>G38-1%</f>
        <v>1.1499999999999999</v>
      </c>
      <c r="I37" s="8" t="s">
        <v>54</v>
      </c>
      <c r="J37" s="18">
        <v>300</v>
      </c>
      <c r="K37" s="236" t="s">
        <v>61</v>
      </c>
      <c r="L37" s="84"/>
    </row>
    <row r="38" spans="1:12" ht="17.25" thickTop="1" thickBot="1" x14ac:dyDescent="0.3">
      <c r="A38" s="69">
        <v>1.1599999999999999</v>
      </c>
      <c r="B38" s="69">
        <f>9999%</f>
        <v>99.99</v>
      </c>
      <c r="C38" s="6" t="s">
        <v>53</v>
      </c>
      <c r="D38" s="17">
        <v>200</v>
      </c>
      <c r="E38" s="279"/>
      <c r="F38" s="84"/>
      <c r="G38" s="88">
        <v>1.1599999999999999</v>
      </c>
      <c r="H38" s="88">
        <f>9999%</f>
        <v>99.99</v>
      </c>
      <c r="I38" s="6" t="s">
        <v>53</v>
      </c>
      <c r="J38" s="17">
        <v>500</v>
      </c>
      <c r="K38" s="237" t="s">
        <v>123</v>
      </c>
      <c r="L38" s="84"/>
    </row>
    <row r="39" spans="1:12" x14ac:dyDescent="0.25">
      <c r="A39" s="69"/>
      <c r="B39" s="69"/>
    </row>
    <row r="40" spans="1:12" x14ac:dyDescent="0.25">
      <c r="A40" s="69"/>
      <c r="B40" s="69"/>
    </row>
    <row r="41" spans="1:12" x14ac:dyDescent="0.25">
      <c r="H41"/>
    </row>
    <row r="42" spans="1:12" x14ac:dyDescent="0.25">
      <c r="H42"/>
    </row>
    <row r="43" spans="1:12" x14ac:dyDescent="0.25">
      <c r="H43"/>
    </row>
    <row r="44" spans="1:12" x14ac:dyDescent="0.25">
      <c r="H44"/>
    </row>
    <row r="45" spans="1:12" x14ac:dyDescent="0.25">
      <c r="H45"/>
    </row>
    <row r="46" spans="1:12" x14ac:dyDescent="0.25">
      <c r="H46"/>
    </row>
    <row r="47" spans="1:12" x14ac:dyDescent="0.25">
      <c r="H47"/>
    </row>
  </sheetData>
  <mergeCells count="4">
    <mergeCell ref="M1:R1"/>
    <mergeCell ref="E34:E38"/>
    <mergeCell ref="A1:F1"/>
    <mergeCell ref="G1:L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" sqref="F2"/>
    </sheetView>
  </sheetViews>
  <sheetFormatPr baseColWidth="10" defaultRowHeight="15" x14ac:dyDescent="0.25"/>
  <cols>
    <col min="1" max="1" width="17.42578125" customWidth="1"/>
    <col min="2" max="2" width="15.7109375" customWidth="1"/>
    <col min="3" max="3" width="18" customWidth="1"/>
    <col min="5" max="5" width="13.42578125" customWidth="1"/>
    <col min="6" max="6" width="12.5703125" customWidth="1"/>
  </cols>
  <sheetData>
    <row r="1" spans="1:8" x14ac:dyDescent="0.25">
      <c r="A1" t="s">
        <v>90</v>
      </c>
      <c r="B1" t="s">
        <v>174</v>
      </c>
      <c r="C1" t="s">
        <v>95</v>
      </c>
      <c r="D1" t="s">
        <v>175</v>
      </c>
      <c r="E1" t="s">
        <v>173</v>
      </c>
      <c r="F1" t="s">
        <v>162</v>
      </c>
      <c r="G1" t="s">
        <v>126</v>
      </c>
      <c r="H1" t="s">
        <v>0</v>
      </c>
    </row>
    <row r="2" spans="1:8" x14ac:dyDescent="0.25">
      <c r="A2" t="s">
        <v>211</v>
      </c>
      <c r="B2">
        <v>18.625</v>
      </c>
      <c r="C2">
        <v>140</v>
      </c>
      <c r="D2">
        <v>7.5167785234899327</v>
      </c>
      <c r="E2">
        <v>9</v>
      </c>
      <c r="F2">
        <v>167.625</v>
      </c>
      <c r="G2">
        <v>12896534</v>
      </c>
      <c r="H2" t="s">
        <v>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showGridLines="0" tabSelected="1" topLeftCell="A10" zoomScaleNormal="100" zoomScaleSheetLayoutView="75" workbookViewId="0">
      <selection activeCell="C25" sqref="C25"/>
    </sheetView>
  </sheetViews>
  <sheetFormatPr baseColWidth="10" defaultRowHeight="15" x14ac:dyDescent="0.25"/>
  <cols>
    <col min="1" max="1" width="6.5703125" style="10" customWidth="1"/>
    <col min="2" max="2" width="37" customWidth="1"/>
    <col min="3" max="3" width="35.7109375" bestFit="1" customWidth="1"/>
    <col min="4" max="4" width="20.5703125" customWidth="1"/>
    <col min="5" max="6" width="15.85546875" customWidth="1"/>
    <col min="7" max="7" width="32.28515625" style="10" customWidth="1"/>
    <col min="8" max="8" width="19.28515625" style="11" bestFit="1" customWidth="1"/>
    <col min="9" max="9" width="16.28515625" bestFit="1" customWidth="1"/>
    <col min="10" max="10" width="9.5703125" style="10" bestFit="1" customWidth="1"/>
    <col min="11" max="11" width="23.42578125" customWidth="1"/>
    <col min="12" max="12" width="18.7109375" style="10" bestFit="1" customWidth="1"/>
    <col min="13" max="13" width="11.5703125" bestFit="1" customWidth="1"/>
    <col min="14" max="14" width="23.85546875" customWidth="1"/>
    <col min="15" max="15" width="18.7109375" customWidth="1"/>
    <col min="16" max="16" width="13.85546875" bestFit="1" customWidth="1"/>
    <col min="19" max="19" width="16.28515625" bestFit="1" customWidth="1"/>
  </cols>
  <sheetData>
    <row r="1" spans="1:8" s="10" customFormat="1" ht="21" x14ac:dyDescent="0.35">
      <c r="B1" s="68" t="s">
        <v>97</v>
      </c>
      <c r="H1" s="11"/>
    </row>
    <row r="2" spans="1:8" s="10" customFormat="1" x14ac:dyDescent="0.25">
      <c r="H2" s="11"/>
    </row>
    <row r="3" spans="1:8" s="10" customFormat="1" x14ac:dyDescent="0.25">
      <c r="A3" s="10" t="s">
        <v>4</v>
      </c>
      <c r="B3" s="66" t="s">
        <v>4</v>
      </c>
      <c r="C3" s="151" t="s">
        <v>298</v>
      </c>
      <c r="H3" s="11"/>
    </row>
    <row r="4" spans="1:8" s="10" customFormat="1" x14ac:dyDescent="0.25">
      <c r="A4" s="10" t="s">
        <v>6</v>
      </c>
      <c r="B4" s="66" t="s">
        <v>6</v>
      </c>
      <c r="C4" s="151" t="s">
        <v>298</v>
      </c>
      <c r="H4" s="11"/>
    </row>
    <row r="5" spans="1:8" s="10" customFormat="1" x14ac:dyDescent="0.25">
      <c r="A5" s="10" t="s">
        <v>7</v>
      </c>
      <c r="B5" s="66" t="s">
        <v>7</v>
      </c>
      <c r="C5" s="151" t="s">
        <v>299</v>
      </c>
      <c r="H5" s="11"/>
    </row>
    <row r="6" spans="1:8" s="10" customFormat="1" x14ac:dyDescent="0.25">
      <c r="A6" s="10" t="s">
        <v>8</v>
      </c>
      <c r="B6" s="66" t="s">
        <v>8</v>
      </c>
      <c r="C6" s="151" t="s">
        <v>299</v>
      </c>
      <c r="G6" s="12" t="s">
        <v>298</v>
      </c>
      <c r="H6" s="12">
        <v>12896621</v>
      </c>
    </row>
    <row r="7" spans="1:8" s="10" customFormat="1" x14ac:dyDescent="0.25">
      <c r="A7" s="10" t="s">
        <v>9</v>
      </c>
      <c r="B7" s="66" t="s">
        <v>9</v>
      </c>
      <c r="C7" s="151" t="s">
        <v>300</v>
      </c>
      <c r="G7" s="12" t="s">
        <v>299</v>
      </c>
      <c r="H7" s="12">
        <v>12896622</v>
      </c>
    </row>
    <row r="8" spans="1:8" s="10" customFormat="1" x14ac:dyDescent="0.25">
      <c r="A8" s="10" t="s">
        <v>400</v>
      </c>
      <c r="B8" s="66" t="s">
        <v>89</v>
      </c>
      <c r="C8" s="151" t="s">
        <v>300</v>
      </c>
      <c r="G8" s="12" t="s">
        <v>300</v>
      </c>
      <c r="H8" s="12">
        <v>12896623</v>
      </c>
    </row>
    <row r="9" spans="1:8" s="10" customFormat="1" x14ac:dyDescent="0.25">
      <c r="A9" s="10" t="s">
        <v>12</v>
      </c>
      <c r="B9" s="66" t="s">
        <v>12</v>
      </c>
      <c r="C9" s="151" t="s">
        <v>300</v>
      </c>
      <c r="H9" s="11"/>
    </row>
    <row r="10" spans="1:8" s="10" customFormat="1" x14ac:dyDescent="0.25">
      <c r="A10" s="10" t="s">
        <v>401</v>
      </c>
      <c r="B10" s="66" t="s">
        <v>18</v>
      </c>
      <c r="C10" s="151" t="s">
        <v>298</v>
      </c>
      <c r="H10" s="11"/>
    </row>
    <row r="11" spans="1:8" s="10" customFormat="1" x14ac:dyDescent="0.25">
      <c r="A11" s="10" t="s">
        <v>402</v>
      </c>
      <c r="B11" s="66" t="s">
        <v>3</v>
      </c>
      <c r="C11" s="151" t="s">
        <v>394</v>
      </c>
      <c r="H11" s="11"/>
    </row>
    <row r="12" spans="1:8" s="10" customFormat="1" x14ac:dyDescent="0.25">
      <c r="A12" s="10" t="s">
        <v>403</v>
      </c>
      <c r="B12" s="66" t="s">
        <v>167</v>
      </c>
      <c r="C12" s="151" t="s">
        <v>394</v>
      </c>
      <c r="H12" s="11"/>
    </row>
    <row r="13" spans="1:8" s="10" customFormat="1" x14ac:dyDescent="0.25">
      <c r="A13" s="10" t="s">
        <v>10</v>
      </c>
      <c r="B13" s="66" t="s">
        <v>10</v>
      </c>
      <c r="C13" s="139"/>
      <c r="H13" s="11"/>
    </row>
    <row r="14" spans="1:8" s="10" customFormat="1" x14ac:dyDescent="0.25">
      <c r="A14" s="10" t="s">
        <v>88</v>
      </c>
      <c r="B14" s="66" t="s">
        <v>88</v>
      </c>
      <c r="C14" s="151" t="s">
        <v>299</v>
      </c>
      <c r="H14" s="11"/>
    </row>
    <row r="15" spans="1:8" s="10" customFormat="1" x14ac:dyDescent="0.25">
      <c r="A15" s="10" t="s">
        <v>11</v>
      </c>
      <c r="B15" s="66" t="s">
        <v>11</v>
      </c>
      <c r="C15" s="151" t="s">
        <v>298</v>
      </c>
      <c r="H15" s="11"/>
    </row>
    <row r="16" spans="1:8" s="10" customFormat="1" x14ac:dyDescent="0.25">
      <c r="A16" s="10" t="s">
        <v>404</v>
      </c>
      <c r="B16" s="66" t="s">
        <v>172</v>
      </c>
      <c r="C16" s="151" t="s">
        <v>394</v>
      </c>
      <c r="H16" s="11"/>
    </row>
    <row r="17" spans="1:21" s="10" customFormat="1" ht="17.25" customHeight="1" x14ac:dyDescent="0.25">
      <c r="H17" s="11"/>
    </row>
    <row r="18" spans="1:21" ht="21" x14ac:dyDescent="0.35">
      <c r="B18" s="68" t="s">
        <v>94</v>
      </c>
      <c r="K18" s="193" t="s">
        <v>203</v>
      </c>
    </row>
    <row r="19" spans="1:21" ht="15.75" thickBot="1" x14ac:dyDescent="0.3"/>
    <row r="20" spans="1:21" x14ac:dyDescent="0.25">
      <c r="B20" s="61" t="s">
        <v>90</v>
      </c>
      <c r="C20" s="62" t="s">
        <v>174</v>
      </c>
      <c r="D20" s="62" t="s">
        <v>95</v>
      </c>
      <c r="E20" s="62" t="s">
        <v>175</v>
      </c>
      <c r="F20" s="62" t="s">
        <v>173</v>
      </c>
      <c r="G20" s="136" t="s">
        <v>162</v>
      </c>
      <c r="H20" s="122" t="s">
        <v>126</v>
      </c>
      <c r="I20" s="122" t="s">
        <v>0</v>
      </c>
      <c r="K20" s="1" t="s">
        <v>90</v>
      </c>
      <c r="L20" s="10" t="s">
        <v>176</v>
      </c>
      <c r="M20" s="10" t="s">
        <v>177</v>
      </c>
      <c r="N20" s="10" t="s">
        <v>163</v>
      </c>
      <c r="O20" s="10" t="s">
        <v>157</v>
      </c>
      <c r="P20" s="280" t="s">
        <v>178</v>
      </c>
      <c r="Q20" s="280"/>
      <c r="R20" s="280"/>
    </row>
    <row r="21" spans="1:21" x14ac:dyDescent="0.25">
      <c r="A21" s="10" t="s">
        <v>9</v>
      </c>
      <c r="B21" s="164" t="s">
        <v>211</v>
      </c>
      <c r="C21" s="145">
        <v>18.625</v>
      </c>
      <c r="D21" s="186">
        <v>140</v>
      </c>
      <c r="E21" s="147">
        <v>7.5167785234899327</v>
      </c>
      <c r="F21" s="146">
        <v>9</v>
      </c>
      <c r="G21" s="285">
        <f>F21*C21</f>
        <v>167.625</v>
      </c>
      <c r="H21" s="121">
        <f>VLOOKUP(B21,Homologacion!$C$1:$E$92,3,0)</f>
        <v>12896534</v>
      </c>
      <c r="I21" t="str">
        <f>IFERROR(VLOOKUP(A21,$B$3:$C$16,1,0),I20)</f>
        <v>G5</v>
      </c>
      <c r="J21" s="172">
        <f>+IFERROR(E21/F21,"")</f>
        <v>0.83519761372110368</v>
      </c>
      <c r="K21" s="15" t="s">
        <v>184</v>
      </c>
      <c r="L21" s="11">
        <v>872.875</v>
      </c>
      <c r="M21" s="149">
        <v>650.44444444444446</v>
      </c>
      <c r="N21" s="148">
        <v>10408.152777777779</v>
      </c>
      <c r="O21" s="11">
        <v>8987</v>
      </c>
      <c r="P21" s="2">
        <f>+O21/N21</f>
        <v>0.86345773278693105</v>
      </c>
      <c r="Q21" s="2" t="e">
        <f>VLOOKUP(K21,$H$21:$J$83,3,0)</f>
        <v>#N/A</v>
      </c>
      <c r="R21" s="150" t="e">
        <f>+P21-Q21</f>
        <v>#N/A</v>
      </c>
      <c r="S21" t="e">
        <f>VLOOKUP(K21,$H$21:$I$82,2,0)</f>
        <v>#N/A</v>
      </c>
    </row>
    <row r="22" spans="1:21" x14ac:dyDescent="0.25">
      <c r="A22" s="10" t="s">
        <v>12</v>
      </c>
      <c r="B22" s="164" t="s">
        <v>212</v>
      </c>
      <c r="C22" s="145">
        <v>18</v>
      </c>
      <c r="D22" s="186">
        <v>226</v>
      </c>
      <c r="E22" s="147">
        <v>12.555555555555555</v>
      </c>
      <c r="F22" s="146">
        <v>10</v>
      </c>
      <c r="G22" s="285">
        <f t="shared" ref="G22:G78" si="0">F22*C22</f>
        <v>180</v>
      </c>
      <c r="H22" s="121">
        <f>VLOOKUP(B22,Homologacion!$C$1:$E$92,3,0)</f>
        <v>12896535</v>
      </c>
      <c r="I22" s="10" t="str">
        <f t="shared" ref="I22:I78" si="1">IFERROR(VLOOKUP(A22,$B$3:$C$16,1,0),I21)</f>
        <v>G9</v>
      </c>
      <c r="J22" s="172">
        <f>+IFERROR(E22/F22,"")</f>
        <v>1.2555555555555555</v>
      </c>
      <c r="K22" s="15">
        <v>12896534</v>
      </c>
      <c r="L22" s="11">
        <v>18.625</v>
      </c>
      <c r="M22" s="149">
        <v>9</v>
      </c>
      <c r="N22" s="283">
        <v>167.625</v>
      </c>
      <c r="O22" s="284">
        <v>140</v>
      </c>
      <c r="P22" s="2">
        <f>+O22/N22</f>
        <v>0.83519761372110368</v>
      </c>
      <c r="Q22" s="2">
        <f>VLOOKUP(K22,$H$21:$J$83,3,0)</f>
        <v>0.83519761372110368</v>
      </c>
      <c r="R22" s="150">
        <f t="shared" ref="R22:R78" si="2">+P22-Q22</f>
        <v>0</v>
      </c>
      <c r="S22" s="10" t="str">
        <f t="shared" ref="S22:S77" si="3">VLOOKUP(K22,$H$21:$I$82,2,0)</f>
        <v>G5</v>
      </c>
      <c r="U22" s="10"/>
    </row>
    <row r="23" spans="1:21" x14ac:dyDescent="0.25">
      <c r="A23" s="10" t="s">
        <v>12</v>
      </c>
      <c r="B23" s="164" t="s">
        <v>213</v>
      </c>
      <c r="C23" s="145">
        <v>18</v>
      </c>
      <c r="D23" s="145">
        <v>171</v>
      </c>
      <c r="E23" s="147">
        <v>9.5</v>
      </c>
      <c r="F23" s="146">
        <v>10</v>
      </c>
      <c r="G23" s="137">
        <f t="shared" si="0"/>
        <v>180</v>
      </c>
      <c r="H23" s="121">
        <f>VLOOKUP(B23,Homologacion!$C$1:$E$92,3,0)</f>
        <v>12896536</v>
      </c>
      <c r="I23" s="10" t="str">
        <f t="shared" si="1"/>
        <v>G9</v>
      </c>
      <c r="J23" s="172">
        <f t="shared" ref="J22:J78" si="4">+IFERROR(E23/F23,"")</f>
        <v>0.95</v>
      </c>
      <c r="K23" s="15">
        <v>12896535</v>
      </c>
      <c r="L23" s="11">
        <v>18</v>
      </c>
      <c r="M23" s="149">
        <v>10</v>
      </c>
      <c r="N23" s="148">
        <v>180</v>
      </c>
      <c r="O23" s="11">
        <v>226</v>
      </c>
      <c r="P23" s="2">
        <f t="shared" ref="P22:P80" si="5">+O23/N23</f>
        <v>1.2555555555555555</v>
      </c>
      <c r="Q23" s="2">
        <f t="shared" ref="Q22:Q80" si="6">VLOOKUP(K23,$H$21:$J$83,3,0)</f>
        <v>1.2555555555555555</v>
      </c>
      <c r="R23" s="150">
        <f t="shared" si="2"/>
        <v>0</v>
      </c>
      <c r="S23" s="10" t="str">
        <f t="shared" si="3"/>
        <v>G9</v>
      </c>
      <c r="U23" s="10"/>
    </row>
    <row r="24" spans="1:21" x14ac:dyDescent="0.25">
      <c r="A24" s="10" t="s">
        <v>12</v>
      </c>
      <c r="B24" s="164" t="s">
        <v>214</v>
      </c>
      <c r="C24" s="145">
        <v>17.625</v>
      </c>
      <c r="D24" s="145">
        <v>167</v>
      </c>
      <c r="E24" s="147">
        <v>9.4751773049645394</v>
      </c>
      <c r="F24" s="146">
        <v>10</v>
      </c>
      <c r="G24" s="137">
        <f t="shared" si="0"/>
        <v>176.25</v>
      </c>
      <c r="H24" s="121">
        <f>VLOOKUP(B24,Homologacion!$C$1:$E$92,3,0)</f>
        <v>12896537</v>
      </c>
      <c r="I24" s="10" t="str">
        <f t="shared" si="1"/>
        <v>G9</v>
      </c>
      <c r="J24" s="172">
        <f t="shared" si="4"/>
        <v>0.94751773049645394</v>
      </c>
      <c r="K24" s="15">
        <v>12896536</v>
      </c>
      <c r="L24" s="11">
        <v>18</v>
      </c>
      <c r="M24" s="149">
        <v>10</v>
      </c>
      <c r="N24" s="148">
        <v>180</v>
      </c>
      <c r="O24" s="11">
        <v>171</v>
      </c>
      <c r="P24" s="2">
        <f t="shared" si="5"/>
        <v>0.95</v>
      </c>
      <c r="Q24" s="2">
        <f t="shared" si="6"/>
        <v>0.95</v>
      </c>
      <c r="R24" s="150">
        <f t="shared" si="2"/>
        <v>0</v>
      </c>
      <c r="S24" s="10" t="str">
        <f t="shared" si="3"/>
        <v>G9</v>
      </c>
      <c r="U24" s="10"/>
    </row>
    <row r="25" spans="1:21" x14ac:dyDescent="0.25">
      <c r="A25" s="10" t="s">
        <v>12</v>
      </c>
      <c r="B25" s="164" t="s">
        <v>215</v>
      </c>
      <c r="C25" s="145">
        <v>18</v>
      </c>
      <c r="D25" s="145">
        <v>154</v>
      </c>
      <c r="E25" s="147">
        <v>8.5555555555555554</v>
      </c>
      <c r="F25" s="146">
        <v>10</v>
      </c>
      <c r="G25" s="137">
        <f t="shared" si="0"/>
        <v>180</v>
      </c>
      <c r="H25" s="121">
        <f>VLOOKUP(B25,Homologacion!$C$1:$E$92,3,0)</f>
        <v>12896538</v>
      </c>
      <c r="I25" s="10" t="str">
        <f t="shared" si="1"/>
        <v>G9</v>
      </c>
      <c r="J25" s="172">
        <f t="shared" si="4"/>
        <v>0.85555555555555551</v>
      </c>
      <c r="K25" s="15">
        <v>12896537</v>
      </c>
      <c r="L25" s="11">
        <v>17.625</v>
      </c>
      <c r="M25" s="149">
        <v>10</v>
      </c>
      <c r="N25" s="148">
        <v>176.25</v>
      </c>
      <c r="O25" s="11">
        <v>167</v>
      </c>
      <c r="P25" s="2">
        <f t="shared" si="5"/>
        <v>0.94751773049645394</v>
      </c>
      <c r="Q25" s="2">
        <f t="shared" si="6"/>
        <v>0.94751773049645394</v>
      </c>
      <c r="R25" s="150">
        <f t="shared" si="2"/>
        <v>0</v>
      </c>
      <c r="S25" s="10" t="str">
        <f t="shared" si="3"/>
        <v>G9</v>
      </c>
      <c r="U25" s="10"/>
    </row>
    <row r="26" spans="1:21" x14ac:dyDescent="0.25">
      <c r="A26" s="10" t="s">
        <v>12</v>
      </c>
      <c r="B26" s="164" t="s">
        <v>216</v>
      </c>
      <c r="C26" s="145">
        <v>17.625</v>
      </c>
      <c r="D26" s="145">
        <v>151</v>
      </c>
      <c r="E26" s="147">
        <v>8.5673758865248235</v>
      </c>
      <c r="F26" s="146">
        <v>10</v>
      </c>
      <c r="G26" s="137">
        <f t="shared" si="0"/>
        <v>176.25</v>
      </c>
      <c r="H26" s="121">
        <f>VLOOKUP(B26,Homologacion!$C$1:$E$92,3,0)</f>
        <v>12896539</v>
      </c>
      <c r="I26" s="10" t="str">
        <f t="shared" si="1"/>
        <v>G9</v>
      </c>
      <c r="J26" s="172">
        <f t="shared" si="4"/>
        <v>0.8567375886524824</v>
      </c>
      <c r="K26" s="15">
        <v>12896538</v>
      </c>
      <c r="L26" s="11">
        <v>18</v>
      </c>
      <c r="M26" s="149">
        <v>10</v>
      </c>
      <c r="N26" s="148">
        <v>180</v>
      </c>
      <c r="O26" s="11">
        <v>154</v>
      </c>
      <c r="P26" s="2">
        <f t="shared" si="5"/>
        <v>0.85555555555555551</v>
      </c>
      <c r="Q26" s="2">
        <f t="shared" si="6"/>
        <v>0.85555555555555551</v>
      </c>
      <c r="R26" s="150">
        <f t="shared" si="2"/>
        <v>0</v>
      </c>
      <c r="S26" s="10" t="str">
        <f t="shared" si="3"/>
        <v>G9</v>
      </c>
      <c r="U26" s="10"/>
    </row>
    <row r="27" spans="1:21" x14ac:dyDescent="0.25">
      <c r="A27" s="10" t="s">
        <v>12</v>
      </c>
      <c r="B27" s="164" t="s">
        <v>217</v>
      </c>
      <c r="C27" s="145">
        <v>18</v>
      </c>
      <c r="D27" s="145">
        <v>146</v>
      </c>
      <c r="E27" s="147">
        <v>8.1111111111111107</v>
      </c>
      <c r="F27" s="146">
        <v>10</v>
      </c>
      <c r="G27" s="137">
        <f t="shared" si="0"/>
        <v>180</v>
      </c>
      <c r="H27" s="121">
        <f>VLOOKUP(B27,Homologacion!$C$1:$E$92,3,0)</f>
        <v>12896540</v>
      </c>
      <c r="I27" s="10" t="str">
        <f t="shared" si="1"/>
        <v>G9</v>
      </c>
      <c r="J27" s="172">
        <f t="shared" si="4"/>
        <v>0.81111111111111112</v>
      </c>
      <c r="K27" s="15">
        <v>12896539</v>
      </c>
      <c r="L27" s="11">
        <v>17.625</v>
      </c>
      <c r="M27" s="149">
        <v>10</v>
      </c>
      <c r="N27" s="148">
        <v>176.25</v>
      </c>
      <c r="O27" s="11">
        <v>151</v>
      </c>
      <c r="P27" s="2">
        <f t="shared" si="5"/>
        <v>0.85673758865248228</v>
      </c>
      <c r="Q27" s="2">
        <f t="shared" si="6"/>
        <v>0.8567375886524824</v>
      </c>
      <c r="R27" s="150">
        <f t="shared" si="2"/>
        <v>0</v>
      </c>
      <c r="S27" s="10" t="str">
        <f t="shared" si="3"/>
        <v>G9</v>
      </c>
      <c r="U27" s="10"/>
    </row>
    <row r="28" spans="1:21" x14ac:dyDescent="0.25">
      <c r="A28" s="10" t="s">
        <v>12</v>
      </c>
      <c r="B28" s="164" t="s">
        <v>218</v>
      </c>
      <c r="C28" s="145">
        <v>17.625</v>
      </c>
      <c r="D28" s="145">
        <v>135</v>
      </c>
      <c r="E28" s="147">
        <v>7.6595744680851068</v>
      </c>
      <c r="F28" s="146">
        <v>8.888888888888907</v>
      </c>
      <c r="G28" s="137">
        <f t="shared" si="0"/>
        <v>156.666666666667</v>
      </c>
      <c r="H28" s="121">
        <f>VLOOKUP(B28,Homologacion!$C$1:$E$92,3,0)</f>
        <v>12896541</v>
      </c>
      <c r="I28" s="10" t="str">
        <f t="shared" si="1"/>
        <v>G9</v>
      </c>
      <c r="J28" s="172">
        <f>+IFERROR(E28/F28,"")</f>
        <v>0.86170212765957277</v>
      </c>
      <c r="K28" s="15">
        <v>12896540</v>
      </c>
      <c r="L28" s="11">
        <v>18</v>
      </c>
      <c r="M28" s="149">
        <v>10</v>
      </c>
      <c r="N28" s="148">
        <v>180</v>
      </c>
      <c r="O28" s="11">
        <v>146</v>
      </c>
      <c r="P28" s="2">
        <f t="shared" si="5"/>
        <v>0.81111111111111112</v>
      </c>
      <c r="Q28" s="2">
        <f t="shared" si="6"/>
        <v>0.81111111111111112</v>
      </c>
      <c r="R28" s="150">
        <f t="shared" si="2"/>
        <v>0</v>
      </c>
      <c r="S28" s="10" t="str">
        <f t="shared" si="3"/>
        <v>G9</v>
      </c>
      <c r="U28" s="10"/>
    </row>
    <row r="29" spans="1:21" x14ac:dyDescent="0.25">
      <c r="A29" s="10" t="s">
        <v>12</v>
      </c>
      <c r="B29" s="164" t="s">
        <v>219</v>
      </c>
      <c r="C29" s="145">
        <v>18</v>
      </c>
      <c r="D29" s="145">
        <v>132</v>
      </c>
      <c r="E29" s="147">
        <v>7.333333333333333</v>
      </c>
      <c r="F29" s="146">
        <v>10</v>
      </c>
      <c r="G29" s="137">
        <f t="shared" si="0"/>
        <v>180</v>
      </c>
      <c r="H29" s="121">
        <f>VLOOKUP(B29,Homologacion!$C$1:$E$92,3,0)</f>
        <v>12896542</v>
      </c>
      <c r="I29" s="10" t="str">
        <f t="shared" si="1"/>
        <v>G9</v>
      </c>
      <c r="J29" s="172">
        <f t="shared" si="4"/>
        <v>0.73333333333333328</v>
      </c>
      <c r="K29" s="15">
        <v>12896541</v>
      </c>
      <c r="L29" s="11">
        <v>17.625</v>
      </c>
      <c r="M29" s="149">
        <v>8.888888888888907</v>
      </c>
      <c r="N29" s="148">
        <v>156.666666666667</v>
      </c>
      <c r="O29" s="11">
        <v>135</v>
      </c>
      <c r="P29" s="2">
        <f t="shared" si="5"/>
        <v>0.86170212765957266</v>
      </c>
      <c r="Q29" s="2">
        <f t="shared" si="6"/>
        <v>0.86170212765957277</v>
      </c>
      <c r="R29" s="150">
        <f t="shared" si="2"/>
        <v>0</v>
      </c>
      <c r="S29" s="10" t="str">
        <f t="shared" si="3"/>
        <v>G9</v>
      </c>
      <c r="U29" s="10"/>
    </row>
    <row r="30" spans="1:21" x14ac:dyDescent="0.25">
      <c r="A30" s="10" t="s">
        <v>12</v>
      </c>
      <c r="B30" s="164" t="s">
        <v>220</v>
      </c>
      <c r="C30" s="145">
        <v>17.375</v>
      </c>
      <c r="D30" s="145">
        <v>131</v>
      </c>
      <c r="E30" s="147">
        <v>7.5395683453237412</v>
      </c>
      <c r="F30" s="146">
        <v>8.888888888888907</v>
      </c>
      <c r="G30" s="137">
        <f t="shared" si="0"/>
        <v>154.44444444444477</v>
      </c>
      <c r="H30" s="121">
        <f>VLOOKUP(B30,Homologacion!$C$1:$E$92,3,0)</f>
        <v>12896543</v>
      </c>
      <c r="I30" s="10" t="str">
        <f t="shared" si="1"/>
        <v>G9</v>
      </c>
      <c r="J30" s="172">
        <f t="shared" si="4"/>
        <v>0.84820143884891919</v>
      </c>
      <c r="K30" s="15">
        <v>12896542</v>
      </c>
      <c r="L30" s="11">
        <v>18</v>
      </c>
      <c r="M30" s="149">
        <v>10</v>
      </c>
      <c r="N30" s="148">
        <v>180</v>
      </c>
      <c r="O30" s="11">
        <v>132</v>
      </c>
      <c r="P30" s="2">
        <f t="shared" si="5"/>
        <v>0.73333333333333328</v>
      </c>
      <c r="Q30" s="2">
        <f t="shared" si="6"/>
        <v>0.73333333333333328</v>
      </c>
      <c r="R30" s="150">
        <f t="shared" si="2"/>
        <v>0</v>
      </c>
      <c r="S30" s="10" t="str">
        <f t="shared" si="3"/>
        <v>G9</v>
      </c>
      <c r="U30" s="10"/>
    </row>
    <row r="31" spans="1:21" x14ac:dyDescent="0.25">
      <c r="A31" s="10" t="s">
        <v>12</v>
      </c>
      <c r="B31" s="164" t="s">
        <v>221</v>
      </c>
      <c r="C31" s="145">
        <v>18</v>
      </c>
      <c r="D31" s="145">
        <v>129</v>
      </c>
      <c r="E31" s="147">
        <v>7.166666666666667</v>
      </c>
      <c r="F31" s="146">
        <v>10</v>
      </c>
      <c r="G31" s="137">
        <f t="shared" si="0"/>
        <v>180</v>
      </c>
      <c r="H31" s="121">
        <f>VLOOKUP(B31,Homologacion!$C$1:$E$92,3,0)</f>
        <v>12896544</v>
      </c>
      <c r="I31" s="10" t="str">
        <f t="shared" si="1"/>
        <v>G9</v>
      </c>
      <c r="J31" s="172">
        <f t="shared" si="4"/>
        <v>0.71666666666666667</v>
      </c>
      <c r="K31" s="15">
        <v>12896543</v>
      </c>
      <c r="L31" s="11">
        <v>17.375</v>
      </c>
      <c r="M31" s="149">
        <v>8.888888888888907</v>
      </c>
      <c r="N31" s="148">
        <v>154.44444444444477</v>
      </c>
      <c r="O31" s="11">
        <v>131</v>
      </c>
      <c r="P31" s="2">
        <f t="shared" si="5"/>
        <v>0.84820143884891908</v>
      </c>
      <c r="Q31" s="2">
        <f t="shared" si="6"/>
        <v>0.84820143884891919</v>
      </c>
      <c r="R31" s="150">
        <f t="shared" si="2"/>
        <v>0</v>
      </c>
      <c r="S31" s="10" t="str">
        <f t="shared" si="3"/>
        <v>G9</v>
      </c>
      <c r="U31" s="10"/>
    </row>
    <row r="32" spans="1:21" x14ac:dyDescent="0.25">
      <c r="A32" s="10" t="s">
        <v>12</v>
      </c>
      <c r="B32" s="164" t="s">
        <v>222</v>
      </c>
      <c r="C32" s="145">
        <v>15</v>
      </c>
      <c r="D32" s="145">
        <v>116</v>
      </c>
      <c r="E32" s="147">
        <v>7.7333333333333334</v>
      </c>
      <c r="F32" s="146">
        <v>10</v>
      </c>
      <c r="G32" s="137">
        <f t="shared" si="0"/>
        <v>150</v>
      </c>
      <c r="H32" s="121">
        <f>VLOOKUP(B32,Homologacion!$C$1:$E$92,3,0)</f>
        <v>12896545</v>
      </c>
      <c r="I32" s="10" t="str">
        <f t="shared" si="1"/>
        <v>G9</v>
      </c>
      <c r="J32" s="172">
        <f t="shared" si="4"/>
        <v>0.77333333333333332</v>
      </c>
      <c r="K32" s="15">
        <v>12896544</v>
      </c>
      <c r="L32" s="11">
        <v>18</v>
      </c>
      <c r="M32" s="149">
        <v>10</v>
      </c>
      <c r="N32" s="148">
        <v>180</v>
      </c>
      <c r="O32" s="11">
        <v>129</v>
      </c>
      <c r="P32" s="2">
        <f t="shared" si="5"/>
        <v>0.71666666666666667</v>
      </c>
      <c r="Q32" s="2">
        <f t="shared" si="6"/>
        <v>0.71666666666666667</v>
      </c>
      <c r="R32" s="150">
        <f t="shared" si="2"/>
        <v>0</v>
      </c>
      <c r="S32" s="10" t="str">
        <f t="shared" si="3"/>
        <v>G9</v>
      </c>
      <c r="U32" s="10"/>
    </row>
    <row r="33" spans="1:21" x14ac:dyDescent="0.25">
      <c r="A33" s="10" t="s">
        <v>12</v>
      </c>
      <c r="B33" s="164" t="s">
        <v>223</v>
      </c>
      <c r="C33" s="145">
        <v>16.625</v>
      </c>
      <c r="D33" s="145">
        <v>114</v>
      </c>
      <c r="E33" s="147">
        <v>6.8571428571428568</v>
      </c>
      <c r="F33" s="146">
        <v>8.888888888888907</v>
      </c>
      <c r="G33" s="137">
        <f t="shared" si="0"/>
        <v>147.77777777777808</v>
      </c>
      <c r="H33" s="121">
        <f>VLOOKUP(B33,Homologacion!$C$1:$E$92,3,0)</f>
        <v>12896546</v>
      </c>
      <c r="I33" s="10" t="str">
        <f t="shared" si="1"/>
        <v>G9</v>
      </c>
      <c r="J33" s="172">
        <f t="shared" si="4"/>
        <v>0.7714285714285698</v>
      </c>
      <c r="K33" s="15">
        <v>12896545</v>
      </c>
      <c r="L33" s="11">
        <v>15</v>
      </c>
      <c r="M33" s="149">
        <v>10</v>
      </c>
      <c r="N33" s="148">
        <v>150</v>
      </c>
      <c r="O33" s="11">
        <v>116</v>
      </c>
      <c r="P33" s="2">
        <f t="shared" si="5"/>
        <v>0.77333333333333332</v>
      </c>
      <c r="Q33" s="2">
        <f t="shared" si="6"/>
        <v>0.77333333333333332</v>
      </c>
      <c r="R33" s="150">
        <f t="shared" si="2"/>
        <v>0</v>
      </c>
      <c r="S33" s="10" t="str">
        <f t="shared" si="3"/>
        <v>G9</v>
      </c>
      <c r="U33" s="10"/>
    </row>
    <row r="34" spans="1:21" x14ac:dyDescent="0.25">
      <c r="A34" s="10" t="s">
        <v>12</v>
      </c>
      <c r="B34" s="164" t="s">
        <v>224</v>
      </c>
      <c r="C34" s="145">
        <v>7</v>
      </c>
      <c r="D34" s="145">
        <v>98</v>
      </c>
      <c r="E34" s="147">
        <v>14</v>
      </c>
      <c r="F34" s="146">
        <v>10</v>
      </c>
      <c r="G34" s="137">
        <f t="shared" si="0"/>
        <v>70</v>
      </c>
      <c r="H34" s="121">
        <f>VLOOKUP(B34,Homologacion!$C$1:$E$92,3,0)</f>
        <v>12896547</v>
      </c>
      <c r="I34" s="10" t="str">
        <f t="shared" si="1"/>
        <v>G9</v>
      </c>
      <c r="J34" s="172">
        <f t="shared" si="4"/>
        <v>1.4</v>
      </c>
      <c r="K34" s="15">
        <v>12896546</v>
      </c>
      <c r="L34" s="11">
        <v>16.625</v>
      </c>
      <c r="M34" s="149">
        <v>8.888888888888907</v>
      </c>
      <c r="N34" s="148">
        <v>147.77777777777808</v>
      </c>
      <c r="O34" s="11">
        <v>114</v>
      </c>
      <c r="P34" s="2">
        <f t="shared" si="5"/>
        <v>0.7714285714285698</v>
      </c>
      <c r="Q34" s="2">
        <f t="shared" si="6"/>
        <v>0.7714285714285698</v>
      </c>
      <c r="R34" s="150">
        <f t="shared" si="2"/>
        <v>0</v>
      </c>
      <c r="S34" s="10" t="str">
        <f t="shared" si="3"/>
        <v>G9</v>
      </c>
      <c r="U34" s="10"/>
    </row>
    <row r="35" spans="1:21" x14ac:dyDescent="0.25">
      <c r="A35" s="10" t="s">
        <v>12</v>
      </c>
      <c r="B35" s="164" t="s">
        <v>225</v>
      </c>
      <c r="C35" s="145">
        <v>6</v>
      </c>
      <c r="D35" s="145">
        <v>77</v>
      </c>
      <c r="E35" s="147">
        <v>12.833333333333334</v>
      </c>
      <c r="F35" s="146">
        <v>10</v>
      </c>
      <c r="G35" s="137">
        <f t="shared" si="0"/>
        <v>60</v>
      </c>
      <c r="H35" s="121">
        <f>VLOOKUP(B35,Homologacion!$C$1:$E$92,3,0)</f>
        <v>12896548</v>
      </c>
      <c r="I35" s="10" t="str">
        <f t="shared" si="1"/>
        <v>G9</v>
      </c>
      <c r="J35" s="172">
        <f t="shared" si="4"/>
        <v>1.2833333333333334</v>
      </c>
      <c r="K35" s="15">
        <v>12896547</v>
      </c>
      <c r="L35" s="11">
        <v>7</v>
      </c>
      <c r="M35" s="149">
        <v>10</v>
      </c>
      <c r="N35" s="148">
        <v>70</v>
      </c>
      <c r="O35" s="11">
        <v>98</v>
      </c>
      <c r="P35" s="2">
        <f t="shared" si="5"/>
        <v>1.4</v>
      </c>
      <c r="Q35" s="2">
        <f t="shared" si="6"/>
        <v>1.4</v>
      </c>
      <c r="R35" s="150">
        <f t="shared" si="2"/>
        <v>0</v>
      </c>
      <c r="S35" s="10" t="str">
        <f t="shared" si="3"/>
        <v>G9</v>
      </c>
      <c r="U35" s="10"/>
    </row>
    <row r="36" spans="1:21" x14ac:dyDescent="0.25">
      <c r="A36" s="10" t="s">
        <v>12</v>
      </c>
      <c r="B36" s="211" t="s">
        <v>226</v>
      </c>
      <c r="C36" s="145">
        <v>10</v>
      </c>
      <c r="D36" s="145">
        <v>69</v>
      </c>
      <c r="E36" s="147">
        <v>6.9</v>
      </c>
      <c r="F36" s="146">
        <v>10</v>
      </c>
      <c r="G36" s="137">
        <f t="shared" si="0"/>
        <v>100</v>
      </c>
      <c r="H36" s="121">
        <f>VLOOKUP(B36,Homologacion!$C$1:$E$92,3,0)</f>
        <v>12896549</v>
      </c>
      <c r="I36" s="10" t="str">
        <f t="shared" si="1"/>
        <v>G9</v>
      </c>
      <c r="J36" s="172">
        <f t="shared" si="4"/>
        <v>0.69000000000000006</v>
      </c>
      <c r="K36" s="15">
        <v>12896548</v>
      </c>
      <c r="L36" s="11">
        <v>6</v>
      </c>
      <c r="M36" s="149">
        <v>10</v>
      </c>
      <c r="N36" s="148">
        <v>60</v>
      </c>
      <c r="O36" s="11">
        <v>77</v>
      </c>
      <c r="P36" s="2">
        <f t="shared" si="5"/>
        <v>1.2833333333333334</v>
      </c>
      <c r="Q36" s="2">
        <f t="shared" si="6"/>
        <v>1.2833333333333334</v>
      </c>
      <c r="R36" s="150">
        <f t="shared" si="2"/>
        <v>0</v>
      </c>
      <c r="S36" s="10" t="str">
        <f t="shared" si="3"/>
        <v>G9</v>
      </c>
      <c r="U36" s="10"/>
    </row>
    <row r="37" spans="1:21" x14ac:dyDescent="0.25">
      <c r="A37" s="10" t="s">
        <v>12</v>
      </c>
      <c r="B37" s="164" t="s">
        <v>227</v>
      </c>
      <c r="C37" s="145">
        <v>6</v>
      </c>
      <c r="D37" s="145">
        <v>60</v>
      </c>
      <c r="E37" s="147">
        <v>10</v>
      </c>
      <c r="F37" s="146">
        <v>10</v>
      </c>
      <c r="G37" s="137">
        <f t="shared" si="0"/>
        <v>60</v>
      </c>
      <c r="H37" s="121">
        <f>VLOOKUP(B37,Homologacion!$C$1:$E$92,3,0)</f>
        <v>12896550</v>
      </c>
      <c r="I37" s="10" t="str">
        <f t="shared" si="1"/>
        <v>G9</v>
      </c>
      <c r="J37" s="172">
        <f t="shared" si="4"/>
        <v>1</v>
      </c>
      <c r="K37" s="15">
        <v>12896549</v>
      </c>
      <c r="L37" s="11">
        <v>10</v>
      </c>
      <c r="M37" s="149">
        <v>10</v>
      </c>
      <c r="N37" s="148">
        <v>100</v>
      </c>
      <c r="O37" s="11">
        <v>69</v>
      </c>
      <c r="P37" s="2">
        <f t="shared" si="5"/>
        <v>0.69</v>
      </c>
      <c r="Q37" s="2">
        <f t="shared" si="6"/>
        <v>0.69000000000000006</v>
      </c>
      <c r="R37" s="150">
        <f t="shared" si="2"/>
        <v>0</v>
      </c>
      <c r="S37" s="10" t="str">
        <f t="shared" si="3"/>
        <v>G9</v>
      </c>
      <c r="U37" s="10"/>
    </row>
    <row r="38" spans="1:21" x14ac:dyDescent="0.25">
      <c r="A38" s="10" t="s">
        <v>12</v>
      </c>
      <c r="B38" s="218" t="s">
        <v>228</v>
      </c>
      <c r="C38" s="145"/>
      <c r="D38" s="145"/>
      <c r="E38" s="147"/>
      <c r="F38" s="146"/>
      <c r="G38" s="137">
        <f t="shared" si="0"/>
        <v>0</v>
      </c>
      <c r="H38" s="121">
        <f>VLOOKUP(B38,Homologacion!$C$1:$E$92,3,0)</f>
        <v>12896551</v>
      </c>
      <c r="I38" s="10" t="str">
        <f t="shared" si="1"/>
        <v>G9</v>
      </c>
      <c r="J38" s="172" t="str">
        <f t="shared" si="4"/>
        <v/>
      </c>
      <c r="K38" s="15">
        <v>12896550</v>
      </c>
      <c r="L38" s="11">
        <v>6</v>
      </c>
      <c r="M38" s="149">
        <v>10</v>
      </c>
      <c r="N38" s="148">
        <v>60</v>
      </c>
      <c r="O38" s="11">
        <v>60</v>
      </c>
      <c r="P38" s="2">
        <f t="shared" si="5"/>
        <v>1</v>
      </c>
      <c r="Q38" s="2">
        <f t="shared" si="6"/>
        <v>1</v>
      </c>
      <c r="R38" s="150">
        <f t="shared" si="2"/>
        <v>0</v>
      </c>
      <c r="S38" s="10" t="str">
        <f t="shared" si="3"/>
        <v>G9</v>
      </c>
      <c r="U38" s="10"/>
    </row>
    <row r="39" spans="1:21" x14ac:dyDescent="0.25">
      <c r="A39" s="10" t="s">
        <v>12</v>
      </c>
      <c r="B39" s="210" t="s">
        <v>229</v>
      </c>
      <c r="C39" s="145">
        <v>10</v>
      </c>
      <c r="D39" s="145">
        <v>38</v>
      </c>
      <c r="E39" s="147">
        <v>3.8</v>
      </c>
      <c r="F39" s="146">
        <v>10</v>
      </c>
      <c r="G39" s="137">
        <f t="shared" si="0"/>
        <v>100</v>
      </c>
      <c r="H39" s="121">
        <f>VLOOKUP(B39,Homologacion!$C$1:$E$92,3,0)</f>
        <v>12896552</v>
      </c>
      <c r="I39" s="10" t="str">
        <f t="shared" si="1"/>
        <v>G9</v>
      </c>
      <c r="J39" s="172">
        <f t="shared" si="4"/>
        <v>0.38</v>
      </c>
      <c r="K39" s="15">
        <v>12896551</v>
      </c>
      <c r="L39" s="11"/>
      <c r="M39" s="149"/>
      <c r="N39" s="148">
        <v>0</v>
      </c>
      <c r="O39" s="11"/>
      <c r="P39" s="2" t="e">
        <f t="shared" si="5"/>
        <v>#DIV/0!</v>
      </c>
      <c r="Q39" s="2" t="str">
        <f t="shared" si="6"/>
        <v/>
      </c>
      <c r="R39" s="150" t="e">
        <f t="shared" si="2"/>
        <v>#DIV/0!</v>
      </c>
      <c r="S39" s="10" t="str">
        <f t="shared" si="3"/>
        <v>G9</v>
      </c>
      <c r="U39" s="10"/>
    </row>
    <row r="40" spans="1:21" x14ac:dyDescent="0.25">
      <c r="A40" s="10" t="s">
        <v>12</v>
      </c>
      <c r="B40" s="218" t="s">
        <v>230</v>
      </c>
      <c r="C40" s="154"/>
      <c r="D40" s="154"/>
      <c r="E40" s="179"/>
      <c r="F40" s="180"/>
      <c r="G40" s="137">
        <f t="shared" si="0"/>
        <v>0</v>
      </c>
      <c r="H40" s="121">
        <f>VLOOKUP(B40,Homologacion!$C$1:$E$92,3,0)</f>
        <v>12896553</v>
      </c>
      <c r="I40" s="10" t="str">
        <f t="shared" si="1"/>
        <v>G9</v>
      </c>
      <c r="J40" s="172" t="str">
        <f t="shared" si="4"/>
        <v/>
      </c>
      <c r="K40" s="15">
        <v>12896552</v>
      </c>
      <c r="L40" s="11">
        <v>10</v>
      </c>
      <c r="M40" s="149">
        <v>10</v>
      </c>
      <c r="N40" s="148">
        <v>100</v>
      </c>
      <c r="O40" s="11">
        <v>38</v>
      </c>
      <c r="P40" s="2">
        <f t="shared" si="5"/>
        <v>0.38</v>
      </c>
      <c r="Q40" s="2">
        <f t="shared" si="6"/>
        <v>0.38</v>
      </c>
      <c r="R40" s="150">
        <f t="shared" si="2"/>
        <v>0</v>
      </c>
      <c r="S40" s="10" t="str">
        <f t="shared" si="3"/>
        <v>G9</v>
      </c>
      <c r="U40" s="10"/>
    </row>
    <row r="41" spans="1:21" x14ac:dyDescent="0.25">
      <c r="A41" s="10" t="s">
        <v>4</v>
      </c>
      <c r="B41" s="164" t="s">
        <v>231</v>
      </c>
      <c r="C41" s="145">
        <v>18.625</v>
      </c>
      <c r="D41" s="145">
        <v>522</v>
      </c>
      <c r="E41" s="147">
        <v>28.026845637583893</v>
      </c>
      <c r="F41" s="146">
        <v>30</v>
      </c>
      <c r="G41" s="137">
        <f t="shared" si="0"/>
        <v>558.75</v>
      </c>
      <c r="H41" s="121">
        <f>VLOOKUP(B41,Homologacion!$C$1:$E$92,3,0)</f>
        <v>12896554</v>
      </c>
      <c r="I41" s="10" t="str">
        <f t="shared" si="1"/>
        <v>G1</v>
      </c>
      <c r="J41" s="172">
        <f t="shared" si="4"/>
        <v>0.93422818791946305</v>
      </c>
      <c r="K41" s="15">
        <v>12896553</v>
      </c>
      <c r="L41" s="11"/>
      <c r="M41" s="149"/>
      <c r="N41" s="148">
        <v>0</v>
      </c>
      <c r="O41" s="11"/>
      <c r="P41" s="2" t="e">
        <f t="shared" si="5"/>
        <v>#DIV/0!</v>
      </c>
      <c r="Q41" s="2" t="str">
        <f t="shared" si="6"/>
        <v/>
      </c>
      <c r="R41" s="150" t="e">
        <f t="shared" si="2"/>
        <v>#DIV/0!</v>
      </c>
      <c r="S41" s="10" t="str">
        <f t="shared" si="3"/>
        <v>G9</v>
      </c>
      <c r="U41" s="10"/>
    </row>
    <row r="42" spans="1:21" x14ac:dyDescent="0.25">
      <c r="A42" s="10" t="s">
        <v>4</v>
      </c>
      <c r="B42" s="164" t="s">
        <v>232</v>
      </c>
      <c r="C42" s="145">
        <v>19</v>
      </c>
      <c r="D42" s="145">
        <v>440</v>
      </c>
      <c r="E42" s="147">
        <v>23.157894736842106</v>
      </c>
      <c r="F42" s="146">
        <v>30</v>
      </c>
      <c r="G42" s="137">
        <f t="shared" si="0"/>
        <v>570</v>
      </c>
      <c r="H42" s="121">
        <f>VLOOKUP(B42,Homologacion!$C$1:$E$92,3,0)</f>
        <v>12896555</v>
      </c>
      <c r="I42" s="10" t="str">
        <f t="shared" si="1"/>
        <v>G1</v>
      </c>
      <c r="J42" s="172">
        <f t="shared" si="4"/>
        <v>0.77192982456140358</v>
      </c>
      <c r="K42" s="15">
        <v>12896554</v>
      </c>
      <c r="L42" s="11">
        <v>18.625</v>
      </c>
      <c r="M42" s="149">
        <v>30</v>
      </c>
      <c r="N42" s="148">
        <v>558.75</v>
      </c>
      <c r="O42" s="11">
        <v>522</v>
      </c>
      <c r="P42" s="2">
        <f>+O42/N42</f>
        <v>0.93422818791946305</v>
      </c>
      <c r="Q42" s="2">
        <f t="shared" si="6"/>
        <v>0.93422818791946305</v>
      </c>
      <c r="R42" s="150">
        <f t="shared" si="2"/>
        <v>0</v>
      </c>
      <c r="S42" s="10" t="str">
        <f t="shared" si="3"/>
        <v>G1</v>
      </c>
      <c r="U42" s="10"/>
    </row>
    <row r="43" spans="1:21" x14ac:dyDescent="0.25">
      <c r="A43" s="10" t="s">
        <v>4</v>
      </c>
      <c r="B43" s="164" t="s">
        <v>233</v>
      </c>
      <c r="C43" s="145">
        <v>19</v>
      </c>
      <c r="D43" s="145">
        <v>401</v>
      </c>
      <c r="E43" s="147">
        <v>21.105263157894736</v>
      </c>
      <c r="F43" s="146">
        <v>30</v>
      </c>
      <c r="G43" s="137">
        <f t="shared" si="0"/>
        <v>570</v>
      </c>
      <c r="H43" s="121">
        <f>VLOOKUP(B43,Homologacion!$C$1:$E$92,3,0)</f>
        <v>12896556</v>
      </c>
      <c r="I43" s="10" t="str">
        <f t="shared" si="1"/>
        <v>G1</v>
      </c>
      <c r="J43" s="172">
        <f t="shared" si="4"/>
        <v>0.70350877192982453</v>
      </c>
      <c r="K43" s="15">
        <v>12896555</v>
      </c>
      <c r="L43" s="11">
        <v>19</v>
      </c>
      <c r="M43" s="149">
        <v>30</v>
      </c>
      <c r="N43" s="148">
        <v>570</v>
      </c>
      <c r="O43" s="11">
        <v>440</v>
      </c>
      <c r="P43" s="2">
        <f t="shared" si="5"/>
        <v>0.77192982456140347</v>
      </c>
      <c r="Q43" s="2">
        <f t="shared" si="6"/>
        <v>0.77192982456140358</v>
      </c>
      <c r="R43" s="150">
        <f t="shared" si="2"/>
        <v>0</v>
      </c>
      <c r="S43" s="10" t="str">
        <f t="shared" si="3"/>
        <v>G1</v>
      </c>
      <c r="U43" s="10"/>
    </row>
    <row r="44" spans="1:21" x14ac:dyDescent="0.25">
      <c r="A44" s="10" t="s">
        <v>4</v>
      </c>
      <c r="B44" s="164" t="s">
        <v>234</v>
      </c>
      <c r="C44" s="145">
        <v>19</v>
      </c>
      <c r="D44" s="145">
        <v>306</v>
      </c>
      <c r="E44" s="147">
        <v>16.105263157894736</v>
      </c>
      <c r="F44" s="146">
        <v>30</v>
      </c>
      <c r="G44" s="137">
        <f t="shared" si="0"/>
        <v>570</v>
      </c>
      <c r="H44" s="121">
        <f>VLOOKUP(B44,Homologacion!$C$1:$E$92,3,0)</f>
        <v>12896557</v>
      </c>
      <c r="I44" s="10" t="str">
        <f t="shared" si="1"/>
        <v>G1</v>
      </c>
      <c r="J44" s="172">
        <f t="shared" si="4"/>
        <v>0.5368421052631579</v>
      </c>
      <c r="K44" s="15">
        <v>12896556</v>
      </c>
      <c r="L44" s="11">
        <v>19</v>
      </c>
      <c r="M44" s="149">
        <v>30</v>
      </c>
      <c r="N44" s="148">
        <v>570</v>
      </c>
      <c r="O44" s="11">
        <v>401</v>
      </c>
      <c r="P44" s="2">
        <f>+O44/N44</f>
        <v>0.70350877192982453</v>
      </c>
      <c r="Q44" s="2">
        <f t="shared" si="6"/>
        <v>0.70350877192982453</v>
      </c>
      <c r="R44" s="150">
        <f t="shared" si="2"/>
        <v>0</v>
      </c>
      <c r="S44" s="10" t="str">
        <f t="shared" si="3"/>
        <v>G1</v>
      </c>
      <c r="U44" s="10"/>
    </row>
    <row r="45" spans="1:21" x14ac:dyDescent="0.25">
      <c r="A45" s="10" t="s">
        <v>4</v>
      </c>
      <c r="B45" s="164" t="s">
        <v>235</v>
      </c>
      <c r="C45" s="145">
        <v>16</v>
      </c>
      <c r="D45" s="145">
        <v>222</v>
      </c>
      <c r="E45" s="147">
        <v>13.875</v>
      </c>
      <c r="F45" s="146">
        <v>30</v>
      </c>
      <c r="G45" s="137">
        <f t="shared" si="0"/>
        <v>480</v>
      </c>
      <c r="H45" s="121">
        <f>VLOOKUP(B45,Homologacion!$C$1:$E$92,3,0)</f>
        <v>12896558</v>
      </c>
      <c r="I45" s="10" t="str">
        <f t="shared" si="1"/>
        <v>G1</v>
      </c>
      <c r="J45" s="172">
        <f t="shared" si="4"/>
        <v>0.46250000000000002</v>
      </c>
      <c r="K45" s="15">
        <v>12896557</v>
      </c>
      <c r="L45" s="11">
        <v>19</v>
      </c>
      <c r="M45" s="149">
        <v>30</v>
      </c>
      <c r="N45" s="148">
        <v>570</v>
      </c>
      <c r="O45" s="11">
        <v>306</v>
      </c>
      <c r="P45" s="2">
        <f t="shared" si="5"/>
        <v>0.5368421052631579</v>
      </c>
      <c r="Q45" s="2">
        <f t="shared" si="6"/>
        <v>0.5368421052631579</v>
      </c>
      <c r="R45" s="150">
        <f t="shared" si="2"/>
        <v>0</v>
      </c>
      <c r="S45" s="10" t="str">
        <f t="shared" si="3"/>
        <v>G1</v>
      </c>
      <c r="U45" s="10"/>
    </row>
    <row r="46" spans="1:21" x14ac:dyDescent="0.25">
      <c r="A46" s="10" t="s">
        <v>4</v>
      </c>
      <c r="B46" s="139" t="s">
        <v>236</v>
      </c>
      <c r="C46" s="145">
        <v>11.625</v>
      </c>
      <c r="D46" s="186">
        <v>193</v>
      </c>
      <c r="E46" s="147">
        <v>16.602150537634408</v>
      </c>
      <c r="F46" s="146">
        <v>30</v>
      </c>
      <c r="G46" s="137">
        <f t="shared" si="0"/>
        <v>348.75</v>
      </c>
      <c r="H46" s="121">
        <f>VLOOKUP(B46,Homologacion!$C$1:$E$92,3,0)</f>
        <v>12896559</v>
      </c>
      <c r="I46" s="10" t="str">
        <f t="shared" si="1"/>
        <v>G1</v>
      </c>
      <c r="J46" s="172">
        <f t="shared" si="4"/>
        <v>0.55340501792114694</v>
      </c>
      <c r="K46" s="15">
        <v>12896558</v>
      </c>
      <c r="L46" s="11">
        <v>16</v>
      </c>
      <c r="M46" s="149">
        <v>30</v>
      </c>
      <c r="N46" s="148">
        <v>480</v>
      </c>
      <c r="O46" s="11">
        <v>222</v>
      </c>
      <c r="P46" s="2">
        <f t="shared" si="5"/>
        <v>0.46250000000000002</v>
      </c>
      <c r="Q46" s="2">
        <f t="shared" si="6"/>
        <v>0.46250000000000002</v>
      </c>
      <c r="R46" s="150">
        <f t="shared" si="2"/>
        <v>0</v>
      </c>
      <c r="S46" s="10" t="str">
        <f t="shared" si="3"/>
        <v>G1</v>
      </c>
      <c r="U46" s="10"/>
    </row>
    <row r="47" spans="1:21" x14ac:dyDescent="0.25">
      <c r="A47" s="10" t="s">
        <v>6</v>
      </c>
      <c r="B47" s="164" t="s">
        <v>237</v>
      </c>
      <c r="C47" s="145">
        <v>16.5</v>
      </c>
      <c r="D47" s="145">
        <v>526</v>
      </c>
      <c r="E47" s="147">
        <v>31.878787878787879</v>
      </c>
      <c r="F47" s="146">
        <v>30</v>
      </c>
      <c r="G47" s="137">
        <f t="shared" si="0"/>
        <v>495</v>
      </c>
      <c r="H47" s="121">
        <f>VLOOKUP(B47,Homologacion!$C$1:$E$92,3,0)</f>
        <v>12896560</v>
      </c>
      <c r="I47" s="10" t="str">
        <f t="shared" si="1"/>
        <v>G2</v>
      </c>
      <c r="J47" s="172">
        <f t="shared" si="4"/>
        <v>1.0626262626262626</v>
      </c>
      <c r="K47" s="15">
        <v>12896559</v>
      </c>
      <c r="L47" s="11">
        <v>11.625</v>
      </c>
      <c r="M47" s="149">
        <v>30</v>
      </c>
      <c r="N47" s="148">
        <v>348.75</v>
      </c>
      <c r="O47" s="11">
        <v>193</v>
      </c>
      <c r="P47" s="2">
        <f t="shared" si="5"/>
        <v>0.55340501792114694</v>
      </c>
      <c r="Q47" s="2">
        <f t="shared" si="6"/>
        <v>0.55340501792114694</v>
      </c>
      <c r="R47" s="150">
        <f t="shared" si="2"/>
        <v>0</v>
      </c>
      <c r="S47" s="10" t="str">
        <f t="shared" si="3"/>
        <v>G1</v>
      </c>
      <c r="U47" s="10"/>
    </row>
    <row r="48" spans="1:21" x14ac:dyDescent="0.25">
      <c r="A48" s="10" t="s">
        <v>6</v>
      </c>
      <c r="B48" s="164" t="s">
        <v>238</v>
      </c>
      <c r="C48" s="145">
        <v>17</v>
      </c>
      <c r="D48" s="145">
        <v>353</v>
      </c>
      <c r="E48" s="147">
        <v>20.764705882352942</v>
      </c>
      <c r="F48" s="146">
        <v>30</v>
      </c>
      <c r="G48" s="137">
        <f t="shared" si="0"/>
        <v>510</v>
      </c>
      <c r="H48" s="121">
        <f>VLOOKUP(B48,Homologacion!$C$1:$E$92,3,0)</f>
        <v>12896561</v>
      </c>
      <c r="I48" s="10" t="str">
        <f t="shared" si="1"/>
        <v>G2</v>
      </c>
      <c r="J48" s="172">
        <f t="shared" si="4"/>
        <v>0.69215686274509802</v>
      </c>
      <c r="K48" s="15">
        <v>12896560</v>
      </c>
      <c r="L48" s="11">
        <v>16.5</v>
      </c>
      <c r="M48" s="149">
        <v>30</v>
      </c>
      <c r="N48" s="148">
        <v>495</v>
      </c>
      <c r="O48" s="11">
        <v>526</v>
      </c>
      <c r="P48" s="2">
        <f t="shared" si="5"/>
        <v>1.0626262626262626</v>
      </c>
      <c r="Q48" s="2">
        <f t="shared" si="6"/>
        <v>1.0626262626262626</v>
      </c>
      <c r="R48" s="150">
        <f t="shared" si="2"/>
        <v>0</v>
      </c>
      <c r="S48" s="10" t="str">
        <f t="shared" si="3"/>
        <v>G2</v>
      </c>
      <c r="U48" s="10"/>
    </row>
    <row r="49" spans="1:21" x14ac:dyDescent="0.25">
      <c r="A49" s="10" t="s">
        <v>11</v>
      </c>
      <c r="B49" s="164" t="s">
        <v>239</v>
      </c>
      <c r="C49" s="145">
        <v>19</v>
      </c>
      <c r="D49" s="145">
        <v>168</v>
      </c>
      <c r="E49" s="147">
        <v>8.8421052631578956</v>
      </c>
      <c r="F49" s="146">
        <v>8</v>
      </c>
      <c r="G49" s="137">
        <f t="shared" si="0"/>
        <v>152</v>
      </c>
      <c r="H49" s="121">
        <f>VLOOKUP(B49,Homologacion!$C$1:$E$92,3,0)</f>
        <v>12896562</v>
      </c>
      <c r="I49" s="10" t="str">
        <f t="shared" si="1"/>
        <v>G7</v>
      </c>
      <c r="J49" s="172">
        <f t="shared" si="4"/>
        <v>1.1052631578947369</v>
      </c>
      <c r="K49" s="15">
        <v>12896561</v>
      </c>
      <c r="L49" s="11">
        <v>17</v>
      </c>
      <c r="M49" s="149">
        <v>30</v>
      </c>
      <c r="N49" s="148">
        <v>510</v>
      </c>
      <c r="O49" s="11">
        <v>353</v>
      </c>
      <c r="P49" s="2">
        <f t="shared" si="5"/>
        <v>0.69215686274509802</v>
      </c>
      <c r="Q49" s="2">
        <f t="shared" si="6"/>
        <v>0.69215686274509802</v>
      </c>
      <c r="R49" s="150">
        <f t="shared" si="2"/>
        <v>0</v>
      </c>
      <c r="S49" s="10" t="str">
        <f t="shared" si="3"/>
        <v>G2</v>
      </c>
      <c r="U49" s="10"/>
    </row>
    <row r="50" spans="1:21" x14ac:dyDescent="0.25">
      <c r="A50" s="10" t="s">
        <v>11</v>
      </c>
      <c r="B50" s="164" t="s">
        <v>240</v>
      </c>
      <c r="C50" s="145">
        <v>19</v>
      </c>
      <c r="D50" s="145">
        <v>156</v>
      </c>
      <c r="E50" s="147">
        <v>8.2105263157894743</v>
      </c>
      <c r="F50" s="146">
        <v>8</v>
      </c>
      <c r="G50" s="137">
        <f t="shared" si="0"/>
        <v>152</v>
      </c>
      <c r="H50" s="121">
        <f>VLOOKUP(B50,Homologacion!$C$1:$E$92,3,0)</f>
        <v>12896563</v>
      </c>
      <c r="I50" s="10" t="str">
        <f t="shared" si="1"/>
        <v>G7</v>
      </c>
      <c r="J50" s="172">
        <f t="shared" si="4"/>
        <v>1.0263157894736843</v>
      </c>
      <c r="K50" s="15">
        <v>12896562</v>
      </c>
      <c r="L50" s="11">
        <v>19</v>
      </c>
      <c r="M50" s="149">
        <v>8</v>
      </c>
      <c r="N50" s="148">
        <v>152</v>
      </c>
      <c r="O50" s="11">
        <v>168</v>
      </c>
      <c r="P50" s="2">
        <f t="shared" si="5"/>
        <v>1.1052631578947369</v>
      </c>
      <c r="Q50" s="2">
        <f t="shared" si="6"/>
        <v>1.1052631578947369</v>
      </c>
      <c r="R50" s="150">
        <f t="shared" si="2"/>
        <v>0</v>
      </c>
      <c r="S50" s="10" t="str">
        <f t="shared" si="3"/>
        <v>G7</v>
      </c>
      <c r="U50" s="10"/>
    </row>
    <row r="51" spans="1:21" x14ac:dyDescent="0.25">
      <c r="A51" s="10" t="s">
        <v>11</v>
      </c>
      <c r="B51" s="164" t="s">
        <v>241</v>
      </c>
      <c r="C51" s="145">
        <v>19</v>
      </c>
      <c r="D51" s="145">
        <v>154</v>
      </c>
      <c r="E51" s="147">
        <v>8.1052631578947363</v>
      </c>
      <c r="F51" s="146">
        <v>8</v>
      </c>
      <c r="G51" s="137">
        <f t="shared" si="0"/>
        <v>152</v>
      </c>
      <c r="H51" s="121">
        <f>VLOOKUP(B51,Homologacion!$C$1:$E$92,3,0)</f>
        <v>12896564</v>
      </c>
      <c r="I51" s="10" t="str">
        <f t="shared" si="1"/>
        <v>G7</v>
      </c>
      <c r="J51" s="172">
        <f t="shared" si="4"/>
        <v>1.013157894736842</v>
      </c>
      <c r="K51" s="15">
        <v>12896563</v>
      </c>
      <c r="L51" s="11">
        <v>19</v>
      </c>
      <c r="M51" s="149">
        <v>8</v>
      </c>
      <c r="N51" s="148">
        <v>152</v>
      </c>
      <c r="O51" s="11">
        <v>156</v>
      </c>
      <c r="P51" s="2">
        <f>+O51/N51</f>
        <v>1.0263157894736843</v>
      </c>
      <c r="Q51" s="2">
        <f t="shared" si="6"/>
        <v>1.0263157894736843</v>
      </c>
      <c r="R51" s="150">
        <f t="shared" si="2"/>
        <v>0</v>
      </c>
      <c r="S51" s="10" t="str">
        <f t="shared" si="3"/>
        <v>G7</v>
      </c>
      <c r="U51" s="10"/>
    </row>
    <row r="52" spans="1:21" x14ac:dyDescent="0.25">
      <c r="A52" s="10" t="s">
        <v>11</v>
      </c>
      <c r="B52" s="164" t="s">
        <v>242</v>
      </c>
      <c r="C52" s="145">
        <v>8</v>
      </c>
      <c r="D52" s="145">
        <v>42</v>
      </c>
      <c r="E52" s="147">
        <v>5.25</v>
      </c>
      <c r="F52" s="146">
        <v>8</v>
      </c>
      <c r="G52" s="137">
        <f t="shared" si="0"/>
        <v>64</v>
      </c>
      <c r="H52" s="121">
        <f>VLOOKUP(B52,Homologacion!$C$1:$E$92,3,0)</f>
        <v>12896565</v>
      </c>
      <c r="I52" s="10" t="str">
        <f t="shared" si="1"/>
        <v>G7</v>
      </c>
      <c r="J52" s="172">
        <f t="shared" si="4"/>
        <v>0.65625</v>
      </c>
      <c r="K52" s="15">
        <v>12896564</v>
      </c>
      <c r="L52" s="11">
        <v>19</v>
      </c>
      <c r="M52" s="149">
        <v>8</v>
      </c>
      <c r="N52" s="148">
        <v>152</v>
      </c>
      <c r="O52" s="11">
        <v>154</v>
      </c>
      <c r="P52" s="2">
        <f t="shared" si="5"/>
        <v>1.013157894736842</v>
      </c>
      <c r="Q52" s="2">
        <f t="shared" si="6"/>
        <v>1.013157894736842</v>
      </c>
      <c r="R52" s="150">
        <f t="shared" si="2"/>
        <v>0</v>
      </c>
      <c r="S52" s="10" t="str">
        <f t="shared" si="3"/>
        <v>G7</v>
      </c>
      <c r="U52" s="10"/>
    </row>
    <row r="53" spans="1:21" x14ac:dyDescent="0.25">
      <c r="A53" s="10" t="s">
        <v>18</v>
      </c>
      <c r="B53" s="164" t="s">
        <v>243</v>
      </c>
      <c r="C53" s="145">
        <v>19</v>
      </c>
      <c r="D53" s="145">
        <v>124</v>
      </c>
      <c r="E53" s="147">
        <v>6.5263157894736841</v>
      </c>
      <c r="F53" s="146">
        <v>8</v>
      </c>
      <c r="G53" s="137">
        <f t="shared" si="0"/>
        <v>152</v>
      </c>
      <c r="H53" s="121">
        <f>VLOOKUP(B53,Homologacion!$C$1:$E$92,3,0)</f>
        <v>12896566</v>
      </c>
      <c r="I53" s="10" t="str">
        <f t="shared" si="1"/>
        <v>Impugnaciones</v>
      </c>
      <c r="J53" s="172">
        <f t="shared" si="4"/>
        <v>0.81578947368421051</v>
      </c>
      <c r="K53" s="15">
        <v>12896565</v>
      </c>
      <c r="L53" s="11">
        <v>8</v>
      </c>
      <c r="M53" s="149">
        <v>8</v>
      </c>
      <c r="N53" s="148">
        <v>64</v>
      </c>
      <c r="O53" s="11">
        <v>42</v>
      </c>
      <c r="P53" s="2">
        <f t="shared" si="5"/>
        <v>0.65625</v>
      </c>
      <c r="Q53" s="2">
        <f t="shared" si="6"/>
        <v>0.65625</v>
      </c>
      <c r="R53" s="150">
        <f t="shared" si="2"/>
        <v>0</v>
      </c>
      <c r="S53" s="10" t="str">
        <f t="shared" si="3"/>
        <v>G7</v>
      </c>
      <c r="U53" s="10"/>
    </row>
    <row r="54" spans="1:21" x14ac:dyDescent="0.25">
      <c r="A54" s="10" t="s">
        <v>18</v>
      </c>
      <c r="B54" s="164" t="s">
        <v>244</v>
      </c>
      <c r="C54" s="145">
        <v>19</v>
      </c>
      <c r="D54" s="145">
        <v>106</v>
      </c>
      <c r="E54" s="147">
        <v>5.5789473684210522</v>
      </c>
      <c r="F54" s="146">
        <v>8</v>
      </c>
      <c r="G54" s="137">
        <f t="shared" si="0"/>
        <v>152</v>
      </c>
      <c r="H54" s="121">
        <f>VLOOKUP(B54,Homologacion!$C$1:$E$92,3,0)</f>
        <v>12896567</v>
      </c>
      <c r="I54" s="10" t="str">
        <f t="shared" si="1"/>
        <v>Impugnaciones</v>
      </c>
      <c r="J54" s="172">
        <f t="shared" si="4"/>
        <v>0.69736842105263153</v>
      </c>
      <c r="K54" s="15">
        <v>12896566</v>
      </c>
      <c r="L54" s="11">
        <v>19</v>
      </c>
      <c r="M54" s="149">
        <v>8</v>
      </c>
      <c r="N54" s="148">
        <v>152</v>
      </c>
      <c r="O54" s="11">
        <v>124</v>
      </c>
      <c r="P54" s="2">
        <f t="shared" si="5"/>
        <v>0.81578947368421051</v>
      </c>
      <c r="Q54" s="2">
        <f t="shared" si="6"/>
        <v>0.81578947368421051</v>
      </c>
      <c r="R54" s="150">
        <f t="shared" si="2"/>
        <v>0</v>
      </c>
      <c r="S54" s="10" t="str">
        <f t="shared" si="3"/>
        <v>Impugnaciones</v>
      </c>
      <c r="U54" s="10"/>
    </row>
    <row r="55" spans="1:21" x14ac:dyDescent="0.25">
      <c r="A55" s="10" t="s">
        <v>18</v>
      </c>
      <c r="B55" s="210" t="s">
        <v>245</v>
      </c>
      <c r="C55" s="145">
        <v>6</v>
      </c>
      <c r="D55" s="145">
        <v>35</v>
      </c>
      <c r="E55" s="147">
        <v>5.833333333333333</v>
      </c>
      <c r="F55" s="146">
        <v>8</v>
      </c>
      <c r="G55" s="137">
        <f t="shared" si="0"/>
        <v>48</v>
      </c>
      <c r="H55" s="121">
        <f>VLOOKUP(B55,Homologacion!$C$1:$E$92,3,0)</f>
        <v>12896568</v>
      </c>
      <c r="I55" s="10" t="str">
        <f t="shared" si="1"/>
        <v>Impugnaciones</v>
      </c>
      <c r="J55" s="172">
        <f t="shared" si="4"/>
        <v>0.72916666666666663</v>
      </c>
      <c r="K55" s="15">
        <v>12896567</v>
      </c>
      <c r="L55" s="11">
        <v>19</v>
      </c>
      <c r="M55" s="149">
        <v>8</v>
      </c>
      <c r="N55" s="148">
        <v>152</v>
      </c>
      <c r="O55" s="11">
        <v>106</v>
      </c>
      <c r="P55" s="2">
        <f t="shared" si="5"/>
        <v>0.69736842105263153</v>
      </c>
      <c r="Q55" s="2">
        <f t="shared" si="6"/>
        <v>0.69736842105263153</v>
      </c>
      <c r="R55" s="150">
        <f t="shared" si="2"/>
        <v>0</v>
      </c>
      <c r="S55" s="10" t="str">
        <f t="shared" si="3"/>
        <v>Impugnaciones</v>
      </c>
      <c r="U55" s="10"/>
    </row>
    <row r="56" spans="1:21" x14ac:dyDescent="0.25">
      <c r="A56" s="10" t="s">
        <v>18</v>
      </c>
      <c r="B56" s="211" t="s">
        <v>246</v>
      </c>
      <c r="C56" s="145">
        <v>5</v>
      </c>
      <c r="D56" s="145">
        <v>31</v>
      </c>
      <c r="E56" s="147">
        <v>6.2</v>
      </c>
      <c r="F56" s="146">
        <v>8</v>
      </c>
      <c r="G56" s="137">
        <f t="shared" si="0"/>
        <v>40</v>
      </c>
      <c r="H56" s="121">
        <f>VLOOKUP(B56,Homologacion!$C$1:$E$92,3,0)</f>
        <v>12896569</v>
      </c>
      <c r="I56" s="10" t="str">
        <f t="shared" si="1"/>
        <v>Impugnaciones</v>
      </c>
      <c r="J56" s="172">
        <f t="shared" si="4"/>
        <v>0.77500000000000002</v>
      </c>
      <c r="K56" s="15">
        <v>12896568</v>
      </c>
      <c r="L56" s="11">
        <v>6</v>
      </c>
      <c r="M56" s="149">
        <v>8</v>
      </c>
      <c r="N56" s="148">
        <v>48</v>
      </c>
      <c r="O56" s="11">
        <v>35</v>
      </c>
      <c r="P56" s="2">
        <f t="shared" si="5"/>
        <v>0.72916666666666663</v>
      </c>
      <c r="Q56" s="2">
        <f t="shared" si="6"/>
        <v>0.72916666666666663</v>
      </c>
      <c r="R56" s="150">
        <f t="shared" si="2"/>
        <v>0</v>
      </c>
      <c r="S56" s="10" t="str">
        <f t="shared" si="3"/>
        <v>Impugnaciones</v>
      </c>
      <c r="U56" s="10"/>
    </row>
    <row r="57" spans="1:21" x14ac:dyDescent="0.25">
      <c r="A57" s="10" t="s">
        <v>7</v>
      </c>
      <c r="B57" s="164" t="s">
        <v>247</v>
      </c>
      <c r="C57" s="145">
        <v>19</v>
      </c>
      <c r="D57" s="145">
        <v>212</v>
      </c>
      <c r="E57" s="147">
        <v>11.157894736842104</v>
      </c>
      <c r="F57" s="146">
        <v>8</v>
      </c>
      <c r="G57" s="137">
        <f t="shared" si="0"/>
        <v>152</v>
      </c>
      <c r="H57" s="121">
        <f>VLOOKUP(B57,Homologacion!$C$1:$E$92,3,0)</f>
        <v>12896570</v>
      </c>
      <c r="I57" s="10" t="str">
        <f t="shared" si="1"/>
        <v>G3</v>
      </c>
      <c r="J57" s="172">
        <f t="shared" si="4"/>
        <v>1.3947368421052631</v>
      </c>
      <c r="K57" s="15">
        <v>12896569</v>
      </c>
      <c r="L57" s="11">
        <v>5</v>
      </c>
      <c r="M57" s="149">
        <v>8</v>
      </c>
      <c r="N57" s="148">
        <v>40</v>
      </c>
      <c r="O57" s="11">
        <v>31</v>
      </c>
      <c r="P57" s="2">
        <f t="shared" si="5"/>
        <v>0.77500000000000002</v>
      </c>
      <c r="Q57" s="2">
        <f t="shared" si="6"/>
        <v>0.77500000000000002</v>
      </c>
      <c r="R57" s="150">
        <f t="shared" si="2"/>
        <v>0</v>
      </c>
      <c r="S57" s="10" t="str">
        <f t="shared" si="3"/>
        <v>Impugnaciones</v>
      </c>
      <c r="U57" s="10"/>
    </row>
    <row r="58" spans="1:21" x14ac:dyDescent="0.25">
      <c r="A58" s="10" t="s">
        <v>7</v>
      </c>
      <c r="B58" s="164" t="s">
        <v>248</v>
      </c>
      <c r="C58" s="145">
        <v>19</v>
      </c>
      <c r="D58" s="145">
        <v>155</v>
      </c>
      <c r="E58" s="147">
        <v>8.1578947368421044</v>
      </c>
      <c r="F58" s="146">
        <v>8</v>
      </c>
      <c r="G58" s="137">
        <f t="shared" si="0"/>
        <v>152</v>
      </c>
      <c r="H58" s="121">
        <f>VLOOKUP(B58,Homologacion!$C$1:$E$92,3,0)</f>
        <v>12896571</v>
      </c>
      <c r="I58" s="10" t="str">
        <f t="shared" si="1"/>
        <v>G3</v>
      </c>
      <c r="J58" s="172">
        <f t="shared" si="4"/>
        <v>1.0197368421052631</v>
      </c>
      <c r="K58" s="15">
        <v>12896570</v>
      </c>
      <c r="L58" s="11">
        <v>19</v>
      </c>
      <c r="M58" s="149">
        <v>8</v>
      </c>
      <c r="N58" s="148">
        <v>152</v>
      </c>
      <c r="O58" s="11">
        <v>212</v>
      </c>
      <c r="P58" s="2">
        <f t="shared" si="5"/>
        <v>1.3947368421052631</v>
      </c>
      <c r="Q58" s="2">
        <f t="shared" si="6"/>
        <v>1.3947368421052631</v>
      </c>
      <c r="R58" s="150">
        <f t="shared" si="2"/>
        <v>0</v>
      </c>
      <c r="S58" s="10" t="str">
        <f t="shared" si="3"/>
        <v>G3</v>
      </c>
      <c r="U58" s="10"/>
    </row>
    <row r="59" spans="1:21" x14ac:dyDescent="0.25">
      <c r="A59" s="10" t="s">
        <v>7</v>
      </c>
      <c r="B59" s="164" t="s">
        <v>249</v>
      </c>
      <c r="C59" s="145">
        <v>18.625</v>
      </c>
      <c r="D59" s="145">
        <v>153</v>
      </c>
      <c r="E59" s="147">
        <v>8.2147651006711406</v>
      </c>
      <c r="F59" s="146">
        <v>8</v>
      </c>
      <c r="G59" s="137">
        <f t="shared" si="0"/>
        <v>149</v>
      </c>
      <c r="H59" s="121">
        <f>VLOOKUP(B59,Homologacion!$C$1:$E$92,3,0)</f>
        <v>12896572</v>
      </c>
      <c r="I59" s="10" t="str">
        <f t="shared" si="1"/>
        <v>G3</v>
      </c>
      <c r="J59" s="172">
        <f t="shared" si="4"/>
        <v>1.0268456375838926</v>
      </c>
      <c r="K59" s="15">
        <v>12896571</v>
      </c>
      <c r="L59" s="11">
        <v>19</v>
      </c>
      <c r="M59" s="149">
        <v>8</v>
      </c>
      <c r="N59" s="148">
        <v>152</v>
      </c>
      <c r="O59" s="11">
        <v>155</v>
      </c>
      <c r="P59" s="2">
        <f t="shared" si="5"/>
        <v>1.0197368421052631</v>
      </c>
      <c r="Q59" s="2">
        <f t="shared" si="6"/>
        <v>1.0197368421052631</v>
      </c>
      <c r="R59" s="150">
        <f t="shared" si="2"/>
        <v>0</v>
      </c>
      <c r="S59" s="10" t="str">
        <f t="shared" si="3"/>
        <v>G3</v>
      </c>
      <c r="U59" s="10"/>
    </row>
    <row r="60" spans="1:21" x14ac:dyDescent="0.25">
      <c r="A60" s="10" t="s">
        <v>7</v>
      </c>
      <c r="B60" s="164" t="s">
        <v>250</v>
      </c>
      <c r="C60" s="145">
        <v>18.625</v>
      </c>
      <c r="D60" s="145">
        <v>148</v>
      </c>
      <c r="E60" s="147">
        <v>7.9463087248322148</v>
      </c>
      <c r="F60" s="146">
        <v>8</v>
      </c>
      <c r="G60" s="137">
        <f t="shared" si="0"/>
        <v>149</v>
      </c>
      <c r="H60" s="121">
        <f>VLOOKUP(B60,Homologacion!$C$1:$E$92,3,0)</f>
        <v>12896573</v>
      </c>
      <c r="I60" s="10" t="str">
        <f t="shared" si="1"/>
        <v>G3</v>
      </c>
      <c r="J60" s="172">
        <f t="shared" si="4"/>
        <v>0.99328859060402686</v>
      </c>
      <c r="K60" s="15">
        <v>12896572</v>
      </c>
      <c r="L60" s="11">
        <v>18.625</v>
      </c>
      <c r="M60" s="149">
        <v>8</v>
      </c>
      <c r="N60" s="148">
        <v>149</v>
      </c>
      <c r="O60" s="11">
        <v>153</v>
      </c>
      <c r="P60" s="2">
        <f t="shared" si="5"/>
        <v>1.0268456375838926</v>
      </c>
      <c r="Q60" s="2">
        <f t="shared" si="6"/>
        <v>1.0268456375838926</v>
      </c>
      <c r="R60" s="150">
        <f t="shared" si="2"/>
        <v>0</v>
      </c>
      <c r="S60" s="10" t="str">
        <f t="shared" si="3"/>
        <v>G3</v>
      </c>
      <c r="U60" s="10"/>
    </row>
    <row r="61" spans="1:21" x14ac:dyDescent="0.25">
      <c r="A61" s="10" t="s">
        <v>7</v>
      </c>
      <c r="B61" s="164" t="s">
        <v>251</v>
      </c>
      <c r="C61" s="145">
        <v>19</v>
      </c>
      <c r="D61" s="145">
        <v>141</v>
      </c>
      <c r="E61" s="147">
        <v>7.4210526315789478</v>
      </c>
      <c r="F61" s="146">
        <v>8</v>
      </c>
      <c r="G61" s="137">
        <f t="shared" si="0"/>
        <v>152</v>
      </c>
      <c r="H61" s="121">
        <f>VLOOKUP(B61,Homologacion!$C$1:$E$92,3,0)</f>
        <v>12896574</v>
      </c>
      <c r="I61" s="10" t="str">
        <f t="shared" si="1"/>
        <v>G3</v>
      </c>
      <c r="J61" s="172">
        <f t="shared" si="4"/>
        <v>0.92763157894736847</v>
      </c>
      <c r="K61" s="15">
        <v>12896573</v>
      </c>
      <c r="L61" s="11">
        <v>18.625</v>
      </c>
      <c r="M61" s="149">
        <v>8</v>
      </c>
      <c r="N61" s="148">
        <v>149</v>
      </c>
      <c r="O61" s="11">
        <v>148</v>
      </c>
      <c r="P61" s="2">
        <f t="shared" si="5"/>
        <v>0.99328859060402686</v>
      </c>
      <c r="Q61" s="2">
        <f t="shared" si="6"/>
        <v>0.99328859060402686</v>
      </c>
      <c r="R61" s="150">
        <f t="shared" si="2"/>
        <v>0</v>
      </c>
      <c r="S61" s="10" t="str">
        <f t="shared" si="3"/>
        <v>G3</v>
      </c>
      <c r="U61" s="10"/>
    </row>
    <row r="62" spans="1:21" x14ac:dyDescent="0.25">
      <c r="A62" s="10" t="s">
        <v>7</v>
      </c>
      <c r="B62" s="164" t="s">
        <v>252</v>
      </c>
      <c r="C62" s="145">
        <v>18.625</v>
      </c>
      <c r="D62" s="145">
        <v>119</v>
      </c>
      <c r="E62" s="147">
        <v>6.3892617449664426</v>
      </c>
      <c r="F62" s="146">
        <v>8</v>
      </c>
      <c r="G62" s="137">
        <f t="shared" si="0"/>
        <v>149</v>
      </c>
      <c r="H62" s="121">
        <f>VLOOKUP(B62,Homologacion!$C$1:$E$92,3,0)</f>
        <v>12896575</v>
      </c>
      <c r="I62" s="10" t="str">
        <f t="shared" si="1"/>
        <v>G3</v>
      </c>
      <c r="J62" s="172">
        <f t="shared" si="4"/>
        <v>0.79865771812080533</v>
      </c>
      <c r="K62" s="15">
        <v>12896574</v>
      </c>
      <c r="L62" s="11">
        <v>19</v>
      </c>
      <c r="M62" s="149">
        <v>8</v>
      </c>
      <c r="N62" s="148">
        <v>152</v>
      </c>
      <c r="O62" s="11">
        <v>141</v>
      </c>
      <c r="P62" s="2">
        <f t="shared" si="5"/>
        <v>0.92763157894736847</v>
      </c>
      <c r="Q62" s="2">
        <f t="shared" si="6"/>
        <v>0.92763157894736847</v>
      </c>
      <c r="R62" s="150">
        <f t="shared" si="2"/>
        <v>0</v>
      </c>
      <c r="S62" s="10" t="str">
        <f t="shared" si="3"/>
        <v>G3</v>
      </c>
      <c r="U62" s="10"/>
    </row>
    <row r="63" spans="1:21" x14ac:dyDescent="0.25">
      <c r="A63" s="10" t="s">
        <v>7</v>
      </c>
      <c r="B63" s="164" t="s">
        <v>253</v>
      </c>
      <c r="C63" s="145">
        <v>19</v>
      </c>
      <c r="D63" s="145">
        <v>109</v>
      </c>
      <c r="E63" s="147">
        <v>5.7368421052631575</v>
      </c>
      <c r="F63" s="146">
        <v>8</v>
      </c>
      <c r="G63" s="137">
        <f t="shared" si="0"/>
        <v>152</v>
      </c>
      <c r="H63" s="121">
        <f>VLOOKUP(B63,Homologacion!$C$1:$E$92,3,0)</f>
        <v>12896576</v>
      </c>
      <c r="I63" s="10" t="str">
        <f t="shared" si="1"/>
        <v>G3</v>
      </c>
      <c r="J63" s="172">
        <f t="shared" si="4"/>
        <v>0.71710526315789469</v>
      </c>
      <c r="K63" s="15">
        <v>12896575</v>
      </c>
      <c r="L63" s="11">
        <v>18.625</v>
      </c>
      <c r="M63" s="149">
        <v>8</v>
      </c>
      <c r="N63" s="148">
        <v>149</v>
      </c>
      <c r="O63" s="11">
        <v>119</v>
      </c>
      <c r="P63" s="2">
        <f t="shared" si="5"/>
        <v>0.79865771812080533</v>
      </c>
      <c r="Q63" s="2">
        <f t="shared" si="6"/>
        <v>0.79865771812080533</v>
      </c>
      <c r="R63" s="150">
        <f t="shared" si="2"/>
        <v>0</v>
      </c>
      <c r="S63" s="10" t="str">
        <f t="shared" si="3"/>
        <v>G3</v>
      </c>
      <c r="U63" s="10"/>
    </row>
    <row r="64" spans="1:21" x14ac:dyDescent="0.25">
      <c r="A64" s="10" t="s">
        <v>7</v>
      </c>
      <c r="B64" s="164" t="s">
        <v>254</v>
      </c>
      <c r="C64" s="145">
        <v>13.625</v>
      </c>
      <c r="D64" s="145">
        <v>94</v>
      </c>
      <c r="E64" s="147">
        <v>6.8990825688073398</v>
      </c>
      <c r="F64" s="146">
        <v>8</v>
      </c>
      <c r="G64" s="137">
        <f t="shared" si="0"/>
        <v>109</v>
      </c>
      <c r="H64" s="121">
        <f>VLOOKUP(B64,Homologacion!$C$1:$E$92,3,0)</f>
        <v>12896577</v>
      </c>
      <c r="I64" s="10" t="str">
        <f t="shared" si="1"/>
        <v>G3</v>
      </c>
      <c r="J64" s="172">
        <f t="shared" si="4"/>
        <v>0.86238532110091748</v>
      </c>
      <c r="K64" s="15">
        <v>12896576</v>
      </c>
      <c r="L64" s="11">
        <v>19</v>
      </c>
      <c r="M64" s="149">
        <v>8</v>
      </c>
      <c r="N64" s="148">
        <v>152</v>
      </c>
      <c r="O64" s="11">
        <v>109</v>
      </c>
      <c r="P64" s="2">
        <f t="shared" si="5"/>
        <v>0.71710526315789469</v>
      </c>
      <c r="Q64" s="2">
        <f t="shared" si="6"/>
        <v>0.71710526315789469</v>
      </c>
      <c r="R64" s="150">
        <f t="shared" si="2"/>
        <v>0</v>
      </c>
      <c r="S64" s="10" t="str">
        <f t="shared" si="3"/>
        <v>G3</v>
      </c>
      <c r="U64" s="10"/>
    </row>
    <row r="65" spans="1:21" x14ac:dyDescent="0.25">
      <c r="A65" s="10" t="s">
        <v>7</v>
      </c>
      <c r="B65" s="164" t="s">
        <v>255</v>
      </c>
      <c r="C65" s="145">
        <v>16.625</v>
      </c>
      <c r="D65" s="145">
        <v>89</v>
      </c>
      <c r="E65" s="147">
        <v>5.3533834586466167</v>
      </c>
      <c r="F65" s="146">
        <v>7.1111111111110974</v>
      </c>
      <c r="G65" s="137">
        <f t="shared" si="0"/>
        <v>118.222222222222</v>
      </c>
      <c r="H65" s="121">
        <f>VLOOKUP(B65,Homologacion!$C$1:$E$92,3,0)</f>
        <v>12896578</v>
      </c>
      <c r="I65" s="10" t="str">
        <f t="shared" si="1"/>
        <v>G3</v>
      </c>
      <c r="J65" s="172">
        <f t="shared" si="4"/>
        <v>0.75281954887218194</v>
      </c>
      <c r="K65" s="15">
        <v>12896577</v>
      </c>
      <c r="L65" s="11">
        <v>13.625</v>
      </c>
      <c r="M65" s="149">
        <v>8</v>
      </c>
      <c r="N65" s="148">
        <v>109</v>
      </c>
      <c r="O65" s="11">
        <v>94</v>
      </c>
      <c r="P65" s="2">
        <f t="shared" si="5"/>
        <v>0.86238532110091748</v>
      </c>
      <c r="Q65" s="2">
        <f t="shared" si="6"/>
        <v>0.86238532110091748</v>
      </c>
      <c r="R65" s="150">
        <f t="shared" si="2"/>
        <v>0</v>
      </c>
      <c r="S65" s="10" t="str">
        <f t="shared" si="3"/>
        <v>G3</v>
      </c>
      <c r="U65" s="10"/>
    </row>
    <row r="66" spans="1:21" x14ac:dyDescent="0.25">
      <c r="A66" s="10" t="s">
        <v>7</v>
      </c>
      <c r="B66" s="164" t="s">
        <v>256</v>
      </c>
      <c r="C66" s="145">
        <v>19</v>
      </c>
      <c r="D66" s="145">
        <v>78</v>
      </c>
      <c r="E66" s="147">
        <v>4.1052631578947372</v>
      </c>
      <c r="F66" s="146">
        <v>8</v>
      </c>
      <c r="G66" s="137">
        <f t="shared" si="0"/>
        <v>152</v>
      </c>
      <c r="H66" s="121">
        <f>VLOOKUP(B66,Homologacion!$C$1:$E$92,3,0)</f>
        <v>12896579</v>
      </c>
      <c r="I66" s="10" t="str">
        <f t="shared" si="1"/>
        <v>G3</v>
      </c>
      <c r="J66" s="172">
        <f t="shared" si="4"/>
        <v>0.51315789473684215</v>
      </c>
      <c r="K66" s="15">
        <v>12896578</v>
      </c>
      <c r="L66" s="11">
        <v>16.625</v>
      </c>
      <c r="M66" s="149">
        <v>7.1111111111110974</v>
      </c>
      <c r="N66" s="148">
        <v>118.222222222222</v>
      </c>
      <c r="O66" s="11">
        <v>89</v>
      </c>
      <c r="P66" s="2">
        <f t="shared" si="5"/>
        <v>0.75281954887218183</v>
      </c>
      <c r="Q66" s="2">
        <f t="shared" si="6"/>
        <v>0.75281954887218194</v>
      </c>
      <c r="R66" s="150">
        <f t="shared" si="2"/>
        <v>0</v>
      </c>
      <c r="S66" s="10" t="str">
        <f t="shared" si="3"/>
        <v>G3</v>
      </c>
      <c r="U66" s="10"/>
    </row>
    <row r="67" spans="1:21" x14ac:dyDescent="0.25">
      <c r="A67" s="10" t="s">
        <v>7</v>
      </c>
      <c r="B67" s="164" t="s">
        <v>257</v>
      </c>
      <c r="C67" s="145">
        <v>7</v>
      </c>
      <c r="D67" s="145">
        <v>68</v>
      </c>
      <c r="E67" s="147">
        <v>9.7142857142857135</v>
      </c>
      <c r="F67" s="146">
        <v>8</v>
      </c>
      <c r="G67" s="137">
        <f t="shared" si="0"/>
        <v>56</v>
      </c>
      <c r="H67" s="121">
        <f>VLOOKUP(B67,Homologacion!$C$1:$E$92,3,0)</f>
        <v>12896580</v>
      </c>
      <c r="I67" s="10" t="str">
        <f t="shared" si="1"/>
        <v>G3</v>
      </c>
      <c r="J67" s="172">
        <f t="shared" si="4"/>
        <v>1.2142857142857142</v>
      </c>
      <c r="K67" s="15">
        <v>12896579</v>
      </c>
      <c r="L67" s="11">
        <v>19</v>
      </c>
      <c r="M67" s="149">
        <v>8</v>
      </c>
      <c r="N67" s="148">
        <v>152</v>
      </c>
      <c r="O67" s="11">
        <v>78</v>
      </c>
      <c r="P67" s="2">
        <f t="shared" si="5"/>
        <v>0.51315789473684215</v>
      </c>
      <c r="Q67" s="2">
        <f t="shared" si="6"/>
        <v>0.51315789473684215</v>
      </c>
      <c r="R67" s="150">
        <f t="shared" si="2"/>
        <v>0</v>
      </c>
      <c r="S67" s="10" t="str">
        <f t="shared" si="3"/>
        <v>G3</v>
      </c>
      <c r="U67" s="10"/>
    </row>
    <row r="68" spans="1:21" x14ac:dyDescent="0.25">
      <c r="A68" s="10" t="s">
        <v>7</v>
      </c>
      <c r="B68" s="164" t="s">
        <v>258</v>
      </c>
      <c r="C68" s="145">
        <v>5</v>
      </c>
      <c r="D68" s="145">
        <v>34</v>
      </c>
      <c r="E68" s="147">
        <v>6.8</v>
      </c>
      <c r="F68" s="146">
        <v>8</v>
      </c>
      <c r="G68" s="137">
        <f t="shared" si="0"/>
        <v>40</v>
      </c>
      <c r="H68" s="121">
        <f>VLOOKUP(B68,Homologacion!$C$1:$E$92,3,0)</f>
        <v>12896581</v>
      </c>
      <c r="I68" s="10" t="str">
        <f t="shared" si="1"/>
        <v>G3</v>
      </c>
      <c r="J68" s="172">
        <f t="shared" si="4"/>
        <v>0.85</v>
      </c>
      <c r="K68" s="15">
        <v>12896580</v>
      </c>
      <c r="L68" s="11">
        <v>7</v>
      </c>
      <c r="M68" s="149">
        <v>8</v>
      </c>
      <c r="N68" s="148">
        <v>56</v>
      </c>
      <c r="O68" s="11">
        <v>68</v>
      </c>
      <c r="P68" s="2">
        <f t="shared" si="5"/>
        <v>1.2142857142857142</v>
      </c>
      <c r="Q68" s="2">
        <f t="shared" si="6"/>
        <v>1.2142857142857142</v>
      </c>
      <c r="R68" s="150">
        <f t="shared" si="2"/>
        <v>0</v>
      </c>
      <c r="S68" s="10" t="str">
        <f t="shared" si="3"/>
        <v>G3</v>
      </c>
      <c r="U68" s="10"/>
    </row>
    <row r="69" spans="1:21" x14ac:dyDescent="0.25">
      <c r="A69" s="10" t="s">
        <v>8</v>
      </c>
      <c r="B69" s="164" t="s">
        <v>259</v>
      </c>
      <c r="C69" s="145">
        <v>18.625</v>
      </c>
      <c r="D69" s="145">
        <v>228</v>
      </c>
      <c r="E69" s="147">
        <v>12.241610738255034</v>
      </c>
      <c r="F69" s="146">
        <v>10.666666666666666</v>
      </c>
      <c r="G69" s="137">
        <f t="shared" si="0"/>
        <v>198.66666666666666</v>
      </c>
      <c r="H69" s="121">
        <f>VLOOKUP(B69,Homologacion!$C$1:$E$92,3,0)</f>
        <v>12896582</v>
      </c>
      <c r="I69" s="10" t="str">
        <f t="shared" si="1"/>
        <v>G4</v>
      </c>
      <c r="J69" s="172">
        <f t="shared" si="4"/>
        <v>1.1476510067114094</v>
      </c>
      <c r="K69" s="15">
        <v>12896581</v>
      </c>
      <c r="L69" s="11">
        <v>5</v>
      </c>
      <c r="M69" s="149">
        <v>8</v>
      </c>
      <c r="N69" s="148">
        <v>40</v>
      </c>
      <c r="O69" s="11">
        <v>34</v>
      </c>
      <c r="P69" s="2">
        <f t="shared" si="5"/>
        <v>0.85</v>
      </c>
      <c r="Q69" s="2">
        <f t="shared" si="6"/>
        <v>0.85</v>
      </c>
      <c r="R69" s="150">
        <f t="shared" si="2"/>
        <v>0</v>
      </c>
      <c r="S69" s="10" t="str">
        <f t="shared" si="3"/>
        <v>G3</v>
      </c>
      <c r="U69" s="10"/>
    </row>
    <row r="70" spans="1:21" x14ac:dyDescent="0.25">
      <c r="A70" s="10" t="s">
        <v>88</v>
      </c>
      <c r="B70" s="164" t="s">
        <v>260</v>
      </c>
      <c r="C70" s="145">
        <v>18.625</v>
      </c>
      <c r="D70" s="145">
        <v>220</v>
      </c>
      <c r="E70" s="147">
        <v>11.812080536912752</v>
      </c>
      <c r="F70" s="146">
        <v>8</v>
      </c>
      <c r="G70" s="137">
        <f t="shared" si="0"/>
        <v>149</v>
      </c>
      <c r="H70" s="121">
        <f>VLOOKUP(B70,Homologacion!$C$1:$E$92,3,0)</f>
        <v>12896583</v>
      </c>
      <c r="I70" s="10" t="str">
        <f t="shared" si="1"/>
        <v>G8</v>
      </c>
      <c r="J70" s="172">
        <f t="shared" si="4"/>
        <v>1.476510067114094</v>
      </c>
      <c r="K70" s="15">
        <v>12896582</v>
      </c>
      <c r="L70" s="11">
        <v>18.625</v>
      </c>
      <c r="M70" s="149">
        <v>10.666666666666666</v>
      </c>
      <c r="N70" s="148">
        <v>198.66666666666666</v>
      </c>
      <c r="O70" s="11">
        <v>228</v>
      </c>
      <c r="P70" s="2">
        <f t="shared" si="5"/>
        <v>1.1476510067114094</v>
      </c>
      <c r="Q70" s="2">
        <f t="shared" si="6"/>
        <v>1.1476510067114094</v>
      </c>
      <c r="R70" s="150">
        <f t="shared" si="2"/>
        <v>0</v>
      </c>
      <c r="S70" s="10" t="str">
        <f t="shared" si="3"/>
        <v>G4</v>
      </c>
      <c r="U70" s="10"/>
    </row>
    <row r="71" spans="1:21" x14ac:dyDescent="0.25">
      <c r="A71" s="10" t="s">
        <v>88</v>
      </c>
      <c r="B71" s="164" t="s">
        <v>261</v>
      </c>
      <c r="C71" s="145">
        <v>19</v>
      </c>
      <c r="D71" s="145">
        <v>211</v>
      </c>
      <c r="E71" s="147">
        <v>11.105263157894736</v>
      </c>
      <c r="F71" s="146">
        <v>8</v>
      </c>
      <c r="G71" s="137">
        <f t="shared" si="0"/>
        <v>152</v>
      </c>
      <c r="H71" s="121">
        <f>VLOOKUP(B71,Homologacion!$C$1:$E$92,3,0)</f>
        <v>12896584</v>
      </c>
      <c r="I71" s="10" t="str">
        <f t="shared" si="1"/>
        <v>G8</v>
      </c>
      <c r="J71" s="172">
        <f t="shared" si="4"/>
        <v>1.388157894736842</v>
      </c>
      <c r="K71" s="15">
        <v>12896583</v>
      </c>
      <c r="L71" s="11">
        <v>18.625</v>
      </c>
      <c r="M71" s="149">
        <v>8</v>
      </c>
      <c r="N71" s="148">
        <v>149</v>
      </c>
      <c r="O71" s="11">
        <v>220</v>
      </c>
      <c r="P71" s="2">
        <f t="shared" si="5"/>
        <v>1.476510067114094</v>
      </c>
      <c r="Q71" s="2">
        <f t="shared" si="6"/>
        <v>1.476510067114094</v>
      </c>
      <c r="R71" s="150">
        <f t="shared" si="2"/>
        <v>0</v>
      </c>
      <c r="S71" s="10" t="str">
        <f t="shared" si="3"/>
        <v>G8</v>
      </c>
      <c r="U71" s="10"/>
    </row>
    <row r="72" spans="1:21" x14ac:dyDescent="0.25">
      <c r="A72" s="10" t="s">
        <v>88</v>
      </c>
      <c r="B72" s="164" t="s">
        <v>262</v>
      </c>
      <c r="C72" s="145">
        <v>19</v>
      </c>
      <c r="D72" s="145">
        <v>202</v>
      </c>
      <c r="E72" s="147">
        <v>10.631578947368421</v>
      </c>
      <c r="F72" s="146">
        <v>8</v>
      </c>
      <c r="G72" s="137">
        <f t="shared" si="0"/>
        <v>152</v>
      </c>
      <c r="H72" s="121">
        <f>VLOOKUP(B72,Homologacion!$C$1:$E$92,3,0)</f>
        <v>12896585</v>
      </c>
      <c r="I72" s="10" t="str">
        <f t="shared" si="1"/>
        <v>G8</v>
      </c>
      <c r="J72" s="172">
        <f t="shared" si="4"/>
        <v>1.3289473684210527</v>
      </c>
      <c r="K72" s="15">
        <v>12896584</v>
      </c>
      <c r="L72" s="11">
        <v>19</v>
      </c>
      <c r="M72" s="149">
        <v>8</v>
      </c>
      <c r="N72" s="148">
        <v>152</v>
      </c>
      <c r="O72" s="11">
        <v>211</v>
      </c>
      <c r="P72" s="2">
        <f>+O72/N72</f>
        <v>1.388157894736842</v>
      </c>
      <c r="Q72" s="2">
        <f t="shared" si="6"/>
        <v>1.388157894736842</v>
      </c>
      <c r="R72" s="150">
        <f t="shared" si="2"/>
        <v>0</v>
      </c>
      <c r="S72" s="10" t="str">
        <f t="shared" si="3"/>
        <v>G8</v>
      </c>
      <c r="U72" s="10"/>
    </row>
    <row r="73" spans="1:21" x14ac:dyDescent="0.25">
      <c r="A73" s="10" t="s">
        <v>88</v>
      </c>
      <c r="B73" s="164" t="s">
        <v>263</v>
      </c>
      <c r="C73" s="145">
        <v>17</v>
      </c>
      <c r="D73" s="145">
        <v>162</v>
      </c>
      <c r="E73" s="147">
        <v>9.5294117647058822</v>
      </c>
      <c r="F73" s="146">
        <v>8</v>
      </c>
      <c r="G73" s="137">
        <f t="shared" si="0"/>
        <v>136</v>
      </c>
      <c r="H73" s="121">
        <f>VLOOKUP(B73,Homologacion!$C$1:$E$92,3,0)</f>
        <v>12896586</v>
      </c>
      <c r="I73" s="10" t="str">
        <f t="shared" si="1"/>
        <v>G8</v>
      </c>
      <c r="J73" s="172">
        <f t="shared" si="4"/>
        <v>1.1911764705882353</v>
      </c>
      <c r="K73" s="15">
        <v>12896585</v>
      </c>
      <c r="L73" s="11">
        <v>19</v>
      </c>
      <c r="M73" s="149">
        <v>8</v>
      </c>
      <c r="N73" s="148">
        <v>152</v>
      </c>
      <c r="O73" s="11">
        <v>202</v>
      </c>
      <c r="P73" s="2">
        <f t="shared" si="5"/>
        <v>1.3289473684210527</v>
      </c>
      <c r="Q73" s="2">
        <f t="shared" si="6"/>
        <v>1.3289473684210527</v>
      </c>
      <c r="R73" s="150">
        <f t="shared" si="2"/>
        <v>0</v>
      </c>
      <c r="S73" s="10" t="str">
        <f t="shared" si="3"/>
        <v>G8</v>
      </c>
      <c r="U73" s="10"/>
    </row>
    <row r="74" spans="1:21" ht="15" customHeight="1" x14ac:dyDescent="0.25">
      <c r="A74" s="10" t="s">
        <v>88</v>
      </c>
      <c r="B74" t="s">
        <v>264</v>
      </c>
      <c r="C74" s="145">
        <v>19</v>
      </c>
      <c r="D74" s="145">
        <v>146</v>
      </c>
      <c r="E74" s="147">
        <v>7.6842105263157894</v>
      </c>
      <c r="F74" s="146">
        <v>8</v>
      </c>
      <c r="G74" s="137">
        <f t="shared" si="0"/>
        <v>152</v>
      </c>
      <c r="H74" s="121">
        <f>VLOOKUP(B74,Homologacion!$C$1:$E$92,3,0)</f>
        <v>12896587</v>
      </c>
      <c r="I74" s="10" t="str">
        <f t="shared" si="1"/>
        <v>G8</v>
      </c>
      <c r="J74" s="172">
        <f t="shared" si="4"/>
        <v>0.96052631578947367</v>
      </c>
      <c r="K74" s="15">
        <v>12896586</v>
      </c>
      <c r="L74" s="11">
        <v>17</v>
      </c>
      <c r="M74" s="149">
        <v>8</v>
      </c>
      <c r="N74" s="148">
        <v>136</v>
      </c>
      <c r="O74" s="11">
        <v>162</v>
      </c>
      <c r="P74" s="2">
        <f>+O74/N74</f>
        <v>1.1911764705882353</v>
      </c>
      <c r="Q74" s="2">
        <f t="shared" si="6"/>
        <v>1.1911764705882353</v>
      </c>
      <c r="R74" s="150">
        <f t="shared" si="2"/>
        <v>0</v>
      </c>
      <c r="S74" s="10" t="str">
        <f t="shared" si="3"/>
        <v>G8</v>
      </c>
      <c r="U74" s="10"/>
    </row>
    <row r="75" spans="1:21" x14ac:dyDescent="0.25">
      <c r="A75" s="10" t="s">
        <v>88</v>
      </c>
      <c r="B75" t="s">
        <v>265</v>
      </c>
      <c r="C75" s="145">
        <v>17.625</v>
      </c>
      <c r="D75" s="145">
        <v>143</v>
      </c>
      <c r="E75" s="147">
        <v>8.1134751773049647</v>
      </c>
      <c r="F75" s="146">
        <v>8</v>
      </c>
      <c r="G75" s="137">
        <f t="shared" si="0"/>
        <v>141</v>
      </c>
      <c r="H75" s="121">
        <f>VLOOKUP(B75,Homologacion!$C$1:$E$92,3,0)</f>
        <v>12896588</v>
      </c>
      <c r="I75" s="10" t="str">
        <f t="shared" si="1"/>
        <v>G8</v>
      </c>
      <c r="J75" s="172">
        <f t="shared" si="4"/>
        <v>1.0141843971631206</v>
      </c>
      <c r="K75" s="15">
        <v>12896587</v>
      </c>
      <c r="L75" s="11">
        <v>19</v>
      </c>
      <c r="M75" s="149">
        <v>8</v>
      </c>
      <c r="N75" s="148">
        <v>152</v>
      </c>
      <c r="O75" s="11">
        <v>146</v>
      </c>
      <c r="P75" s="2">
        <f t="shared" si="5"/>
        <v>0.96052631578947367</v>
      </c>
      <c r="Q75" s="2">
        <f t="shared" si="6"/>
        <v>0.96052631578947367</v>
      </c>
      <c r="R75" s="150">
        <f t="shared" si="2"/>
        <v>0</v>
      </c>
      <c r="S75" s="10" t="str">
        <f t="shared" si="3"/>
        <v>G8</v>
      </c>
      <c r="U75" s="10"/>
    </row>
    <row r="76" spans="1:21" x14ac:dyDescent="0.25">
      <c r="A76" s="10" t="s">
        <v>3</v>
      </c>
      <c r="B76" t="s">
        <v>266</v>
      </c>
      <c r="C76" s="145">
        <v>15</v>
      </c>
      <c r="D76" s="145">
        <v>87</v>
      </c>
      <c r="E76" s="147">
        <v>5.8</v>
      </c>
      <c r="F76" s="146">
        <v>6</v>
      </c>
      <c r="G76" s="195">
        <f t="shared" si="0"/>
        <v>90</v>
      </c>
      <c r="H76" s="121">
        <f>VLOOKUP(B76,Homologacion!$C$1:$E$92,3,0)</f>
        <v>12896589</v>
      </c>
      <c r="I76" s="10" t="str">
        <f t="shared" si="1"/>
        <v>Alo Banco</v>
      </c>
      <c r="J76" s="172">
        <f t="shared" si="4"/>
        <v>0.96666666666666667</v>
      </c>
      <c r="K76" s="15">
        <v>12896588</v>
      </c>
      <c r="L76" s="11">
        <v>17.625</v>
      </c>
      <c r="M76" s="149">
        <v>8</v>
      </c>
      <c r="N76" s="148">
        <v>141</v>
      </c>
      <c r="O76" s="11">
        <v>143</v>
      </c>
      <c r="P76" s="2">
        <f t="shared" si="5"/>
        <v>1.0141843971631206</v>
      </c>
      <c r="Q76" s="2">
        <f t="shared" si="6"/>
        <v>1.0141843971631206</v>
      </c>
      <c r="R76" s="150">
        <f t="shared" si="2"/>
        <v>0</v>
      </c>
      <c r="S76" s="10" t="str">
        <f>VLOOKUP(K76,$H$21:$I$83,2,0)</f>
        <v>G8</v>
      </c>
      <c r="U76" s="10"/>
    </row>
    <row r="77" spans="1:21" x14ac:dyDescent="0.25">
      <c r="A77" s="10" t="s">
        <v>3</v>
      </c>
      <c r="B77" t="s">
        <v>267</v>
      </c>
      <c r="C77" s="145">
        <v>5.625</v>
      </c>
      <c r="D77" s="145">
        <v>45</v>
      </c>
      <c r="E77" s="147">
        <v>8</v>
      </c>
      <c r="F77" s="146">
        <v>6</v>
      </c>
      <c r="G77" s="195">
        <f t="shared" si="0"/>
        <v>33.75</v>
      </c>
      <c r="H77" s="121">
        <f>VLOOKUP(B77,Homologacion!$C$1:$E$92,3,0)</f>
        <v>12896590</v>
      </c>
      <c r="I77" s="10" t="str">
        <f t="shared" si="1"/>
        <v>Alo Banco</v>
      </c>
      <c r="J77" s="172">
        <f t="shared" si="4"/>
        <v>1.3333333333333333</v>
      </c>
      <c r="K77" s="15">
        <v>12896589</v>
      </c>
      <c r="L77" s="11">
        <v>15</v>
      </c>
      <c r="M77" s="149">
        <v>6</v>
      </c>
      <c r="N77" s="148">
        <v>90</v>
      </c>
      <c r="O77" s="11">
        <v>87</v>
      </c>
      <c r="P77" s="2">
        <f t="shared" si="5"/>
        <v>0.96666666666666667</v>
      </c>
      <c r="Q77" s="2">
        <f t="shared" si="6"/>
        <v>0.96666666666666667</v>
      </c>
      <c r="R77" s="150">
        <f t="shared" si="2"/>
        <v>0</v>
      </c>
      <c r="S77" s="10" t="str">
        <f t="shared" si="3"/>
        <v>Alo Banco</v>
      </c>
      <c r="U77" s="10"/>
    </row>
    <row r="78" spans="1:21" x14ac:dyDescent="0.25">
      <c r="A78" s="10" t="s">
        <v>167</v>
      </c>
      <c r="B78" t="s">
        <v>268</v>
      </c>
      <c r="C78" s="145">
        <v>12</v>
      </c>
      <c r="D78" s="145">
        <v>110</v>
      </c>
      <c r="E78" s="147">
        <v>9.1666666666666661</v>
      </c>
      <c r="F78" s="146">
        <v>5</v>
      </c>
      <c r="G78" s="195">
        <f t="shared" si="0"/>
        <v>60</v>
      </c>
      <c r="H78" s="121">
        <f>VLOOKUP(B78,Homologacion!$C$1:$E$92,3,0)</f>
        <v>12896591</v>
      </c>
      <c r="I78" s="10" t="str">
        <f t="shared" si="1"/>
        <v>Masivos</v>
      </c>
      <c r="J78" s="172">
        <f t="shared" si="4"/>
        <v>1.8333333333333333</v>
      </c>
      <c r="K78" s="15">
        <v>12896590</v>
      </c>
      <c r="L78" s="11">
        <v>5.625</v>
      </c>
      <c r="M78" s="149">
        <v>6</v>
      </c>
      <c r="N78" s="148">
        <v>33.75</v>
      </c>
      <c r="O78" s="11">
        <v>45</v>
      </c>
      <c r="P78" s="2">
        <f t="shared" si="5"/>
        <v>1.3333333333333333</v>
      </c>
      <c r="Q78" s="2">
        <f t="shared" si="6"/>
        <v>1.3333333333333333</v>
      </c>
      <c r="R78" s="150">
        <f t="shared" si="2"/>
        <v>0</v>
      </c>
      <c r="S78" s="10" t="str">
        <f>VLOOKUP(K78,$H$21:$I$83,2,0)</f>
        <v>Alo Banco</v>
      </c>
      <c r="U78" s="10"/>
    </row>
    <row r="79" spans="1:21" ht="15.75" thickBot="1" x14ac:dyDescent="0.3">
      <c r="B79" s="63" t="s">
        <v>20</v>
      </c>
      <c r="C79" s="141">
        <f>SUM(C21:C78)</f>
        <v>872.875</v>
      </c>
      <c r="D79" s="141">
        <f>SUM(D21:D78)</f>
        <v>8987</v>
      </c>
      <c r="E79" s="141">
        <f>IFERROR(D79/C79,0)</f>
        <v>10.29586137763139</v>
      </c>
      <c r="F79" s="141">
        <f>SUM(F21:F78)</f>
        <v>650.44444444444446</v>
      </c>
      <c r="G79" s="141">
        <f>SUM(G21:G78)</f>
        <v>10408.152777777779</v>
      </c>
      <c r="H79" s="121"/>
      <c r="I79" s="10"/>
      <c r="J79" s="172"/>
      <c r="K79" s="15">
        <v>12896591</v>
      </c>
      <c r="L79" s="11">
        <v>12</v>
      </c>
      <c r="M79" s="149">
        <v>5</v>
      </c>
      <c r="N79" s="148">
        <v>60</v>
      </c>
      <c r="O79" s="11">
        <v>110</v>
      </c>
      <c r="P79" s="2">
        <f t="shared" si="5"/>
        <v>1.8333333333333333</v>
      </c>
      <c r="Q79" s="2">
        <f t="shared" si="6"/>
        <v>1.8333333333333333</v>
      </c>
      <c r="R79" s="150">
        <f>+P79-Q79</f>
        <v>0</v>
      </c>
      <c r="S79" s="10" t="str">
        <f>VLOOKUP(K79,$H$21:$I$83,2,0)</f>
        <v>Masivos</v>
      </c>
      <c r="U79" s="10"/>
    </row>
    <row r="80" spans="1:21" x14ac:dyDescent="0.25">
      <c r="A80" s="10" t="s">
        <v>172</v>
      </c>
      <c r="B80" t="s">
        <v>269</v>
      </c>
      <c r="C80" s="143">
        <v>13</v>
      </c>
      <c r="D80" s="143">
        <v>321</v>
      </c>
      <c r="E80" s="147"/>
      <c r="F80" s="158">
        <v>20</v>
      </c>
      <c r="G80" s="195">
        <f>F80*C80</f>
        <v>260</v>
      </c>
      <c r="H80" s="121">
        <f>VLOOKUP(B80,Homologacion!$C$1:$E$92,3,0)</f>
        <v>12896592</v>
      </c>
      <c r="I80" s="10" t="str">
        <f>IFERROR(VLOOKUP(A82,$B$3:$C$16,1,0),I79)</f>
        <v>Contáctenos</v>
      </c>
      <c r="J80" s="172">
        <v>1.2346153846153847</v>
      </c>
      <c r="K80" s="15">
        <v>12896592</v>
      </c>
      <c r="L80" s="11">
        <v>13</v>
      </c>
      <c r="M80" s="149">
        <v>20</v>
      </c>
      <c r="N80" s="148">
        <v>260</v>
      </c>
      <c r="O80" s="11">
        <v>321</v>
      </c>
      <c r="P80" s="2">
        <f t="shared" si="5"/>
        <v>1.2346153846153847</v>
      </c>
      <c r="Q80" s="2">
        <f t="shared" si="6"/>
        <v>1.2346153846153847</v>
      </c>
      <c r="R80" s="150">
        <f>+P80-Q80</f>
        <v>0</v>
      </c>
      <c r="S80" s="10" t="str">
        <f>VLOOKUP(K80,$H$21:$I$83,2,0)</f>
        <v>Contáctenos</v>
      </c>
      <c r="U80" s="10"/>
    </row>
    <row r="81" spans="1:21" x14ac:dyDescent="0.25">
      <c r="A81" s="10" t="s">
        <v>172</v>
      </c>
      <c r="B81" t="s">
        <v>270</v>
      </c>
      <c r="C81" s="143">
        <v>12</v>
      </c>
      <c r="D81" s="143">
        <v>470</v>
      </c>
      <c r="E81" s="147"/>
      <c r="F81" s="158">
        <v>20</v>
      </c>
      <c r="G81" s="195">
        <f>F81*C81</f>
        <v>240</v>
      </c>
      <c r="H81" s="121">
        <f>VLOOKUP(B81,Homologacion!$C$1:$E$92,3,0)</f>
        <v>12896593</v>
      </c>
      <c r="I81" s="10" t="str">
        <f>IFERROR(VLOOKUP(A83,$B$3:$C$16,1,0),I80)</f>
        <v>Contáctenos</v>
      </c>
      <c r="J81" s="172">
        <v>1.9583333333333333</v>
      </c>
      <c r="K81" s="15">
        <v>12896593</v>
      </c>
      <c r="L81" s="11">
        <v>12</v>
      </c>
      <c r="M81" s="149">
        <v>20</v>
      </c>
      <c r="N81" s="148">
        <v>240</v>
      </c>
      <c r="O81" s="11">
        <v>470</v>
      </c>
      <c r="P81" s="2">
        <f>+O81/N81</f>
        <v>1.9583333333333333</v>
      </c>
      <c r="Q81" s="2">
        <f>VLOOKUP(K81,$H$21:$J$83,3,0)</f>
        <v>1.9583333333333333</v>
      </c>
      <c r="R81" s="150">
        <f>+P81-Q81</f>
        <v>0</v>
      </c>
      <c r="S81" s="10" t="str">
        <f>VLOOKUP(K81,$H$21:$I$83,2,0)</f>
        <v>Contáctenos</v>
      </c>
      <c r="U81" s="10"/>
    </row>
    <row r="82" spans="1:21" s="10" customFormat="1" x14ac:dyDescent="0.25">
      <c r="A82" s="10" t="s">
        <v>172</v>
      </c>
      <c r="B82" t="s">
        <v>271</v>
      </c>
      <c r="C82" s="143">
        <v>9</v>
      </c>
      <c r="D82" s="143">
        <v>163</v>
      </c>
      <c r="E82" s="147"/>
      <c r="F82" s="158">
        <v>20</v>
      </c>
      <c r="G82" s="195">
        <f>F82*C82</f>
        <v>180</v>
      </c>
      <c r="H82" s="121">
        <f>VLOOKUP(B82,Homologacion!$C$1:$E$92,3,0)</f>
        <v>12896594</v>
      </c>
      <c r="I82" s="10" t="str">
        <f>IFERROR(VLOOKUP(A84,$B$3:$C$16,1,0),I81)</f>
        <v>Contáctenos</v>
      </c>
      <c r="J82" s="172">
        <v>0.90555555555555556</v>
      </c>
      <c r="K82" s="15">
        <v>12896594</v>
      </c>
      <c r="L82" s="11">
        <v>9</v>
      </c>
      <c r="M82" s="149">
        <v>20</v>
      </c>
      <c r="N82" s="148">
        <v>180</v>
      </c>
      <c r="O82" s="11">
        <v>163</v>
      </c>
    </row>
    <row r="83" spans="1:21" s="10" customFormat="1" x14ac:dyDescent="0.25">
      <c r="A83" s="10" t="s">
        <v>172</v>
      </c>
      <c r="B83" t="s">
        <v>272</v>
      </c>
      <c r="C83" s="145">
        <v>19</v>
      </c>
      <c r="D83" s="145">
        <v>510</v>
      </c>
      <c r="E83" s="147"/>
      <c r="F83" s="158">
        <v>20</v>
      </c>
      <c r="G83" s="195">
        <f>F83*C83</f>
        <v>380</v>
      </c>
      <c r="H83" s="121">
        <f>VLOOKUP(B83,Homologacion!$C$1:$E$92,3,0)</f>
        <v>12896595</v>
      </c>
      <c r="I83" s="10" t="str">
        <f>IFERROR(VLOOKUP(A85,$B$3:$C$16,1,0),I82)</f>
        <v>Contáctenos</v>
      </c>
      <c r="J83" s="172">
        <v>1.3421052631578947</v>
      </c>
      <c r="K83" s="15">
        <v>12896595</v>
      </c>
      <c r="L83" s="11">
        <v>19</v>
      </c>
      <c r="M83" s="149">
        <v>20</v>
      </c>
      <c r="N83" s="148">
        <v>380</v>
      </c>
      <c r="O83" s="11">
        <v>510</v>
      </c>
    </row>
    <row r="84" spans="1:21" ht="15.75" thickBot="1" x14ac:dyDescent="0.3">
      <c r="B84" s="164"/>
      <c r="C84" s="141">
        <f>SUM(C80:C83)</f>
        <v>53</v>
      </c>
      <c r="D84" s="141">
        <f>SUM(D80:D83)</f>
        <v>1464</v>
      </c>
      <c r="E84" s="141">
        <f>SUM(E80:E83)</f>
        <v>0</v>
      </c>
      <c r="F84" s="141">
        <f>SUM(F80:F83)</f>
        <v>80</v>
      </c>
      <c r="G84" s="141">
        <f>SUM(G80:G83)</f>
        <v>1060</v>
      </c>
      <c r="K84" s="15" t="s">
        <v>20</v>
      </c>
      <c r="L84" s="149">
        <v>1798.75</v>
      </c>
      <c r="M84" s="149">
        <v>1380.8888888888891</v>
      </c>
      <c r="N84" s="149">
        <v>21876.305555555562</v>
      </c>
      <c r="O84" s="149">
        <v>19438</v>
      </c>
      <c r="U84" s="10"/>
    </row>
    <row r="85" spans="1:21" x14ac:dyDescent="0.25">
      <c r="L85"/>
      <c r="U85" s="10"/>
    </row>
    <row r="86" spans="1:21" x14ac:dyDescent="0.25">
      <c r="C86" s="145">
        <f>+C84+C79</f>
        <v>925.875</v>
      </c>
      <c r="D86" s="145">
        <f>+D84+D79</f>
        <v>10451</v>
      </c>
      <c r="E86" s="145"/>
      <c r="F86" s="145">
        <f>+F84+F79</f>
        <v>730.44444444444446</v>
      </c>
      <c r="G86" s="145">
        <f>+G84+G79</f>
        <v>11468.152777777779</v>
      </c>
      <c r="L86"/>
      <c r="U86" s="10"/>
    </row>
    <row r="87" spans="1:21" x14ac:dyDescent="0.25">
      <c r="A87" s="229"/>
      <c r="B87" s="229"/>
      <c r="C87" s="229"/>
      <c r="D87" s="229"/>
      <c r="E87" s="229"/>
      <c r="F87" s="10"/>
      <c r="I87" s="10"/>
      <c r="L87"/>
      <c r="U87" s="10"/>
    </row>
    <row r="88" spans="1:21" x14ac:dyDescent="0.25">
      <c r="A88" s="229"/>
      <c r="B88" s="229"/>
      <c r="C88" s="229"/>
      <c r="D88" s="233">
        <f>SUM(D21:D75)</f>
        <v>8745</v>
      </c>
      <c r="E88" s="233">
        <f>SUM(E21:E75)</f>
        <v>541.1805740208689</v>
      </c>
      <c r="F88" s="233">
        <f>SUM(F21:F75)</f>
        <v>633.44444444444446</v>
      </c>
      <c r="G88" s="233">
        <f>SUM(G21:G75)</f>
        <v>10224.402777777779</v>
      </c>
      <c r="L88"/>
      <c r="U88" s="10"/>
    </row>
    <row r="89" spans="1:21" x14ac:dyDescent="0.25">
      <c r="A89" s="229"/>
      <c r="B89" s="229"/>
      <c r="C89" s="229"/>
      <c r="D89" s="229"/>
      <c r="E89" s="229"/>
      <c r="L89"/>
      <c r="U89" s="10"/>
    </row>
    <row r="90" spans="1:21" x14ac:dyDescent="0.25">
      <c r="A90" s="229"/>
      <c r="B90" s="229"/>
      <c r="C90" s="229"/>
      <c r="D90" s="229"/>
      <c r="E90" s="229"/>
      <c r="L90"/>
    </row>
    <row r="91" spans="1:21" x14ac:dyDescent="0.25">
      <c r="A91" s="229"/>
      <c r="B91" s="229" t="s">
        <v>179</v>
      </c>
      <c r="C91" s="229"/>
      <c r="D91" s="229"/>
      <c r="E91" s="229"/>
      <c r="L91"/>
    </row>
    <row r="92" spans="1:21" x14ac:dyDescent="0.25">
      <c r="A92" s="229"/>
      <c r="B92" s="230" t="s">
        <v>168</v>
      </c>
      <c r="C92" s="231"/>
      <c r="D92" s="229"/>
      <c r="E92" s="229"/>
      <c r="F92" s="10"/>
      <c r="L92"/>
    </row>
    <row r="93" spans="1:21" x14ac:dyDescent="0.25">
      <c r="A93" s="229"/>
      <c r="B93" s="229" t="s">
        <v>45</v>
      </c>
      <c r="C93" s="231" t="s">
        <v>182</v>
      </c>
      <c r="D93" s="232"/>
      <c r="E93" s="229"/>
      <c r="K93" s="10"/>
      <c r="M93" s="64"/>
      <c r="N93" s="10"/>
      <c r="O93" s="10"/>
    </row>
    <row r="94" spans="1:21" x14ac:dyDescent="0.25">
      <c r="A94" s="229"/>
      <c r="B94" s="229" t="s">
        <v>19</v>
      </c>
      <c r="C94" s="231" t="s">
        <v>183</v>
      </c>
      <c r="D94" s="229" t="s">
        <v>171</v>
      </c>
      <c r="E94" s="229"/>
      <c r="K94" s="10"/>
      <c r="M94" s="64"/>
      <c r="N94" s="10"/>
      <c r="O94" s="10"/>
    </row>
    <row r="95" spans="1:21" x14ac:dyDescent="0.25">
      <c r="A95" s="229"/>
      <c r="B95" s="229" t="s">
        <v>17</v>
      </c>
      <c r="C95" s="231" t="s">
        <v>185</v>
      </c>
      <c r="D95" s="229"/>
      <c r="E95" s="229"/>
      <c r="K95" s="10"/>
      <c r="M95" s="64"/>
      <c r="N95" s="10"/>
      <c r="O95" s="10"/>
    </row>
    <row r="96" spans="1:21" x14ac:dyDescent="0.25">
      <c r="A96" s="229"/>
      <c r="B96" s="229" t="s">
        <v>16</v>
      </c>
      <c r="C96" s="229" t="s">
        <v>185</v>
      </c>
      <c r="D96" s="229"/>
      <c r="E96" s="229"/>
      <c r="K96" s="10"/>
      <c r="M96" s="64"/>
      <c r="N96" s="10"/>
      <c r="O96" s="10"/>
    </row>
    <row r="97" spans="1:15" x14ac:dyDescent="0.25">
      <c r="A97" s="229"/>
      <c r="B97" s="229" t="s">
        <v>13</v>
      </c>
      <c r="C97" s="229" t="s">
        <v>182</v>
      </c>
      <c r="D97" s="229" t="s">
        <v>171</v>
      </c>
      <c r="E97" s="229"/>
      <c r="K97" s="10"/>
      <c r="M97" s="64"/>
      <c r="N97" s="10"/>
      <c r="O97" s="10"/>
    </row>
    <row r="98" spans="1:15" x14ac:dyDescent="0.25">
      <c r="A98" s="229"/>
      <c r="B98" s="229"/>
      <c r="C98" s="229"/>
      <c r="D98" s="229"/>
      <c r="E98" s="229"/>
      <c r="K98" s="10"/>
      <c r="M98" s="64"/>
      <c r="N98" s="10"/>
      <c r="O98" s="10"/>
    </row>
    <row r="99" spans="1:15" x14ac:dyDescent="0.25">
      <c r="A99" s="229"/>
      <c r="B99" s="229"/>
      <c r="C99" s="229"/>
      <c r="D99" s="229"/>
      <c r="E99" s="229"/>
      <c r="K99" s="10"/>
      <c r="M99" s="64"/>
      <c r="N99" s="10"/>
      <c r="O99" s="10"/>
    </row>
    <row r="100" spans="1:15" x14ac:dyDescent="0.25">
      <c r="A100" s="229"/>
      <c r="B100" s="229"/>
      <c r="C100" s="229"/>
      <c r="D100" s="229"/>
      <c r="E100" s="229"/>
      <c r="K100" s="10"/>
      <c r="M100" s="64"/>
      <c r="N100" s="10"/>
      <c r="O100" s="10"/>
    </row>
    <row r="101" spans="1:15" x14ac:dyDescent="0.25">
      <c r="A101" s="224"/>
      <c r="E101" s="224"/>
      <c r="F101" s="224"/>
      <c r="G101" s="224"/>
    </row>
    <row r="102" spans="1:15" x14ac:dyDescent="0.25">
      <c r="A102" s="224"/>
      <c r="E102" s="224"/>
      <c r="F102" s="224"/>
      <c r="G102" s="224"/>
    </row>
    <row r="103" spans="1:15" x14ac:dyDescent="0.25">
      <c r="A103" s="224"/>
      <c r="B103" s="224"/>
      <c r="C103" s="224"/>
      <c r="D103" s="224"/>
      <c r="E103" s="224"/>
      <c r="F103" s="224"/>
      <c r="G103" s="224"/>
    </row>
    <row r="104" spans="1:15" x14ac:dyDescent="0.25">
      <c r="A104" s="224" t="s">
        <v>12</v>
      </c>
      <c r="B104" s="224" t="s">
        <v>14</v>
      </c>
      <c r="C104" s="224">
        <v>12</v>
      </c>
      <c r="D104" s="224">
        <v>25</v>
      </c>
      <c r="E104" s="224">
        <v>2.0833333333333335</v>
      </c>
      <c r="F104" s="224">
        <v>10</v>
      </c>
      <c r="G104" s="224">
        <v>120</v>
      </c>
    </row>
    <row r="105" spans="1:15" s="10" customFormat="1" x14ac:dyDescent="0.25">
      <c r="A105" s="224" t="s">
        <v>12</v>
      </c>
      <c r="B105" s="224" t="s">
        <v>15</v>
      </c>
      <c r="C105" s="225">
        <v>17</v>
      </c>
      <c r="D105" s="225">
        <v>47</v>
      </c>
      <c r="E105" s="226">
        <v>2.7647058823529411</v>
      </c>
      <c r="F105" s="227">
        <v>10</v>
      </c>
      <c r="G105" s="228">
        <f>F105*C105</f>
        <v>170</v>
      </c>
      <c r="H105" s="11"/>
      <c r="I105"/>
    </row>
    <row r="106" spans="1:15" x14ac:dyDescent="0.25">
      <c r="A106" s="224"/>
      <c r="B106" s="224"/>
      <c r="C106" s="224"/>
      <c r="D106" s="224"/>
      <c r="E106" s="224"/>
      <c r="F106" s="224"/>
      <c r="G106" s="224"/>
    </row>
    <row r="107" spans="1:15" x14ac:dyDescent="0.25">
      <c r="A107" s="224"/>
      <c r="B107" s="224"/>
      <c r="C107" s="224"/>
      <c r="D107" s="224"/>
      <c r="E107" s="224"/>
      <c r="F107" s="224"/>
      <c r="G107" s="224"/>
    </row>
    <row r="108" spans="1:15" x14ac:dyDescent="0.25">
      <c r="A108" s="224"/>
      <c r="B108" s="224"/>
      <c r="C108" s="224"/>
      <c r="D108" s="224"/>
      <c r="E108" s="224"/>
      <c r="F108" s="224"/>
      <c r="G108" s="224"/>
    </row>
    <row r="109" spans="1:15" s="10" customFormat="1" x14ac:dyDescent="0.25">
      <c r="A109" s="224"/>
      <c r="B109" s="224"/>
      <c r="C109" s="224"/>
      <c r="D109" s="224"/>
      <c r="E109" s="224"/>
      <c r="F109" s="224"/>
      <c r="G109" s="224"/>
      <c r="H109" s="11"/>
      <c r="I109"/>
    </row>
    <row r="110" spans="1:15" s="10" customFormat="1" x14ac:dyDescent="0.25">
      <c r="A110" s="224"/>
      <c r="B110" s="224"/>
      <c r="C110" s="224"/>
      <c r="D110" s="224"/>
      <c r="E110" s="224"/>
      <c r="F110" s="224"/>
      <c r="G110" s="224"/>
      <c r="H110" s="11"/>
      <c r="I110"/>
    </row>
    <row r="111" spans="1:15" x14ac:dyDescent="0.25">
      <c r="A111" s="224"/>
      <c r="B111" s="224"/>
      <c r="C111" s="224"/>
      <c r="D111" s="224"/>
      <c r="E111" s="224"/>
      <c r="F111" s="224"/>
      <c r="G111" s="224"/>
    </row>
    <row r="118" spans="2:9" s="10" customFormat="1" x14ac:dyDescent="0.25">
      <c r="B118"/>
      <c r="C118"/>
      <c r="D118"/>
      <c r="E118"/>
      <c r="F118"/>
      <c r="H118" s="11"/>
      <c r="I118"/>
    </row>
    <row r="122" spans="2:9" s="10" customFormat="1" x14ac:dyDescent="0.25">
      <c r="B122"/>
      <c r="C122"/>
      <c r="D122"/>
      <c r="E122"/>
      <c r="F122"/>
      <c r="H122" s="11"/>
      <c r="I122"/>
    </row>
  </sheetData>
  <autoFilter ref="A20:I84"/>
  <mergeCells count="1">
    <mergeCell ref="P20:R20"/>
  </mergeCells>
  <conditionalFormatting sqref="B79">
    <cfRule type="duplicateValues" dxfId="32" priority="37"/>
  </conditionalFormatting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showGridLines="0" zoomScale="80" zoomScaleNormal="80" workbookViewId="0">
      <pane ySplit="3" topLeftCell="A4" activePane="bottomLeft" state="frozen"/>
      <selection pane="bottomLeft" activeCell="G16" sqref="G16"/>
    </sheetView>
  </sheetViews>
  <sheetFormatPr baseColWidth="10" defaultRowHeight="15" x14ac:dyDescent="0.25"/>
  <cols>
    <col min="1" max="1" width="36.7109375" customWidth="1"/>
    <col min="2" max="2" width="21" customWidth="1"/>
    <col min="3" max="3" width="19.5703125" customWidth="1"/>
    <col min="4" max="4" width="17.42578125" customWidth="1"/>
    <col min="6" max="6" width="13.140625" style="143" customWidth="1"/>
    <col min="7" max="7" width="18.42578125" customWidth="1"/>
    <col min="8" max="8" width="26.5703125" customWidth="1"/>
    <col min="9" max="9" width="24.140625" bestFit="1" customWidth="1"/>
  </cols>
  <sheetData>
    <row r="1" spans="1:11" ht="21" x14ac:dyDescent="0.35">
      <c r="A1" s="68" t="s">
        <v>98</v>
      </c>
    </row>
    <row r="2" spans="1:11" x14ac:dyDescent="0.25">
      <c r="F2" s="187"/>
    </row>
    <row r="3" spans="1:11" x14ac:dyDescent="0.25">
      <c r="A3" s="67" t="s">
        <v>90</v>
      </c>
      <c r="B3" s="65" t="s">
        <v>74</v>
      </c>
      <c r="C3" s="65" t="s">
        <v>73</v>
      </c>
      <c r="D3" s="65" t="s">
        <v>20</v>
      </c>
      <c r="E3" s="122" t="s">
        <v>126</v>
      </c>
      <c r="G3" s="1" t="s">
        <v>90</v>
      </c>
      <c r="H3" s="10" t="s">
        <v>99</v>
      </c>
      <c r="I3" s="10" t="s">
        <v>100</v>
      </c>
    </row>
    <row r="4" spans="1:11" x14ac:dyDescent="0.25">
      <c r="A4" s="120" t="s">
        <v>211</v>
      </c>
      <c r="B4" s="174">
        <v>57</v>
      </c>
      <c r="C4" s="174">
        <v>63</v>
      </c>
      <c r="D4" s="174">
        <v>120</v>
      </c>
      <c r="E4" s="175">
        <f>VLOOKUP(A4,Homologacion!$C$1:$E$92,3,0)</f>
        <v>12896534</v>
      </c>
      <c r="F4" s="188">
        <v>0.47499999999999998</v>
      </c>
      <c r="G4" s="15">
        <v>12896534</v>
      </c>
      <c r="H4" s="11">
        <v>57</v>
      </c>
      <c r="I4" s="11">
        <v>120</v>
      </c>
    </row>
    <row r="5" spans="1:11" x14ac:dyDescent="0.25">
      <c r="A5" s="120" t="s">
        <v>212</v>
      </c>
      <c r="B5" s="174">
        <v>6</v>
      </c>
      <c r="C5" s="174">
        <v>0</v>
      </c>
      <c r="D5" s="174">
        <v>6</v>
      </c>
      <c r="E5" s="175">
        <f>VLOOKUP(A5,Homologacion!$C$1:$E$92,3,0)</f>
        <v>12896535</v>
      </c>
      <c r="F5" s="188">
        <v>1</v>
      </c>
      <c r="G5" s="15">
        <v>12896535</v>
      </c>
      <c r="H5" s="11">
        <v>6</v>
      </c>
      <c r="I5" s="11">
        <v>6</v>
      </c>
      <c r="K5" s="10"/>
    </row>
    <row r="6" spans="1:11" x14ac:dyDescent="0.25">
      <c r="A6" s="120" t="s">
        <v>213</v>
      </c>
      <c r="B6" s="174">
        <v>77</v>
      </c>
      <c r="C6" s="174">
        <v>21</v>
      </c>
      <c r="D6" s="174">
        <v>98</v>
      </c>
      <c r="E6" s="175">
        <f>VLOOKUP(A6,Homologacion!$C$1:$E$92,3,0)</f>
        <v>12896536</v>
      </c>
      <c r="F6" s="188">
        <v>0.7857142857142857</v>
      </c>
      <c r="G6" s="15">
        <v>12896536</v>
      </c>
      <c r="H6" s="11">
        <v>77</v>
      </c>
      <c r="I6" s="11">
        <v>98</v>
      </c>
      <c r="K6" s="10"/>
    </row>
    <row r="7" spans="1:11" x14ac:dyDescent="0.25">
      <c r="A7" s="219" t="s">
        <v>214</v>
      </c>
      <c r="B7" s="174"/>
      <c r="C7" s="174"/>
      <c r="D7" s="174"/>
      <c r="E7" s="175">
        <f>VLOOKUP(A7,Homologacion!$C$1:$E$92,3,0)</f>
        <v>12896537</v>
      </c>
      <c r="F7" s="188">
        <v>1</v>
      </c>
      <c r="G7" s="15">
        <v>12896537</v>
      </c>
      <c r="H7" s="11"/>
      <c r="I7" s="11"/>
      <c r="K7" s="10"/>
    </row>
    <row r="8" spans="1:11" x14ac:dyDescent="0.25">
      <c r="A8" s="120" t="s">
        <v>215</v>
      </c>
      <c r="B8" s="174">
        <v>96</v>
      </c>
      <c r="C8" s="174">
        <v>6</v>
      </c>
      <c r="D8" s="174">
        <v>102</v>
      </c>
      <c r="E8" s="175">
        <f>VLOOKUP(A8,Homologacion!$C$1:$E$92,3,0)</f>
        <v>12896538</v>
      </c>
      <c r="F8" s="188">
        <v>0.94117647058823528</v>
      </c>
      <c r="G8" s="15">
        <v>12896538</v>
      </c>
      <c r="H8" s="11">
        <v>96</v>
      </c>
      <c r="I8" s="11">
        <v>102</v>
      </c>
      <c r="K8" s="10"/>
    </row>
    <row r="9" spans="1:11" x14ac:dyDescent="0.25">
      <c r="A9" s="120" t="s">
        <v>216</v>
      </c>
      <c r="B9" s="174">
        <v>22</v>
      </c>
      <c r="C9" s="174">
        <v>2</v>
      </c>
      <c r="D9" s="174">
        <v>24</v>
      </c>
      <c r="E9" s="175">
        <f>VLOOKUP(A9,Homologacion!$C$1:$E$92,3,0)</f>
        <v>12896539</v>
      </c>
      <c r="F9" s="188">
        <v>0.91666666666666663</v>
      </c>
      <c r="G9" s="15">
        <v>12896539</v>
      </c>
      <c r="H9" s="11">
        <v>22</v>
      </c>
      <c r="I9" s="11">
        <v>24</v>
      </c>
      <c r="K9" s="10"/>
    </row>
    <row r="10" spans="1:11" x14ac:dyDescent="0.25">
      <c r="A10" s="191" t="s">
        <v>217</v>
      </c>
      <c r="B10" s="192"/>
      <c r="C10" s="192"/>
      <c r="D10" s="192"/>
      <c r="E10" s="175">
        <f>VLOOKUP(A10,Homologacion!$C$1:$E$92,3,0)</f>
        <v>12896540</v>
      </c>
      <c r="F10" s="189" t="s">
        <v>180</v>
      </c>
      <c r="G10" s="15">
        <v>12896540</v>
      </c>
      <c r="H10" s="11"/>
      <c r="I10" s="11"/>
      <c r="K10" s="10"/>
    </row>
    <row r="11" spans="1:11" x14ac:dyDescent="0.25">
      <c r="A11" s="219" t="s">
        <v>218</v>
      </c>
      <c r="B11" s="174"/>
      <c r="C11" s="174"/>
      <c r="D11" s="174"/>
      <c r="E11" s="175">
        <f>VLOOKUP(A11,Homologacion!$C$1:$E$92,3,0)</f>
        <v>12896541</v>
      </c>
      <c r="F11" s="188">
        <v>1</v>
      </c>
      <c r="G11" s="15">
        <v>12896541</v>
      </c>
      <c r="H11" s="11"/>
      <c r="I11" s="11"/>
      <c r="K11" s="10"/>
    </row>
    <row r="12" spans="1:11" x14ac:dyDescent="0.25">
      <c r="A12" s="191" t="s">
        <v>219</v>
      </c>
      <c r="B12" s="192"/>
      <c r="C12" s="192"/>
      <c r="D12" s="192"/>
      <c r="E12" s="190">
        <f>VLOOKUP(A12,Homologacion!$C$1:$E$92,3,0)</f>
        <v>12896542</v>
      </c>
      <c r="F12" s="188" t="s">
        <v>180</v>
      </c>
      <c r="G12" s="15">
        <v>12896542</v>
      </c>
      <c r="H12" s="11"/>
      <c r="I12" s="11"/>
      <c r="K12" s="10"/>
    </row>
    <row r="13" spans="1:11" x14ac:dyDescent="0.25">
      <c r="A13" s="191" t="s">
        <v>220</v>
      </c>
      <c r="B13" s="192"/>
      <c r="C13" s="192"/>
      <c r="D13" s="192"/>
      <c r="E13" s="190">
        <f>VLOOKUP(A13,Homologacion!$C$1:$E$92,3,0)</f>
        <v>12896543</v>
      </c>
      <c r="F13" s="188" t="s">
        <v>180</v>
      </c>
      <c r="G13" s="15">
        <v>12896543</v>
      </c>
      <c r="H13" s="11"/>
      <c r="I13" s="11"/>
      <c r="K13" s="10"/>
    </row>
    <row r="14" spans="1:11" x14ac:dyDescent="0.25">
      <c r="A14" s="191" t="s">
        <v>221</v>
      </c>
      <c r="B14" s="192"/>
      <c r="C14" s="192"/>
      <c r="D14" s="192"/>
      <c r="E14" s="190">
        <f>VLOOKUP(A14,Homologacion!$C$1:$E$92,3,0)</f>
        <v>12896544</v>
      </c>
      <c r="F14" s="188" t="s">
        <v>180</v>
      </c>
      <c r="G14" s="15">
        <v>12896544</v>
      </c>
      <c r="H14" s="11"/>
      <c r="I14" s="11"/>
      <c r="K14" s="10"/>
    </row>
    <row r="15" spans="1:11" x14ac:dyDescent="0.25">
      <c r="A15" s="120" t="s">
        <v>222</v>
      </c>
      <c r="B15" s="174">
        <v>190</v>
      </c>
      <c r="C15" s="174">
        <v>26</v>
      </c>
      <c r="D15" s="174">
        <v>216</v>
      </c>
      <c r="E15" s="175">
        <f>VLOOKUP(A15,Homologacion!$C$1:$E$92,3,0)</f>
        <v>12896545</v>
      </c>
      <c r="F15" s="188">
        <v>0.87962962962962998</v>
      </c>
      <c r="G15" s="15">
        <v>12896545</v>
      </c>
      <c r="H15" s="11">
        <v>190</v>
      </c>
      <c r="I15" s="11">
        <v>216</v>
      </c>
      <c r="K15" s="10"/>
    </row>
    <row r="16" spans="1:11" x14ac:dyDescent="0.25">
      <c r="A16" s="191" t="s">
        <v>223</v>
      </c>
      <c r="B16" s="192"/>
      <c r="C16" s="192"/>
      <c r="D16" s="192"/>
      <c r="E16" s="175">
        <f>VLOOKUP(A16,Homologacion!$C$1:$E$92,3,0)</f>
        <v>12896546</v>
      </c>
      <c r="F16" s="188" t="s">
        <v>180</v>
      </c>
      <c r="G16" s="15">
        <v>12896546</v>
      </c>
      <c r="H16" s="11"/>
      <c r="I16" s="11"/>
      <c r="K16" s="10"/>
    </row>
    <row r="17" spans="1:11" x14ac:dyDescent="0.25">
      <c r="A17" s="120" t="s">
        <v>224</v>
      </c>
      <c r="B17" s="174">
        <v>134</v>
      </c>
      <c r="C17" s="174">
        <v>7</v>
      </c>
      <c r="D17" s="174">
        <v>141</v>
      </c>
      <c r="E17" s="175">
        <f>VLOOKUP(A17,Homologacion!$C$1:$E$92,3,0)</f>
        <v>12896547</v>
      </c>
      <c r="F17" s="188">
        <v>0.95035460992907805</v>
      </c>
      <c r="G17" s="15">
        <v>12896547</v>
      </c>
      <c r="H17" s="11">
        <v>134</v>
      </c>
      <c r="I17" s="11">
        <v>141</v>
      </c>
      <c r="K17" s="10"/>
    </row>
    <row r="18" spans="1:11" x14ac:dyDescent="0.25">
      <c r="A18" s="120" t="s">
        <v>225</v>
      </c>
      <c r="B18" s="174">
        <v>29</v>
      </c>
      <c r="C18" s="174">
        <v>7</v>
      </c>
      <c r="D18" s="174">
        <v>36</v>
      </c>
      <c r="E18" s="175">
        <f>VLOOKUP(A18,Homologacion!$C$1:$E$92,3,0)</f>
        <v>12896548</v>
      </c>
      <c r="F18" s="188">
        <v>0.734375</v>
      </c>
      <c r="G18" s="15">
        <v>12896548</v>
      </c>
      <c r="H18" s="11">
        <v>29</v>
      </c>
      <c r="I18" s="11">
        <v>36</v>
      </c>
      <c r="K18" s="10"/>
    </row>
    <row r="19" spans="1:11" x14ac:dyDescent="0.25">
      <c r="A19" s="120" t="s">
        <v>226</v>
      </c>
      <c r="B19" s="174">
        <v>111</v>
      </c>
      <c r="C19" s="174">
        <v>3</v>
      </c>
      <c r="D19" s="174">
        <v>114</v>
      </c>
      <c r="E19" s="175">
        <f>VLOOKUP(A19,Homologacion!$C$1:$E$92,3,0)</f>
        <v>12896549</v>
      </c>
      <c r="F19" s="188">
        <v>0.97368421052631582</v>
      </c>
      <c r="G19" s="15">
        <v>12896549</v>
      </c>
      <c r="H19" s="11">
        <v>111</v>
      </c>
      <c r="I19" s="11">
        <v>114</v>
      </c>
      <c r="K19" s="10"/>
    </row>
    <row r="20" spans="1:11" x14ac:dyDescent="0.25">
      <c r="A20" s="120" t="s">
        <v>227</v>
      </c>
      <c r="B20" s="174">
        <v>92</v>
      </c>
      <c r="C20" s="174">
        <v>36</v>
      </c>
      <c r="D20" s="174">
        <v>128</v>
      </c>
      <c r="E20" s="175">
        <f>VLOOKUP(A20,Homologacion!$C$1:$E$92,3,0)</f>
        <v>12896550</v>
      </c>
      <c r="F20" s="188">
        <v>0.71875</v>
      </c>
      <c r="G20" s="15">
        <v>12896550</v>
      </c>
      <c r="H20" s="11">
        <v>92</v>
      </c>
      <c r="I20" s="11">
        <v>128</v>
      </c>
      <c r="K20" s="10"/>
    </row>
    <row r="21" spans="1:11" x14ac:dyDescent="0.25">
      <c r="A21" s="120" t="s">
        <v>228</v>
      </c>
      <c r="B21" s="174">
        <v>68</v>
      </c>
      <c r="C21" s="174">
        <v>1</v>
      </c>
      <c r="D21" s="174">
        <v>69</v>
      </c>
      <c r="E21" s="175">
        <f>VLOOKUP(A21,Homologacion!$C$1:$E$92,3,0)</f>
        <v>12896551</v>
      </c>
      <c r="F21" s="188">
        <v>0.95789473684210524</v>
      </c>
      <c r="G21" s="15">
        <v>12896551</v>
      </c>
      <c r="H21" s="11">
        <v>68</v>
      </c>
      <c r="I21" s="11">
        <v>69</v>
      </c>
      <c r="K21" s="10"/>
    </row>
    <row r="22" spans="1:11" x14ac:dyDescent="0.25">
      <c r="A22" s="120" t="s">
        <v>229</v>
      </c>
      <c r="B22" s="174">
        <v>105</v>
      </c>
      <c r="C22" s="174">
        <v>30</v>
      </c>
      <c r="D22" s="174">
        <v>135</v>
      </c>
      <c r="E22" s="175">
        <f>VLOOKUP(A22,Homologacion!$C$1:$E$92,3,0)</f>
        <v>12896552</v>
      </c>
      <c r="F22" s="188">
        <v>0.77777777777777779</v>
      </c>
      <c r="G22" s="15">
        <v>12896552</v>
      </c>
      <c r="H22" s="11">
        <v>105</v>
      </c>
      <c r="I22" s="11">
        <v>135</v>
      </c>
      <c r="K22" s="10"/>
    </row>
    <row r="23" spans="1:11" x14ac:dyDescent="0.25">
      <c r="A23" s="120" t="s">
        <v>230</v>
      </c>
      <c r="B23" s="174">
        <v>113</v>
      </c>
      <c r="C23" s="174">
        <v>25</v>
      </c>
      <c r="D23" s="174">
        <v>138</v>
      </c>
      <c r="E23" s="175">
        <f>VLOOKUP(A23,Homologacion!$C$1:$E$92,3,0)</f>
        <v>12896553</v>
      </c>
      <c r="F23" s="188">
        <v>0.8188405797101449</v>
      </c>
      <c r="G23" s="15">
        <v>12896553</v>
      </c>
      <c r="H23" s="11">
        <v>113</v>
      </c>
      <c r="I23" s="11">
        <v>138</v>
      </c>
      <c r="K23" s="10"/>
    </row>
    <row r="24" spans="1:11" x14ac:dyDescent="0.25">
      <c r="A24" s="191" t="s">
        <v>231</v>
      </c>
      <c r="B24" s="192"/>
      <c r="C24" s="192"/>
      <c r="D24" s="192"/>
      <c r="E24" s="175">
        <f>VLOOKUP(A24,Homologacion!$C$1:$E$92,3,0)</f>
        <v>12896554</v>
      </c>
      <c r="F24" s="188" t="s">
        <v>180</v>
      </c>
      <c r="G24" s="15">
        <v>12896554</v>
      </c>
      <c r="H24" s="11"/>
      <c r="I24" s="11"/>
      <c r="K24" s="10"/>
    </row>
    <row r="25" spans="1:11" x14ac:dyDescent="0.25">
      <c r="A25" s="191" t="s">
        <v>232</v>
      </c>
      <c r="B25" s="192"/>
      <c r="C25" s="192"/>
      <c r="D25" s="192"/>
      <c r="E25" s="175">
        <f>VLOOKUP(A25,Homologacion!$C$1:$E$92,3,0)</f>
        <v>12896555</v>
      </c>
      <c r="F25" s="188" t="s">
        <v>180</v>
      </c>
      <c r="G25" s="15">
        <v>12896555</v>
      </c>
      <c r="H25" s="11"/>
      <c r="I25" s="11"/>
      <c r="K25" s="10"/>
    </row>
    <row r="26" spans="1:11" x14ac:dyDescent="0.25">
      <c r="A26" s="191" t="s">
        <v>233</v>
      </c>
      <c r="B26" s="192"/>
      <c r="C26" s="192"/>
      <c r="D26" s="192"/>
      <c r="E26" s="175">
        <f>VLOOKUP(A26,Homologacion!$C$1:$E$92,3,0)</f>
        <v>12896556</v>
      </c>
      <c r="F26" s="188" t="s">
        <v>180</v>
      </c>
      <c r="G26" s="15">
        <v>12896556</v>
      </c>
      <c r="H26" s="11"/>
      <c r="I26" s="11"/>
      <c r="K26" s="10"/>
    </row>
    <row r="27" spans="1:11" x14ac:dyDescent="0.25">
      <c r="A27" s="191" t="s">
        <v>234</v>
      </c>
      <c r="B27" s="192"/>
      <c r="C27" s="192"/>
      <c r="D27" s="192"/>
      <c r="E27" s="175">
        <f>VLOOKUP(A27,Homologacion!$C$1:$E$92,3,0)</f>
        <v>12896557</v>
      </c>
      <c r="F27" s="188" t="s">
        <v>180</v>
      </c>
      <c r="G27" s="15">
        <v>12896557</v>
      </c>
      <c r="H27" s="11"/>
      <c r="I27" s="11"/>
      <c r="K27" s="10"/>
    </row>
    <row r="28" spans="1:11" x14ac:dyDescent="0.25">
      <c r="A28" s="191" t="s">
        <v>235</v>
      </c>
      <c r="B28" s="192"/>
      <c r="C28" s="192"/>
      <c r="D28" s="192"/>
      <c r="E28" s="175">
        <f>VLOOKUP(A28,Homologacion!$C$1:$E$92,3,0)</f>
        <v>12896558</v>
      </c>
      <c r="F28" s="188" t="s">
        <v>180</v>
      </c>
      <c r="G28" s="15">
        <v>12896558</v>
      </c>
      <c r="H28" s="11"/>
      <c r="I28" s="11"/>
      <c r="K28" s="10"/>
    </row>
    <row r="29" spans="1:11" x14ac:dyDescent="0.25">
      <c r="A29" s="191" t="s">
        <v>236</v>
      </c>
      <c r="B29" s="192"/>
      <c r="C29" s="192"/>
      <c r="D29" s="192"/>
      <c r="E29" s="175">
        <f>VLOOKUP(A29,Homologacion!$C$1:$E$92,3,0)</f>
        <v>12896559</v>
      </c>
      <c r="F29" s="188" t="s">
        <v>180</v>
      </c>
      <c r="G29" s="15">
        <v>12896559</v>
      </c>
      <c r="H29" s="11"/>
      <c r="I29" s="11"/>
      <c r="K29" s="10"/>
    </row>
    <row r="30" spans="1:11" x14ac:dyDescent="0.25">
      <c r="A30" s="191" t="s">
        <v>237</v>
      </c>
      <c r="B30" s="192"/>
      <c r="C30" s="192"/>
      <c r="D30" s="192"/>
      <c r="E30" s="175">
        <f>VLOOKUP(A30,Homologacion!$C$1:$E$92,3,0)</f>
        <v>12896560</v>
      </c>
      <c r="F30" s="188" t="s">
        <v>180</v>
      </c>
      <c r="G30" s="15">
        <v>12896560</v>
      </c>
      <c r="H30" s="11"/>
      <c r="I30" s="11"/>
      <c r="K30" s="10"/>
    </row>
    <row r="31" spans="1:11" x14ac:dyDescent="0.25">
      <c r="A31" s="191" t="s">
        <v>238</v>
      </c>
      <c r="B31" s="192"/>
      <c r="C31" s="192"/>
      <c r="D31" s="192"/>
      <c r="E31" s="175">
        <f>VLOOKUP(A31,Homologacion!$C$1:$E$92,3,0)</f>
        <v>12896561</v>
      </c>
      <c r="F31" s="188" t="s">
        <v>180</v>
      </c>
      <c r="G31" s="15">
        <v>12896561</v>
      </c>
      <c r="H31" s="11"/>
      <c r="I31" s="11"/>
      <c r="K31" s="10"/>
    </row>
    <row r="32" spans="1:11" x14ac:dyDescent="0.25">
      <c r="A32" s="191" t="s">
        <v>239</v>
      </c>
      <c r="B32" s="192"/>
      <c r="C32" s="192"/>
      <c r="D32" s="192"/>
      <c r="E32" s="175">
        <f>VLOOKUP(A32,Homologacion!$C$1:$E$92,3,0)</f>
        <v>12896562</v>
      </c>
      <c r="F32" s="188" t="s">
        <v>180</v>
      </c>
      <c r="G32" s="15">
        <v>12896562</v>
      </c>
      <c r="H32" s="11"/>
      <c r="I32" s="11"/>
      <c r="K32" s="10"/>
    </row>
    <row r="33" spans="1:11" x14ac:dyDescent="0.25">
      <c r="A33" s="191" t="s">
        <v>240</v>
      </c>
      <c r="B33" s="192"/>
      <c r="C33" s="192"/>
      <c r="D33" s="192"/>
      <c r="E33" s="175">
        <f>VLOOKUP(A33,Homologacion!$C$1:$E$92,3,0)</f>
        <v>12896563</v>
      </c>
      <c r="F33" s="188" t="s">
        <v>180</v>
      </c>
      <c r="G33" s="15">
        <v>12896563</v>
      </c>
      <c r="H33" s="11"/>
      <c r="I33" s="11"/>
      <c r="K33" s="10"/>
    </row>
    <row r="34" spans="1:11" x14ac:dyDescent="0.25">
      <c r="A34" s="191" t="s">
        <v>241</v>
      </c>
      <c r="B34" s="192"/>
      <c r="C34" s="192"/>
      <c r="D34" s="192"/>
      <c r="E34" s="175">
        <f>VLOOKUP(A34,Homologacion!$C$1:$E$92,3,0)</f>
        <v>12896564</v>
      </c>
      <c r="F34" s="188" t="s">
        <v>180</v>
      </c>
      <c r="G34" s="15">
        <v>12896564</v>
      </c>
      <c r="H34" s="11"/>
      <c r="I34" s="11"/>
      <c r="K34" s="10"/>
    </row>
    <row r="35" spans="1:11" x14ac:dyDescent="0.25">
      <c r="A35" s="191" t="s">
        <v>242</v>
      </c>
      <c r="B35" s="192"/>
      <c r="C35" s="192"/>
      <c r="D35" s="192"/>
      <c r="E35" s="175">
        <f>VLOOKUP(A35,Homologacion!$C$1:$E$92,3,0)</f>
        <v>12896565</v>
      </c>
      <c r="F35" s="188" t="s">
        <v>180</v>
      </c>
      <c r="G35" s="15">
        <v>12896565</v>
      </c>
      <c r="H35" s="11"/>
      <c r="I35" s="11"/>
      <c r="K35" s="10"/>
    </row>
    <row r="36" spans="1:11" x14ac:dyDescent="0.25">
      <c r="A36" s="120" t="s">
        <v>243</v>
      </c>
      <c r="B36" s="174">
        <v>199</v>
      </c>
      <c r="C36" s="174">
        <v>28</v>
      </c>
      <c r="D36" s="174">
        <v>227</v>
      </c>
      <c r="E36" s="175">
        <f>VLOOKUP(A36,Homologacion!$C$1:$E$92,3,0)</f>
        <v>12896566</v>
      </c>
      <c r="F36" s="188">
        <v>0.87665198237885467</v>
      </c>
      <c r="G36" s="15">
        <v>12896566</v>
      </c>
      <c r="H36" s="11">
        <v>199</v>
      </c>
      <c r="I36" s="11">
        <v>227</v>
      </c>
      <c r="K36" s="10"/>
    </row>
    <row r="37" spans="1:11" x14ac:dyDescent="0.25">
      <c r="A37" s="191" t="s">
        <v>244</v>
      </c>
      <c r="B37" s="192"/>
      <c r="C37" s="192"/>
      <c r="D37" s="192"/>
      <c r="E37" s="175">
        <f>VLOOKUP(A37,Homologacion!$C$1:$E$92,3,0)</f>
        <v>12896567</v>
      </c>
      <c r="F37" s="188" t="s">
        <v>180</v>
      </c>
      <c r="G37" s="15">
        <v>12896567</v>
      </c>
      <c r="H37" s="11"/>
      <c r="I37" s="11"/>
      <c r="K37" s="10"/>
    </row>
    <row r="38" spans="1:11" x14ac:dyDescent="0.25">
      <c r="A38" s="191" t="s">
        <v>245</v>
      </c>
      <c r="B38" s="192"/>
      <c r="C38" s="192"/>
      <c r="D38" s="192"/>
      <c r="E38" s="175">
        <f>VLOOKUP(A38,Homologacion!$C$1:$E$92,3,0)</f>
        <v>12896568</v>
      </c>
      <c r="F38" s="188" t="s">
        <v>180</v>
      </c>
      <c r="G38" s="15">
        <v>12896568</v>
      </c>
      <c r="H38" s="11"/>
      <c r="I38" s="11"/>
      <c r="K38" s="10"/>
    </row>
    <row r="39" spans="1:11" x14ac:dyDescent="0.25">
      <c r="A39" s="191" t="s">
        <v>246</v>
      </c>
      <c r="B39" s="192"/>
      <c r="C39" s="192"/>
      <c r="D39" s="192"/>
      <c r="E39" s="175">
        <f>VLOOKUP(A39,Homologacion!$C$1:$E$92,3,0)</f>
        <v>12896569</v>
      </c>
      <c r="F39" s="188" t="s">
        <v>180</v>
      </c>
      <c r="G39" s="15">
        <v>12896569</v>
      </c>
      <c r="H39" s="11"/>
      <c r="I39" s="11"/>
      <c r="K39" s="10"/>
    </row>
    <row r="40" spans="1:11" x14ac:dyDescent="0.25">
      <c r="A40" s="191" t="s">
        <v>247</v>
      </c>
      <c r="B40" s="192"/>
      <c r="C40" s="192"/>
      <c r="D40" s="192"/>
      <c r="E40" s="175">
        <f>VLOOKUP(A40,Homologacion!$C$1:$E$92,3,0)</f>
        <v>12896570</v>
      </c>
      <c r="F40" s="188" t="s">
        <v>180</v>
      </c>
      <c r="G40" s="15">
        <v>12896570</v>
      </c>
      <c r="H40" s="11"/>
      <c r="I40" s="11"/>
      <c r="K40" s="10"/>
    </row>
    <row r="41" spans="1:11" x14ac:dyDescent="0.25">
      <c r="A41" s="191" t="s">
        <v>248</v>
      </c>
      <c r="B41" s="192"/>
      <c r="C41" s="192"/>
      <c r="D41" s="192"/>
      <c r="E41" s="175">
        <f>VLOOKUP(A41,Homologacion!$C$1:$E$92,3,0)</f>
        <v>12896571</v>
      </c>
      <c r="F41" s="188" t="s">
        <v>180</v>
      </c>
      <c r="G41" s="15">
        <v>12896571</v>
      </c>
      <c r="H41" s="11"/>
      <c r="I41" s="11"/>
      <c r="K41" s="10"/>
    </row>
    <row r="42" spans="1:11" x14ac:dyDescent="0.25">
      <c r="A42" s="191" t="s">
        <v>249</v>
      </c>
      <c r="B42" s="192"/>
      <c r="C42" s="192"/>
      <c r="D42" s="192"/>
      <c r="E42" s="175">
        <f>VLOOKUP(A42,Homologacion!$C$1:$E$92,3,0)</f>
        <v>12896572</v>
      </c>
      <c r="F42" s="188" t="s">
        <v>180</v>
      </c>
      <c r="G42" s="15">
        <v>12896572</v>
      </c>
      <c r="H42" s="11"/>
      <c r="I42" s="11"/>
      <c r="K42" s="10"/>
    </row>
    <row r="43" spans="1:11" x14ac:dyDescent="0.25">
      <c r="A43" s="120" t="s">
        <v>250</v>
      </c>
      <c r="B43" s="174">
        <v>29</v>
      </c>
      <c r="C43" s="174">
        <v>347</v>
      </c>
      <c r="D43" s="174">
        <v>376</v>
      </c>
      <c r="E43" s="175">
        <f>VLOOKUP(A43,Homologacion!$C$1:$E$92,3,0)</f>
        <v>12896573</v>
      </c>
      <c r="F43" s="188">
        <v>7.7127659574468085E-2</v>
      </c>
      <c r="G43" s="15">
        <v>12896573</v>
      </c>
      <c r="H43" s="11">
        <v>29</v>
      </c>
      <c r="I43" s="11">
        <v>376</v>
      </c>
      <c r="K43" s="10"/>
    </row>
    <row r="44" spans="1:11" x14ac:dyDescent="0.25">
      <c r="A44" s="120" t="s">
        <v>251</v>
      </c>
      <c r="B44" s="174">
        <v>332</v>
      </c>
      <c r="C44" s="174">
        <v>174</v>
      </c>
      <c r="D44" s="174">
        <v>506</v>
      </c>
      <c r="E44" s="175">
        <f>VLOOKUP(A44,Homologacion!$C$1:$E$92,3,0)</f>
        <v>12896574</v>
      </c>
      <c r="F44" s="188">
        <v>0.65612648221343872</v>
      </c>
      <c r="G44" s="15">
        <v>12896574</v>
      </c>
      <c r="H44" s="11">
        <v>332</v>
      </c>
      <c r="I44" s="11">
        <v>506</v>
      </c>
      <c r="K44" s="10"/>
    </row>
    <row r="45" spans="1:11" x14ac:dyDescent="0.25">
      <c r="A45" s="120" t="s">
        <v>252</v>
      </c>
      <c r="B45" s="174">
        <v>126</v>
      </c>
      <c r="C45" s="174">
        <v>63</v>
      </c>
      <c r="D45" s="174">
        <v>189</v>
      </c>
      <c r="E45" s="175">
        <f>VLOOKUP(A45,Homologacion!$C$1:$E$92,3,0)</f>
        <v>12896575</v>
      </c>
      <c r="F45" s="188">
        <v>0.66666666666666663</v>
      </c>
      <c r="G45" s="15">
        <v>12896575</v>
      </c>
      <c r="H45" s="11">
        <v>126</v>
      </c>
      <c r="I45" s="11">
        <v>189</v>
      </c>
      <c r="K45" s="10"/>
    </row>
    <row r="46" spans="1:11" x14ac:dyDescent="0.25">
      <c r="A46" s="120" t="s">
        <v>253</v>
      </c>
      <c r="B46" s="174">
        <v>136</v>
      </c>
      <c r="C46" s="174">
        <v>86</v>
      </c>
      <c r="D46" s="174">
        <v>222</v>
      </c>
      <c r="E46" s="175">
        <f>VLOOKUP(A46,Homologacion!$C$1:$E$92,3,0)</f>
        <v>12896576</v>
      </c>
      <c r="F46" s="188">
        <v>0.61261261261261257</v>
      </c>
      <c r="G46" s="15">
        <v>12896576</v>
      </c>
      <c r="H46" s="11">
        <v>136</v>
      </c>
      <c r="I46" s="11">
        <v>222</v>
      </c>
      <c r="K46" s="10"/>
    </row>
    <row r="47" spans="1:11" x14ac:dyDescent="0.25">
      <c r="A47" s="120" t="s">
        <v>254</v>
      </c>
      <c r="B47" s="174">
        <v>60</v>
      </c>
      <c r="C47" s="174">
        <v>245</v>
      </c>
      <c r="D47" s="174">
        <v>305</v>
      </c>
      <c r="E47" s="175">
        <f>VLOOKUP(A47,Homologacion!$C$1:$E$92,3,0)</f>
        <v>12896577</v>
      </c>
      <c r="F47" s="188">
        <v>0.19672131147540983</v>
      </c>
      <c r="G47" s="15">
        <v>12896577</v>
      </c>
      <c r="H47" s="11">
        <v>60</v>
      </c>
      <c r="I47" s="11">
        <v>305</v>
      </c>
      <c r="K47" s="10"/>
    </row>
    <row r="48" spans="1:11" x14ac:dyDescent="0.25">
      <c r="A48" s="120" t="s">
        <v>255</v>
      </c>
      <c r="B48" s="174">
        <v>279</v>
      </c>
      <c r="C48" s="174">
        <v>159</v>
      </c>
      <c r="D48" s="174">
        <v>438</v>
      </c>
      <c r="E48" s="175">
        <f>VLOOKUP(A48,Homologacion!$C$1:$E$92,3,0)</f>
        <v>12896578</v>
      </c>
      <c r="F48" s="188">
        <v>0.63698630136986301</v>
      </c>
      <c r="G48" s="15">
        <v>12896578</v>
      </c>
      <c r="H48" s="11">
        <v>279</v>
      </c>
      <c r="I48" s="11">
        <v>438</v>
      </c>
      <c r="K48" s="10"/>
    </row>
    <row r="49" spans="1:11" x14ac:dyDescent="0.25">
      <c r="A49" s="120" t="s">
        <v>256</v>
      </c>
      <c r="B49" s="174">
        <v>494</v>
      </c>
      <c r="C49" s="174">
        <v>32</v>
      </c>
      <c r="D49" s="174">
        <v>526</v>
      </c>
      <c r="E49" s="175">
        <f>VLOOKUP(A49,Homologacion!$C$1:$E$92,3,0)</f>
        <v>12896579</v>
      </c>
      <c r="F49" s="188">
        <v>0.93916349809885935</v>
      </c>
      <c r="G49" s="15">
        <v>12896579</v>
      </c>
      <c r="H49" s="11">
        <v>494</v>
      </c>
      <c r="I49" s="11">
        <v>526</v>
      </c>
      <c r="K49" s="10"/>
    </row>
    <row r="50" spans="1:11" x14ac:dyDescent="0.25">
      <c r="A50" s="120" t="s">
        <v>257</v>
      </c>
      <c r="B50" s="174">
        <v>289</v>
      </c>
      <c r="C50" s="174">
        <v>64</v>
      </c>
      <c r="D50" s="174">
        <v>353</v>
      </c>
      <c r="E50" s="175">
        <f>VLOOKUP(A50,Homologacion!$C$1:$E$92,3,0)</f>
        <v>12896580</v>
      </c>
      <c r="F50" s="188">
        <v>0.81869688385269124</v>
      </c>
      <c r="G50" s="15">
        <v>12896580</v>
      </c>
      <c r="H50" s="11">
        <v>289</v>
      </c>
      <c r="I50" s="11">
        <v>353</v>
      </c>
      <c r="K50" s="10"/>
    </row>
    <row r="51" spans="1:11" x14ac:dyDescent="0.25">
      <c r="A51" s="191" t="s">
        <v>258</v>
      </c>
      <c r="B51" s="192"/>
      <c r="C51" s="192"/>
      <c r="D51" s="192"/>
      <c r="E51" s="175">
        <f>VLOOKUP(A51,Homologacion!$C$1:$E$92,3,0)</f>
        <v>12896581</v>
      </c>
      <c r="F51" s="188" t="s">
        <v>180</v>
      </c>
      <c r="G51" s="15">
        <v>12896581</v>
      </c>
      <c r="H51" s="11"/>
      <c r="I51" s="11"/>
      <c r="K51" s="10"/>
    </row>
    <row r="52" spans="1:11" x14ac:dyDescent="0.25">
      <c r="A52" s="191" t="s">
        <v>259</v>
      </c>
      <c r="B52" s="192"/>
      <c r="C52" s="192"/>
      <c r="D52" s="192"/>
      <c r="E52" s="175">
        <f>VLOOKUP(A52,Homologacion!$C$1:$E$92,3,0)</f>
        <v>12896582</v>
      </c>
      <c r="F52" s="188" t="s">
        <v>180</v>
      </c>
      <c r="G52" s="15">
        <v>12896582</v>
      </c>
      <c r="H52" s="11"/>
      <c r="I52" s="11"/>
      <c r="K52" s="10"/>
    </row>
    <row r="53" spans="1:11" x14ac:dyDescent="0.25">
      <c r="A53" s="191" t="s">
        <v>260</v>
      </c>
      <c r="B53" s="192"/>
      <c r="C53" s="192"/>
      <c r="D53" s="192"/>
      <c r="E53" s="175">
        <f>VLOOKUP(A53,Homologacion!$C$1:$E$92,3,0)</f>
        <v>12896583</v>
      </c>
      <c r="F53" s="188" t="s">
        <v>180</v>
      </c>
      <c r="G53" s="15">
        <v>12896583</v>
      </c>
      <c r="H53" s="11"/>
      <c r="I53" s="11"/>
      <c r="K53" s="10"/>
    </row>
    <row r="54" spans="1:11" x14ac:dyDescent="0.25">
      <c r="A54" s="191" t="s">
        <v>261</v>
      </c>
      <c r="B54" s="192"/>
      <c r="C54" s="192"/>
      <c r="D54" s="192"/>
      <c r="E54" s="175">
        <f>VLOOKUP(A54,Homologacion!$C$1:$E$92,3,0)</f>
        <v>12896584</v>
      </c>
      <c r="F54" s="188" t="s">
        <v>180</v>
      </c>
      <c r="G54" s="15">
        <v>12896584</v>
      </c>
      <c r="H54" s="11"/>
      <c r="I54" s="11"/>
      <c r="K54" s="10"/>
    </row>
    <row r="55" spans="1:11" x14ac:dyDescent="0.25">
      <c r="A55" s="120" t="s">
        <v>262</v>
      </c>
      <c r="B55" s="174">
        <v>18</v>
      </c>
      <c r="C55" s="174">
        <v>10</v>
      </c>
      <c r="D55" s="174">
        <v>28</v>
      </c>
      <c r="E55" s="175">
        <f>VLOOKUP(A55,Homologacion!$C$1:$E$92,3,0)</f>
        <v>12896585</v>
      </c>
      <c r="F55" s="188">
        <v>0.734375</v>
      </c>
      <c r="G55" s="15">
        <v>12896585</v>
      </c>
      <c r="H55" s="11">
        <v>18</v>
      </c>
      <c r="I55" s="11">
        <v>28</v>
      </c>
      <c r="K55" s="10"/>
    </row>
    <row r="56" spans="1:11" x14ac:dyDescent="0.25">
      <c r="A56" s="120" t="s">
        <v>263</v>
      </c>
      <c r="B56" s="174">
        <v>124</v>
      </c>
      <c r="C56" s="174">
        <v>0</v>
      </c>
      <c r="D56" s="174">
        <v>124</v>
      </c>
      <c r="E56" s="175">
        <f>VLOOKUP(A56,Homologacion!$C$1:$E$92,3,0)</f>
        <v>12896586</v>
      </c>
      <c r="F56" s="188">
        <v>1</v>
      </c>
      <c r="G56" s="15">
        <v>12896586</v>
      </c>
      <c r="H56" s="11">
        <v>124</v>
      </c>
      <c r="I56" s="11">
        <v>124</v>
      </c>
      <c r="K56" s="10"/>
    </row>
    <row r="57" spans="1:11" x14ac:dyDescent="0.25">
      <c r="A57" s="120" t="s">
        <v>264</v>
      </c>
      <c r="B57" s="174">
        <v>84</v>
      </c>
      <c r="C57" s="174">
        <v>0</v>
      </c>
      <c r="D57" s="174">
        <v>84</v>
      </c>
      <c r="E57" s="175">
        <f>VLOOKUP(A57,Homologacion!$C$1:$E$92,3,0)</f>
        <v>12896587</v>
      </c>
      <c r="F57" s="188">
        <v>1</v>
      </c>
      <c r="G57" s="15">
        <v>12896587</v>
      </c>
      <c r="H57" s="11">
        <v>84</v>
      </c>
      <c r="I57" s="11">
        <v>84</v>
      </c>
      <c r="K57" s="10"/>
    </row>
    <row r="58" spans="1:11" x14ac:dyDescent="0.25">
      <c r="A58" s="164" t="s">
        <v>265</v>
      </c>
      <c r="B58" s="174">
        <v>23</v>
      </c>
      <c r="C58" s="174">
        <v>3</v>
      </c>
      <c r="D58" s="174">
        <v>26</v>
      </c>
      <c r="E58" s="175">
        <f>VLOOKUP(A58,Homologacion!$C$1:$E$92,3,0)</f>
        <v>12896588</v>
      </c>
      <c r="F58" s="188">
        <v>0.95789473684210524</v>
      </c>
      <c r="G58" s="15">
        <v>12896588</v>
      </c>
      <c r="H58" s="11">
        <v>23</v>
      </c>
      <c r="I58" s="11">
        <v>26</v>
      </c>
      <c r="K58" s="10"/>
    </row>
    <row r="59" spans="1:11" x14ac:dyDescent="0.25">
      <c r="A59" s="164" t="s">
        <v>266</v>
      </c>
      <c r="B59" s="174">
        <v>63</v>
      </c>
      <c r="C59" s="174">
        <v>22</v>
      </c>
      <c r="D59" s="174">
        <v>85</v>
      </c>
      <c r="E59" s="175">
        <f>VLOOKUP(A59,Homologacion!$C$1:$E$92,3,0)</f>
        <v>12896589</v>
      </c>
      <c r="F59" s="188">
        <v>0.74117647058823533</v>
      </c>
      <c r="G59" s="15">
        <v>12896589</v>
      </c>
      <c r="H59" s="11">
        <v>63</v>
      </c>
      <c r="I59" s="11">
        <v>85</v>
      </c>
      <c r="K59" s="10"/>
    </row>
    <row r="60" spans="1:11" x14ac:dyDescent="0.25">
      <c r="A60" s="164" t="s">
        <v>267</v>
      </c>
      <c r="B60" s="174">
        <v>31</v>
      </c>
      <c r="C60" s="174">
        <v>8</v>
      </c>
      <c r="D60" s="174">
        <v>39</v>
      </c>
      <c r="E60" s="175">
        <f>VLOOKUP(A60,Homologacion!$C$1:$E$92,3,0)</f>
        <v>12896590</v>
      </c>
      <c r="F60" s="188">
        <v>0.79487179487179482</v>
      </c>
      <c r="G60" s="15">
        <v>12896590</v>
      </c>
      <c r="H60" s="11">
        <v>31</v>
      </c>
      <c r="I60" s="11">
        <v>39</v>
      </c>
      <c r="K60" s="10"/>
    </row>
    <row r="61" spans="1:11" x14ac:dyDescent="0.25">
      <c r="A61" s="164" t="s">
        <v>268</v>
      </c>
      <c r="B61" s="174">
        <v>73</v>
      </c>
      <c r="C61" s="174">
        <v>20</v>
      </c>
      <c r="D61" s="174">
        <v>93</v>
      </c>
      <c r="E61" s="175">
        <f>VLOOKUP(A61,Homologacion!$C$1:$E$92,3,0)</f>
        <v>12896591</v>
      </c>
      <c r="F61" s="188">
        <v>0.78494623655913975</v>
      </c>
      <c r="G61" s="15">
        <v>12896591</v>
      </c>
      <c r="H61" s="11">
        <v>73</v>
      </c>
      <c r="I61" s="11">
        <v>93</v>
      </c>
      <c r="K61" s="10"/>
    </row>
    <row r="62" spans="1:11" x14ac:dyDescent="0.25">
      <c r="A62" s="120" t="s">
        <v>269</v>
      </c>
      <c r="B62" s="174">
        <v>252</v>
      </c>
      <c r="C62" s="174">
        <v>28</v>
      </c>
      <c r="D62" s="174">
        <v>280</v>
      </c>
      <c r="E62" s="175">
        <f>VLOOKUP(A62,Homologacion!$C$1:$E$92,3,0)</f>
        <v>12896592</v>
      </c>
      <c r="F62" s="188">
        <v>0.9</v>
      </c>
      <c r="G62" s="15">
        <v>12896592</v>
      </c>
      <c r="H62" s="11">
        <v>252</v>
      </c>
      <c r="I62" s="11">
        <v>280</v>
      </c>
    </row>
    <row r="63" spans="1:11" x14ac:dyDescent="0.25">
      <c r="A63" s="120" t="s">
        <v>270</v>
      </c>
      <c r="B63" s="174">
        <v>419</v>
      </c>
      <c r="C63" s="174"/>
      <c r="D63" s="174">
        <v>419</v>
      </c>
      <c r="E63" s="175">
        <f>VLOOKUP(A63,Homologacion!$C$1:$E$92,3,0)</f>
        <v>12896593</v>
      </c>
      <c r="F63" s="188">
        <v>1</v>
      </c>
      <c r="G63" s="15">
        <v>12896593</v>
      </c>
      <c r="H63" s="11">
        <v>419</v>
      </c>
      <c r="I63" s="11">
        <v>419</v>
      </c>
    </row>
    <row r="64" spans="1:11" x14ac:dyDescent="0.25">
      <c r="A64" s="120" t="s">
        <v>271</v>
      </c>
      <c r="B64" s="174">
        <v>162</v>
      </c>
      <c r="C64" s="174">
        <v>1</v>
      </c>
      <c r="D64" s="174">
        <v>163</v>
      </c>
      <c r="E64" s="175">
        <f>VLOOKUP(A64,Homologacion!$C$1:$E$92,3,0)</f>
        <v>12896594</v>
      </c>
      <c r="F64" s="188">
        <v>0.99386503067484666</v>
      </c>
      <c r="G64" s="15">
        <v>12896594</v>
      </c>
      <c r="H64" s="11">
        <v>162</v>
      </c>
      <c r="I64" s="11">
        <v>163</v>
      </c>
    </row>
    <row r="65" spans="1:10" x14ac:dyDescent="0.25">
      <c r="A65" t="s">
        <v>272</v>
      </c>
      <c r="B65" s="174">
        <v>471</v>
      </c>
      <c r="C65" s="174">
        <v>26</v>
      </c>
      <c r="D65" s="174">
        <v>497</v>
      </c>
      <c r="E65" s="175">
        <f>VLOOKUP(A65,Homologacion!$C$1:$E$92,3,0)</f>
        <v>12896595</v>
      </c>
      <c r="F65" s="188">
        <v>0.9476861167002012</v>
      </c>
      <c r="G65" s="15">
        <v>12896595</v>
      </c>
      <c r="H65" s="11">
        <v>471</v>
      </c>
      <c r="I65" s="11">
        <v>497</v>
      </c>
    </row>
    <row r="66" spans="1:10" x14ac:dyDescent="0.25">
      <c r="G66" s="15" t="s">
        <v>20</v>
      </c>
      <c r="H66" s="11">
        <v>4764</v>
      </c>
      <c r="I66" s="11">
        <v>6307</v>
      </c>
    </row>
    <row r="70" spans="1:10" ht="18.75" x14ac:dyDescent="0.3">
      <c r="A70" s="184" t="s">
        <v>191</v>
      </c>
      <c r="B70" s="183">
        <f>SUM(B4:B66)</f>
        <v>4764</v>
      </c>
      <c r="C70" s="183">
        <f>SUM(C4:C66)</f>
        <v>1543</v>
      </c>
      <c r="D70" s="183">
        <f>SUM(D4:D66)</f>
        <v>6307</v>
      </c>
      <c r="E70" s="10"/>
    </row>
    <row r="71" spans="1:10" x14ac:dyDescent="0.25">
      <c r="B71" s="64">
        <f>SUM(B4:B58)</f>
        <v>3293</v>
      </c>
      <c r="C71" s="64">
        <f>SUM(C4:C58)</f>
        <v>1438</v>
      </c>
      <c r="D71" s="64">
        <f>SUM(D4:D58)</f>
        <v>4731</v>
      </c>
      <c r="E71" s="10"/>
    </row>
    <row r="72" spans="1:10" x14ac:dyDescent="0.25">
      <c r="E72" s="10"/>
    </row>
    <row r="73" spans="1:10" x14ac:dyDescent="0.25">
      <c r="E73" s="10"/>
    </row>
    <row r="74" spans="1:10" x14ac:dyDescent="0.25">
      <c r="C74" s="10"/>
      <c r="E74" s="10"/>
    </row>
    <row r="75" spans="1:10" x14ac:dyDescent="0.25">
      <c r="E75" s="10"/>
      <c r="G75" s="10"/>
      <c r="H75" s="10"/>
      <c r="I75" s="10"/>
      <c r="J75" s="10"/>
    </row>
    <row r="76" spans="1:10" x14ac:dyDescent="0.25">
      <c r="A76" s="10"/>
      <c r="B76" s="10"/>
      <c r="G76" s="10"/>
      <c r="H76" s="10"/>
      <c r="I76" s="10"/>
      <c r="J76" s="10"/>
    </row>
    <row r="77" spans="1:10" x14ac:dyDescent="0.25">
      <c r="A77" s="120" t="s">
        <v>14</v>
      </c>
      <c r="B77" s="174">
        <v>25</v>
      </c>
      <c r="C77" s="174">
        <v>0</v>
      </c>
      <c r="D77" s="174">
        <v>25</v>
      </c>
      <c r="G77" s="10"/>
      <c r="H77" s="10"/>
      <c r="I77" s="10"/>
      <c r="J77" s="10"/>
    </row>
    <row r="78" spans="1:10" x14ac:dyDescent="0.25">
      <c r="A78" s="219" t="s">
        <v>15</v>
      </c>
      <c r="B78" s="174">
        <v>45</v>
      </c>
      <c r="C78" s="174">
        <v>0</v>
      </c>
      <c r="D78" s="174">
        <v>45</v>
      </c>
      <c r="G78" s="10"/>
      <c r="H78" s="10"/>
      <c r="I78" s="10"/>
      <c r="J78" s="10"/>
    </row>
    <row r="79" spans="1:10" x14ac:dyDescent="0.25">
      <c r="A79" s="10"/>
      <c r="B79" s="10"/>
      <c r="G79" s="10"/>
      <c r="H79" s="10"/>
      <c r="I79" s="10"/>
      <c r="J79" s="10"/>
    </row>
    <row r="80" spans="1:10" x14ac:dyDescent="0.25">
      <c r="A80" s="10"/>
      <c r="B80" s="10"/>
      <c r="G80" s="10"/>
      <c r="H80" s="10"/>
      <c r="I80" s="10"/>
      <c r="J80" s="10"/>
    </row>
    <row r="81" spans="1:10" x14ac:dyDescent="0.25">
      <c r="A81" s="10"/>
      <c r="B81" s="10"/>
      <c r="G81" s="10"/>
      <c r="H81" s="10"/>
      <c r="I81" s="10"/>
      <c r="J81" s="10"/>
    </row>
    <row r="82" spans="1:10" x14ac:dyDescent="0.25">
      <c r="A82" s="10"/>
      <c r="B82" s="10"/>
      <c r="G82" s="10"/>
      <c r="H82" s="10"/>
      <c r="I82" s="10"/>
      <c r="J82" s="10"/>
    </row>
    <row r="83" spans="1:10" x14ac:dyDescent="0.25">
      <c r="A83" s="10"/>
      <c r="B83" s="10"/>
      <c r="G83" s="10"/>
      <c r="H83" s="10"/>
      <c r="I83" s="10"/>
      <c r="J83" s="10"/>
    </row>
    <row r="84" spans="1:10" x14ac:dyDescent="0.25">
      <c r="A84" s="10"/>
      <c r="B84" s="10"/>
      <c r="G84" s="10"/>
      <c r="H84" s="10"/>
      <c r="I84" s="10"/>
      <c r="J84" s="10"/>
    </row>
    <row r="85" spans="1:10" x14ac:dyDescent="0.25">
      <c r="G85" s="10"/>
      <c r="H85" s="10"/>
      <c r="I85" s="10"/>
      <c r="J85" s="10"/>
    </row>
    <row r="86" spans="1:10" x14ac:dyDescent="0.25">
      <c r="G86" s="10"/>
      <c r="H86" s="10"/>
      <c r="I86" s="10"/>
      <c r="J86" s="10"/>
    </row>
    <row r="87" spans="1:10" x14ac:dyDescent="0.25">
      <c r="G87" s="10"/>
      <c r="H87" s="10"/>
      <c r="I87" s="10"/>
      <c r="J87" s="10"/>
    </row>
    <row r="88" spans="1:10" x14ac:dyDescent="0.25">
      <c r="G88" s="10"/>
      <c r="H88" s="10"/>
      <c r="I88" s="10"/>
      <c r="J88" s="10"/>
    </row>
    <row r="89" spans="1:10" x14ac:dyDescent="0.25">
      <c r="G89" s="10"/>
      <c r="H89" s="10"/>
      <c r="I89" s="10"/>
      <c r="J89" s="10"/>
    </row>
    <row r="90" spans="1:10" x14ac:dyDescent="0.25">
      <c r="G90" s="157"/>
      <c r="H90" s="144"/>
      <c r="I90" s="144"/>
      <c r="J90" s="144"/>
    </row>
    <row r="91" spans="1:10" x14ac:dyDescent="0.25">
      <c r="G91" s="157"/>
      <c r="H91" s="144"/>
      <c r="I91" s="144"/>
      <c r="J91" s="144"/>
    </row>
    <row r="92" spans="1:10" x14ac:dyDescent="0.25">
      <c r="G92" s="157"/>
      <c r="H92" s="144"/>
      <c r="I92" s="144"/>
      <c r="J92" s="144"/>
    </row>
    <row r="93" spans="1:10" x14ac:dyDescent="0.25">
      <c r="G93" s="157"/>
      <c r="H93" s="144"/>
      <c r="I93" s="144"/>
      <c r="J93" s="144"/>
    </row>
    <row r="94" spans="1:10" x14ac:dyDescent="0.25">
      <c r="G94" s="157"/>
      <c r="H94" s="144"/>
      <c r="I94" s="144"/>
      <c r="J94" s="144"/>
    </row>
    <row r="95" spans="1:10" x14ac:dyDescent="0.25">
      <c r="G95" s="157"/>
      <c r="H95" s="144"/>
      <c r="I95" s="144"/>
      <c r="J95" s="144"/>
    </row>
    <row r="96" spans="1:10" x14ac:dyDescent="0.25">
      <c r="G96" s="157"/>
      <c r="H96" s="144"/>
      <c r="I96" s="144"/>
      <c r="J96" s="144"/>
    </row>
    <row r="97" spans="7:10" x14ac:dyDescent="0.25">
      <c r="G97" s="157"/>
      <c r="H97" s="144"/>
      <c r="I97" s="144"/>
      <c r="J97" s="144"/>
    </row>
    <row r="98" spans="7:10" x14ac:dyDescent="0.25">
      <c r="G98" s="157"/>
      <c r="H98" s="144"/>
      <c r="I98" s="144"/>
      <c r="J98" s="144"/>
    </row>
    <row r="99" spans="7:10" x14ac:dyDescent="0.25">
      <c r="G99" s="157"/>
      <c r="H99" s="144"/>
      <c r="I99" s="144"/>
      <c r="J99" s="144"/>
    </row>
    <row r="100" spans="7:10" x14ac:dyDescent="0.25">
      <c r="H100" s="144"/>
      <c r="I100" s="144"/>
      <c r="J100" s="144"/>
    </row>
    <row r="101" spans="7:10" x14ac:dyDescent="0.25">
      <c r="H101" s="144"/>
      <c r="I101" s="144"/>
      <c r="J101" s="144"/>
    </row>
    <row r="102" spans="7:10" x14ac:dyDescent="0.25">
      <c r="H102" s="144"/>
      <c r="I102" s="144"/>
      <c r="J102" s="144"/>
    </row>
    <row r="103" spans="7:10" x14ac:dyDescent="0.25">
      <c r="H103" s="144"/>
      <c r="I103" s="144"/>
      <c r="J103" s="144"/>
    </row>
    <row r="104" spans="7:10" x14ac:dyDescent="0.25">
      <c r="H104" s="144"/>
      <c r="I104" s="144"/>
      <c r="J104" s="144"/>
    </row>
    <row r="105" spans="7:10" x14ac:dyDescent="0.25">
      <c r="H105" s="144"/>
      <c r="I105" s="144"/>
      <c r="J105" s="144"/>
    </row>
    <row r="106" spans="7:10" x14ac:dyDescent="0.25">
      <c r="H106" s="159">
        <f>SUM(H78:H104)</f>
        <v>0</v>
      </c>
      <c r="I106" s="159">
        <f>SUM(I78:I104)</f>
        <v>0</v>
      </c>
      <c r="J106" s="159">
        <f>SUM(J78:J104)</f>
        <v>0</v>
      </c>
    </row>
    <row r="107" spans="7:10" ht="23.25" x14ac:dyDescent="0.35">
      <c r="G107" s="160" t="s">
        <v>179</v>
      </c>
      <c r="H107" s="160">
        <f>+H106+B70</f>
        <v>4764</v>
      </c>
      <c r="I107" s="160">
        <f>+I106+C70</f>
        <v>1543</v>
      </c>
      <c r="J107" s="160">
        <f>+J106+D70</f>
        <v>6307</v>
      </c>
    </row>
  </sheetData>
  <autoFilter ref="A3:I65"/>
  <conditionalFormatting sqref="F4:F9 F11:F61">
    <cfRule type="iconSet" priority="3">
      <iconSet>
        <cfvo type="percent" val="0"/>
        <cfvo type="num" val="0.9"/>
        <cfvo type="num" val="0.95"/>
      </iconSet>
    </cfRule>
  </conditionalFormatting>
  <conditionalFormatting sqref="F10">
    <cfRule type="iconSet" priority="2">
      <iconSet>
        <cfvo type="percent" val="0"/>
        <cfvo type="num" val="0.9"/>
        <cfvo type="num" val="0.95"/>
      </iconSet>
    </cfRule>
  </conditionalFormatting>
  <conditionalFormatting sqref="F62:F65">
    <cfRule type="iconSet" priority="1">
      <iconSet>
        <cfvo type="percent" val="0"/>
        <cfvo type="num" val="0.9"/>
        <cfvo type="num" val="0.95"/>
      </iconSet>
    </cfRule>
  </conditionalFormatting>
  <pageMargins left="0.7" right="0.7" top="0.75" bottom="0.75" header="0.3" footer="0.3"/>
  <pageSetup orientation="portrait" horizontalDpi="4294967294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ESPECIALISTA</vt:lpstr>
      <vt:lpstr>SUPERVISOR - JEFE</vt:lpstr>
      <vt:lpstr>Hoja1</vt:lpstr>
      <vt:lpstr>Hoja2</vt:lpstr>
      <vt:lpstr>EQUIPO</vt:lpstr>
      <vt:lpstr>TABLA</vt:lpstr>
      <vt:lpstr>Hoja3</vt:lpstr>
      <vt:lpstr>PRODUCTIVIDAD UAC</vt:lpstr>
      <vt:lpstr>SLA UAC</vt:lpstr>
      <vt:lpstr>CALIDAD</vt:lpstr>
      <vt:lpstr>Homologacion</vt:lpstr>
      <vt:lpstr>Empleados</vt:lpstr>
      <vt:lpstr>Inputs</vt:lpstr>
      <vt:lpstr>Promedio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lmunozr</dc:creator>
  <cp:lastModifiedBy>pedro zapata espinoza</cp:lastModifiedBy>
  <dcterms:created xsi:type="dcterms:W3CDTF">2016-06-13T15:29:59Z</dcterms:created>
  <dcterms:modified xsi:type="dcterms:W3CDTF">2018-01-18T13:38:12Z</dcterms:modified>
</cp:coreProperties>
</file>