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  <sheet state="visible" name="Stats" sheetId="2" r:id="rId5"/>
    <sheet state="visible" name="Split" sheetId="3" r:id="rId6"/>
    <sheet state="visible" name="Non-split" sheetId="4" r:id="rId7"/>
  </sheets>
  <definedNames/>
  <calcPr/>
  <extLst>
    <ext uri="GoogleSheetsCustomDataVersion2">
      <go:sheetsCustomData xmlns:go="http://customooxmlschemas.google.com/" r:id="rId8" roundtripDataChecksum="n6D/cNJhyNVZnCWVmMt7iJeffI0Q34etwl3LQ/lo6s0="/>
    </ext>
  </extLst>
</workbook>
</file>

<file path=xl/sharedStrings.xml><?xml version="1.0" encoding="utf-8"?>
<sst xmlns="http://schemas.openxmlformats.org/spreadsheetml/2006/main" count="284" uniqueCount="35">
  <si>
    <t>Query</t>
  </si>
  <si>
    <t>Result</t>
  </si>
  <si>
    <t>Type</t>
  </si>
  <si>
    <t>Score</t>
  </si>
  <si>
    <t>Topic match</t>
  </si>
  <si>
    <t>Score eval</t>
  </si>
  <si>
    <t>all</t>
  </si>
  <si>
    <t>parameters</t>
  </si>
  <si>
    <t>method_names</t>
  </si>
  <si>
    <t>local_variables</t>
  </si>
  <si>
    <t>local_variables_split</t>
  </si>
  <si>
    <t>all_split</t>
  </si>
  <si>
    <t>class_names_split</t>
  </si>
  <si>
    <t>parameters_split</t>
  </si>
  <si>
    <t>global_variables_split</t>
  </si>
  <si>
    <t>class_names</t>
  </si>
  <si>
    <t>global_variables</t>
  </si>
  <si>
    <t>method_names_split</t>
  </si>
  <si>
    <t>Hoeveel hebben we er al:</t>
  </si>
  <si>
    <t>Hoeveel moeten we nog:</t>
  </si>
  <si>
    <t>Aantal 1</t>
  </si>
  <si>
    <t>false positive</t>
  </si>
  <si>
    <t>Aantal 2</t>
  </si>
  <si>
    <t>Aantal 3</t>
  </si>
  <si>
    <t>true positive</t>
  </si>
  <si>
    <t>Aantal 4</t>
  </si>
  <si>
    <t>Total</t>
  </si>
  <si>
    <t>TOPIC</t>
  </si>
  <si>
    <t>Average</t>
  </si>
  <si>
    <t>Adjusted average</t>
  </si>
  <si>
    <t>Standard error</t>
  </si>
  <si>
    <t>Margin of error</t>
  </si>
  <si>
    <t>Confidence interval</t>
  </si>
  <si>
    <t>confidence</t>
  </si>
  <si>
    <t>confidence interval 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</si>
</sst>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0000000000"/>
  </numFmts>
  <fonts count="6">
    <font>
      <sz val="11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  <font>
      <u/>
      <color rgb="FF0000FF"/>
    </font>
    <font>
      <i/>
      <color theme="1"/>
      <name val="Calibri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1" fillId="0" fontId="1" numFmtId="0" xfId="0" applyAlignment="1" applyBorder="1" applyFont="1">
      <alignment horizontal="center" readingOrder="0" vertical="top"/>
    </xf>
    <xf borderId="0" fillId="0" fontId="2" numFmtId="0" xfId="0" applyAlignment="1" applyFont="1">
      <alignment readingOrder="0"/>
    </xf>
    <xf borderId="0" fillId="0" fontId="3" numFmtId="0" xfId="0" applyFont="1"/>
    <xf borderId="0" fillId="0" fontId="2" numFmtId="0" xfId="0" applyFont="1"/>
    <xf borderId="0" fillId="0" fontId="4" numFmtId="0" xfId="0" applyAlignment="1" applyFont="1">
      <alignment readingOrder="0"/>
    </xf>
    <xf borderId="0" fillId="0" fontId="5" numFmtId="0" xfId="0" applyAlignment="1" applyFont="1">
      <alignment vertical="bottom"/>
    </xf>
    <xf borderId="2" fillId="0" fontId="2" numFmtId="0" xfId="0" applyAlignment="1" applyBorder="1" applyFont="1">
      <alignment readingOrder="0"/>
    </xf>
    <xf borderId="2" fillId="0" fontId="2" numFmtId="0" xfId="0" applyBorder="1" applyFont="1"/>
    <xf borderId="0" fillId="0" fontId="2" numFmtId="2" xfId="0" applyFont="1" applyNumberFormat="1"/>
    <xf borderId="0" fillId="0" fontId="2" numFmtId="164" xfId="0" applyFont="1" applyNumberFormat="1"/>
    <xf borderId="0" fillId="0" fontId="2" numFmtId="10" xfId="0" applyAlignment="1" applyFont="1" applyNumberFormat="1">
      <alignment readingOrder="0"/>
    </xf>
  </cellXfs>
  <cellStyles count="1">
    <cellStyle xfId="0" name="Normal" builtinId="0"/>
  </cellStyles>
  <dxfs count="3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E06666"/>
          <bgColor rgb="FFE06666"/>
        </patternFill>
      </fill>
      <border/>
    </dxf>
    <dxf>
      <font/>
      <fill>
        <patternFill patternType="solid">
          <fgColor rgb="FFF1C232"/>
          <bgColor rgb="FFF1C232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95250</xdr:colOff>
      <xdr:row>1</xdr:row>
      <xdr:rowOff>180975</xdr:rowOff>
    </xdr:from>
    <xdr:ext cx="4905375" cy="1762125"/>
    <xdr:pic>
      <xdr:nvPicPr>
        <xdr:cNvPr id="0" name="image1.png" title="Afbeeldi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51.57"/>
    <col customWidth="1" min="2" max="2" width="59.0"/>
    <col customWidth="1" min="3" max="3" width="24.71"/>
    <col customWidth="1" min="4" max="4" width="8.0"/>
    <col customWidth="1" min="5" max="5" width="14.14"/>
    <col customWidth="1" min="6" max="6" width="14.29"/>
    <col customWidth="1" min="7" max="7" width="33.57"/>
    <col customWidth="1" min="8" max="8" width="24.71"/>
    <col customWidth="1" min="9" max="9" width="15.0"/>
    <col customWidth="1" min="10" max="10" width="8.71"/>
    <col customWidth="1" min="11" max="11" width="21.86"/>
    <col customWidth="1" min="12" max="26" width="8.71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3" t="s">
        <v>5</v>
      </c>
    </row>
    <row r="2">
      <c r="A2" s="4" t="str">
        <f t="shared" ref="A2:A13" si="1">HYPERLINK("https://github.com/bakdata/quick", "bakdata - quick - rest-api")</f>
        <v>bakdata - quick - rest-api</v>
      </c>
      <c r="B2" s="4" t="str">
        <f>HYPERLINK("https://github.com/americanexpress/synapse", "americanexpress - synapse - rest-api")</f>
        <v>americanexpress - synapse - rest-api</v>
      </c>
      <c r="C2" s="5" t="s">
        <v>6</v>
      </c>
      <c r="D2" s="3">
        <v>3.0</v>
      </c>
      <c r="E2" s="5">
        <f t="shared" ref="E2:E241" si="2">IF(RIGHT(A2, 6)=RIGHT(B2, 6), 1, 0)</f>
        <v>1</v>
      </c>
      <c r="F2" s="5">
        <f t="shared" ref="F2:F241" si="3">IF(OR(D2=1,D2=2),0,1)</f>
        <v>1</v>
      </c>
    </row>
    <row r="3">
      <c r="A3" s="4" t="str">
        <f t="shared" si="1"/>
        <v>bakdata - quick - rest-api</v>
      </c>
      <c r="B3" s="4" t="str">
        <f>HYPERLINK("https://github.com/awslabs/aws-serverless-java-container", "awslabs - aws-serverless-java-container - rest-api")</f>
        <v>awslabs - aws-serverless-java-container - rest-api</v>
      </c>
      <c r="C3" s="5" t="s">
        <v>7</v>
      </c>
      <c r="D3" s="3">
        <v>2.0</v>
      </c>
      <c r="E3" s="5">
        <f t="shared" si="2"/>
        <v>1</v>
      </c>
      <c r="F3" s="5">
        <f t="shared" si="3"/>
        <v>0</v>
      </c>
    </row>
    <row r="4">
      <c r="A4" s="4" t="str">
        <f t="shared" si="1"/>
        <v>bakdata - quick - rest-api</v>
      </c>
      <c r="B4" s="4" t="str">
        <f>HYPERLINK("https://github.com/confluentinc/kafka-rest", "confluentinc - kafka-rest - rest-api")</f>
        <v>confluentinc - kafka-rest - rest-api</v>
      </c>
      <c r="C4" s="5" t="s">
        <v>8</v>
      </c>
      <c r="D4" s="3">
        <v>2.0</v>
      </c>
      <c r="E4" s="5">
        <f t="shared" si="2"/>
        <v>1</v>
      </c>
      <c r="F4" s="5">
        <f t="shared" si="3"/>
        <v>0</v>
      </c>
    </row>
    <row r="5">
      <c r="A5" s="4" t="str">
        <f t="shared" si="1"/>
        <v>bakdata - quick - rest-api</v>
      </c>
      <c r="B5" s="4" t="str">
        <f>HYPERLINK("https://github.com/endava/cats", "endava - cats - rest-api")</f>
        <v>endava - cats - rest-api</v>
      </c>
      <c r="C5" s="5" t="s">
        <v>9</v>
      </c>
      <c r="D5" s="3">
        <v>2.0</v>
      </c>
      <c r="E5" s="5">
        <f t="shared" si="2"/>
        <v>1</v>
      </c>
      <c r="F5" s="5">
        <f t="shared" si="3"/>
        <v>0</v>
      </c>
    </row>
    <row r="6">
      <c r="A6" s="4" t="str">
        <f t="shared" si="1"/>
        <v>bakdata - quick - rest-api</v>
      </c>
      <c r="B6" s="4" t="str">
        <f>HYPERLINK("https://github.com/jonathanmdr/dynamicdatasourcerouting", "jonathanmdr - dynamicdatasourcerouting - rest-api")</f>
        <v>jonathanmdr - dynamicdatasourcerouting - rest-api</v>
      </c>
      <c r="C6" s="5" t="s">
        <v>10</v>
      </c>
      <c r="D6" s="3">
        <v>2.0</v>
      </c>
      <c r="E6" s="5">
        <f t="shared" si="2"/>
        <v>1</v>
      </c>
      <c r="F6" s="5">
        <f t="shared" si="3"/>
        <v>0</v>
      </c>
    </row>
    <row r="7">
      <c r="A7" s="4" t="str">
        <f t="shared" si="1"/>
        <v>bakdata - quick - rest-api</v>
      </c>
      <c r="B7" s="4" t="str">
        <f>HYPERLINK("https://github.com/redskap/swagger-brake", "redskap - swagger-brake - rest-api")</f>
        <v>redskap - swagger-brake - rest-api</v>
      </c>
      <c r="C7" s="5" t="s">
        <v>11</v>
      </c>
      <c r="D7" s="3">
        <v>2.0</v>
      </c>
      <c r="E7" s="5">
        <f t="shared" si="2"/>
        <v>1</v>
      </c>
      <c r="F7" s="5">
        <f t="shared" si="3"/>
        <v>0</v>
      </c>
    </row>
    <row r="8">
      <c r="A8" s="4" t="str">
        <f t="shared" si="1"/>
        <v>bakdata - quick - rest-api</v>
      </c>
      <c r="B8" s="4" t="str">
        <f>HYPERLINK("https://github.com/rest-assured/rest-assured", "rest-assured - rest-assured - rest-api")</f>
        <v>rest-assured - rest-assured - rest-api</v>
      </c>
      <c r="C8" s="5" t="s">
        <v>12</v>
      </c>
      <c r="D8" s="3">
        <v>3.0</v>
      </c>
      <c r="E8" s="5">
        <f t="shared" si="2"/>
        <v>1</v>
      </c>
      <c r="F8" s="5">
        <f t="shared" si="3"/>
        <v>1</v>
      </c>
    </row>
    <row r="9">
      <c r="A9" s="4" t="str">
        <f t="shared" si="1"/>
        <v>bakdata - quick - rest-api</v>
      </c>
      <c r="B9" s="4" t="str">
        <f>HYPERLINK("https://github.com/ryansusana/elepy", "ryansusana - elepy - rest-api")</f>
        <v>ryansusana - elepy - rest-api</v>
      </c>
      <c r="C9" s="5" t="s">
        <v>13</v>
      </c>
      <c r="D9" s="3">
        <v>1.0</v>
      </c>
      <c r="E9" s="5">
        <f t="shared" si="2"/>
        <v>1</v>
      </c>
      <c r="F9" s="5">
        <f t="shared" si="3"/>
        <v>0</v>
      </c>
    </row>
    <row r="10">
      <c r="A10" s="4" t="str">
        <f t="shared" si="1"/>
        <v>bakdata - quick - rest-api</v>
      </c>
      <c r="B10" s="4" t="str">
        <f>HYPERLINK("https://github.com/stevespringett/alpine", "stevespringett - alpine - rest-api")</f>
        <v>stevespringett - alpine - rest-api</v>
      </c>
      <c r="C10" s="5" t="s">
        <v>14</v>
      </c>
      <c r="D10" s="3">
        <v>3.0</v>
      </c>
      <c r="E10" s="5">
        <f t="shared" si="2"/>
        <v>1</v>
      </c>
      <c r="F10" s="5">
        <f t="shared" si="3"/>
        <v>1</v>
      </c>
    </row>
    <row r="11">
      <c r="A11" s="4" t="str">
        <f t="shared" si="1"/>
        <v>bakdata - quick - rest-api</v>
      </c>
      <c r="B11" s="4" t="str">
        <f>HYPERLINK("https://github.com/swagger-api/swagger-parser", "swagger-api - swagger-parser - rest-api")</f>
        <v>swagger-api - swagger-parser - rest-api</v>
      </c>
      <c r="C11" s="5" t="s">
        <v>15</v>
      </c>
      <c r="D11" s="3">
        <v>2.0</v>
      </c>
      <c r="E11" s="5">
        <f t="shared" si="2"/>
        <v>1</v>
      </c>
      <c r="F11" s="5">
        <f t="shared" si="3"/>
        <v>0</v>
      </c>
    </row>
    <row r="12">
      <c r="A12" s="4" t="str">
        <f t="shared" si="1"/>
        <v>bakdata - quick - rest-api</v>
      </c>
      <c r="B12" s="4" t="str">
        <f>HYPERLINK("https://github.com/taz03/jia", "taz03 - jia - rest-api")</f>
        <v>taz03 - jia - rest-api</v>
      </c>
      <c r="C12" s="5" t="s">
        <v>16</v>
      </c>
      <c r="D12" s="3">
        <v>3.0</v>
      </c>
      <c r="E12" s="5">
        <f t="shared" si="2"/>
        <v>1</v>
      </c>
      <c r="F12" s="5">
        <f t="shared" si="3"/>
        <v>1</v>
      </c>
    </row>
    <row r="13">
      <c r="A13" s="4" t="str">
        <f t="shared" si="1"/>
        <v>bakdata - quick - rest-api</v>
      </c>
      <c r="B13" s="4" t="str">
        <f>HYPERLINK("https://github.com/zowe/api-layer", "zowe - api-layer - rest-api")</f>
        <v>zowe - api-layer - rest-api</v>
      </c>
      <c r="C13" s="5" t="s">
        <v>17</v>
      </c>
      <c r="D13" s="3">
        <v>3.0</v>
      </c>
      <c r="E13" s="5">
        <f t="shared" si="2"/>
        <v>1</v>
      </c>
      <c r="F13" s="5">
        <f t="shared" si="3"/>
        <v>1</v>
      </c>
    </row>
    <row r="14">
      <c r="A14" s="4" t="str">
        <f t="shared" ref="A14:A25" si="4">HYPERLINK("https://github.com/bezkoder/docker-compose-spring-boot-mysql", "bezkoder - docker-compose-spring-boot-mysql - rest-api")</f>
        <v>bezkoder - docker-compose-spring-boot-mysql - rest-api</v>
      </c>
      <c r="B14" s="4" t="str">
        <f t="shared" ref="B14:B15" si="5">HYPERLINK("https://github.com/bezkoder/spring-boot-data-jpa-mysql", "bezkoder - spring-boot-data-jpa-mysql - rest-api")</f>
        <v>bezkoder - spring-boot-data-jpa-mysql - rest-api</v>
      </c>
      <c r="C14" s="5" t="s">
        <v>14</v>
      </c>
      <c r="D14" s="3">
        <v>4.0</v>
      </c>
      <c r="E14" s="5">
        <f t="shared" si="2"/>
        <v>1</v>
      </c>
      <c r="F14" s="5">
        <f t="shared" si="3"/>
        <v>1</v>
      </c>
    </row>
    <row r="15">
      <c r="A15" s="4" t="str">
        <f t="shared" si="4"/>
        <v>bezkoder - docker-compose-spring-boot-mysql - rest-api</v>
      </c>
      <c r="B15" s="4" t="str">
        <f t="shared" si="5"/>
        <v>bezkoder - spring-boot-data-jpa-mysql - rest-api</v>
      </c>
      <c r="C15" s="5" t="s">
        <v>17</v>
      </c>
      <c r="D15" s="3">
        <v>4.0</v>
      </c>
      <c r="E15" s="5">
        <f t="shared" si="2"/>
        <v>1</v>
      </c>
      <c r="F15" s="5">
        <f t="shared" si="3"/>
        <v>1</v>
      </c>
    </row>
    <row r="16">
      <c r="A16" s="4" t="str">
        <f t="shared" si="4"/>
        <v>bezkoder - docker-compose-spring-boot-mysql - rest-api</v>
      </c>
      <c r="B16" s="4" t="str">
        <f t="shared" ref="B16:B18" si="6">HYPERLINK("https://github.com/bezkoder/spring-boot-jpa-postgresql", "bezkoder - spring-boot-jpa-postgresql - rest-api")</f>
        <v>bezkoder - spring-boot-jpa-postgresql - rest-api</v>
      </c>
      <c r="C16" s="5" t="s">
        <v>11</v>
      </c>
      <c r="D16" s="3">
        <v>4.0</v>
      </c>
      <c r="E16" s="5">
        <f t="shared" si="2"/>
        <v>1</v>
      </c>
      <c r="F16" s="5">
        <f t="shared" si="3"/>
        <v>1</v>
      </c>
    </row>
    <row r="17">
      <c r="A17" s="4" t="str">
        <f t="shared" si="4"/>
        <v>bezkoder - docker-compose-spring-boot-mysql - rest-api</v>
      </c>
      <c r="B17" s="4" t="str">
        <f t="shared" si="6"/>
        <v>bezkoder - spring-boot-jpa-postgresql - rest-api</v>
      </c>
      <c r="C17" s="5" t="s">
        <v>12</v>
      </c>
      <c r="D17" s="3">
        <v>4.0</v>
      </c>
      <c r="E17" s="5">
        <f t="shared" si="2"/>
        <v>1</v>
      </c>
      <c r="F17" s="5">
        <f t="shared" si="3"/>
        <v>1</v>
      </c>
    </row>
    <row r="18">
      <c r="A18" s="4" t="str">
        <f t="shared" si="4"/>
        <v>bezkoder - docker-compose-spring-boot-mysql - rest-api</v>
      </c>
      <c r="B18" s="4" t="str">
        <f t="shared" si="6"/>
        <v>bezkoder - spring-boot-jpa-postgresql - rest-api</v>
      </c>
      <c r="C18" s="5" t="s">
        <v>9</v>
      </c>
      <c r="D18" s="3">
        <v>4.0</v>
      </c>
      <c r="E18" s="5">
        <f t="shared" si="2"/>
        <v>1</v>
      </c>
      <c r="F18" s="5">
        <f t="shared" si="3"/>
        <v>1</v>
      </c>
    </row>
    <row r="19">
      <c r="A19" s="4" t="str">
        <f t="shared" si="4"/>
        <v>bezkoder - docker-compose-spring-boot-mysql - rest-api</v>
      </c>
      <c r="B19" s="4" t="str">
        <f t="shared" ref="B19:B24" si="7">HYPERLINK("https://github.com/bezkoder/spring-boot-unit-test-rest-controller", "bezkoder - spring-boot-unit-test-rest-controller - rest-api")</f>
        <v>bezkoder - spring-boot-unit-test-rest-controller - rest-api</v>
      </c>
      <c r="C19" s="5" t="s">
        <v>6</v>
      </c>
      <c r="D19" s="3">
        <v>3.0</v>
      </c>
      <c r="E19" s="5">
        <f t="shared" si="2"/>
        <v>1</v>
      </c>
      <c r="F19" s="5">
        <f t="shared" si="3"/>
        <v>1</v>
      </c>
    </row>
    <row r="20">
      <c r="A20" s="4" t="str">
        <f t="shared" si="4"/>
        <v>bezkoder - docker-compose-spring-boot-mysql - rest-api</v>
      </c>
      <c r="B20" s="4" t="str">
        <f t="shared" si="7"/>
        <v>bezkoder - spring-boot-unit-test-rest-controller - rest-api</v>
      </c>
      <c r="C20" s="5" t="s">
        <v>15</v>
      </c>
      <c r="D20" s="3">
        <v>3.0</v>
      </c>
      <c r="E20" s="5">
        <f t="shared" si="2"/>
        <v>1</v>
      </c>
      <c r="F20" s="5">
        <f t="shared" si="3"/>
        <v>1</v>
      </c>
    </row>
    <row r="21" ht="15.75" customHeight="1">
      <c r="A21" s="4" t="str">
        <f t="shared" si="4"/>
        <v>bezkoder - docker-compose-spring-boot-mysql - rest-api</v>
      </c>
      <c r="B21" s="4" t="str">
        <f t="shared" si="7"/>
        <v>bezkoder - spring-boot-unit-test-rest-controller - rest-api</v>
      </c>
      <c r="C21" s="5" t="s">
        <v>10</v>
      </c>
      <c r="D21" s="3">
        <v>3.0</v>
      </c>
      <c r="E21" s="5">
        <f t="shared" si="2"/>
        <v>1</v>
      </c>
      <c r="F21" s="5">
        <f t="shared" si="3"/>
        <v>1</v>
      </c>
    </row>
    <row r="22" ht="15.75" customHeight="1">
      <c r="A22" s="4" t="str">
        <f t="shared" si="4"/>
        <v>bezkoder - docker-compose-spring-boot-mysql - rest-api</v>
      </c>
      <c r="B22" s="4" t="str">
        <f t="shared" si="7"/>
        <v>bezkoder - spring-boot-unit-test-rest-controller - rest-api</v>
      </c>
      <c r="C22" s="5" t="s">
        <v>8</v>
      </c>
      <c r="D22" s="3">
        <v>3.0</v>
      </c>
      <c r="E22" s="5">
        <f t="shared" si="2"/>
        <v>1</v>
      </c>
      <c r="F22" s="5">
        <f t="shared" si="3"/>
        <v>1</v>
      </c>
    </row>
    <row r="23" ht="15.75" customHeight="1">
      <c r="A23" s="4" t="str">
        <f t="shared" si="4"/>
        <v>bezkoder - docker-compose-spring-boot-mysql - rest-api</v>
      </c>
      <c r="B23" s="4" t="str">
        <f t="shared" si="7"/>
        <v>bezkoder - spring-boot-unit-test-rest-controller - rest-api</v>
      </c>
      <c r="C23" s="5" t="s">
        <v>7</v>
      </c>
      <c r="D23" s="3">
        <v>3.0</v>
      </c>
      <c r="E23" s="5">
        <f t="shared" si="2"/>
        <v>1</v>
      </c>
      <c r="F23" s="5">
        <f t="shared" si="3"/>
        <v>1</v>
      </c>
    </row>
    <row r="24" ht="15.75" customHeight="1">
      <c r="A24" s="4" t="str">
        <f t="shared" si="4"/>
        <v>bezkoder - docker-compose-spring-boot-mysql - rest-api</v>
      </c>
      <c r="B24" s="4" t="str">
        <f t="shared" si="7"/>
        <v>bezkoder - spring-boot-unit-test-rest-controller - rest-api</v>
      </c>
      <c r="C24" s="5" t="s">
        <v>13</v>
      </c>
      <c r="D24" s="3">
        <v>3.0</v>
      </c>
      <c r="E24" s="5">
        <f t="shared" si="2"/>
        <v>1</v>
      </c>
      <c r="F24" s="5">
        <f t="shared" si="3"/>
        <v>1</v>
      </c>
    </row>
    <row r="25" ht="15.75" customHeight="1">
      <c r="A25" s="4" t="str">
        <f t="shared" si="4"/>
        <v>bezkoder - docker-compose-spring-boot-mysql - rest-api</v>
      </c>
      <c r="B25" s="4" t="str">
        <f>HYPERLINK("https://github.com/hirannor/spring-boot-hexagonal-architecture", "hirannor - spring-boot-hexagonal-architecture - rest-api")</f>
        <v>hirannor - spring-boot-hexagonal-architecture - rest-api</v>
      </c>
      <c r="C25" s="5" t="s">
        <v>16</v>
      </c>
      <c r="D25" s="3">
        <v>2.0</v>
      </c>
      <c r="E25" s="5">
        <f t="shared" si="2"/>
        <v>1</v>
      </c>
      <c r="F25" s="5">
        <f t="shared" si="3"/>
        <v>0</v>
      </c>
    </row>
    <row r="26" ht="15.75" customHeight="1">
      <c r="A26" s="4" t="str">
        <f t="shared" ref="A26:A37" si="8">HYPERLINK("https://github.com/derfrzocker/custom-ore-generator", "derfrzocker - custom-ore-generator - minecraft-plugin")</f>
        <v>derfrzocker - custom-ore-generator - minecraft-plugin</v>
      </c>
      <c r="B26" s="4" t="str">
        <f>HYPERLINK("https://github.com/4drian3d/kickredirect", "4drian3d - kickredirect - minecraft-plugin")</f>
        <v>4drian3d - kickredirect - minecraft-plugin</v>
      </c>
      <c r="C26" s="5" t="s">
        <v>12</v>
      </c>
      <c r="D26" s="3">
        <v>2.0</v>
      </c>
      <c r="E26" s="5">
        <f t="shared" si="2"/>
        <v>1</v>
      </c>
      <c r="F26" s="5">
        <f t="shared" si="3"/>
        <v>0</v>
      </c>
    </row>
    <row r="27" ht="15.75" customHeight="1">
      <c r="A27" s="4" t="str">
        <f t="shared" si="8"/>
        <v>derfrzocker - custom-ore-generator - minecraft-plugin</v>
      </c>
      <c r="B27" s="4" t="str">
        <f>HYPERLINK("https://github.com/arthed-studios/custombiomecolors", "arthed-studios - custombiomecolors - minecraft-plugin")</f>
        <v>arthed-studios - custombiomecolors - minecraft-plugin</v>
      </c>
      <c r="C27" s="5" t="s">
        <v>10</v>
      </c>
      <c r="D27" s="3">
        <v>3.0</v>
      </c>
      <c r="E27" s="5">
        <f t="shared" si="2"/>
        <v>1</v>
      </c>
      <c r="F27" s="5">
        <f t="shared" si="3"/>
        <v>1</v>
      </c>
    </row>
    <row r="28" ht="15.75" customHeight="1">
      <c r="A28" s="4" t="str">
        <f t="shared" si="8"/>
        <v>derfrzocker - custom-ore-generator - minecraft-plugin</v>
      </c>
      <c r="B28" s="4" t="str">
        <f>HYPERLINK("https://github.com/bluemap-minecraft/bluemap", "bluemap-minecraft - bluemap - minecraft-plugin")</f>
        <v>bluemap-minecraft - bluemap - minecraft-plugin</v>
      </c>
      <c r="C28" s="5" t="s">
        <v>13</v>
      </c>
      <c r="D28" s="3">
        <v>2.0</v>
      </c>
      <c r="E28" s="5">
        <f t="shared" si="2"/>
        <v>1</v>
      </c>
      <c r="F28" s="5">
        <f t="shared" si="3"/>
        <v>0</v>
      </c>
    </row>
    <row r="29" ht="15.75" customHeight="1">
      <c r="A29" s="4" t="str">
        <f t="shared" si="8"/>
        <v>derfrzocker - custom-ore-generator - minecraft-plugin</v>
      </c>
      <c r="B29" s="4" t="str">
        <f>HYPERLINK("https://github.com/dukke/fxskins", "dukke - fxskins - javafx")</f>
        <v>dukke - fxskins - javafx</v>
      </c>
      <c r="C29" s="5" t="s">
        <v>15</v>
      </c>
      <c r="D29" s="3">
        <v>1.0</v>
      </c>
      <c r="E29" s="5">
        <f t="shared" si="2"/>
        <v>0</v>
      </c>
      <c r="F29" s="5">
        <f t="shared" si="3"/>
        <v>0</v>
      </c>
    </row>
    <row r="30" ht="15.75" customHeight="1">
      <c r="A30" s="4" t="str">
        <f t="shared" si="8"/>
        <v>derfrzocker - custom-ore-generator - minecraft-plugin</v>
      </c>
      <c r="B30" s="4" t="str">
        <f>HYPERLINK("https://github.com/eldoriarpg/schematicbrushreborn", "eldoriarpg - schematicbrushreborn - minecraft-plugin")</f>
        <v>eldoriarpg - schematicbrushreborn - minecraft-plugin</v>
      </c>
      <c r="C30" s="5" t="s">
        <v>16</v>
      </c>
      <c r="D30" s="3">
        <v>3.0</v>
      </c>
      <c r="E30" s="5">
        <f t="shared" si="2"/>
        <v>1</v>
      </c>
      <c r="F30" s="5">
        <f t="shared" si="3"/>
        <v>1</v>
      </c>
    </row>
    <row r="31" ht="15.75" customHeight="1">
      <c r="A31" s="4" t="str">
        <f t="shared" si="8"/>
        <v>derfrzocker - custom-ore-generator - minecraft-plugin</v>
      </c>
      <c r="B31" s="4" t="str">
        <f>HYPERLINK("https://github.com/eternalcodeteam/eternalcore", "eternalcodeteam - eternalcore - minecraft-plugin")</f>
        <v>eternalcodeteam - eternalcore - minecraft-plugin</v>
      </c>
      <c r="C31" s="5" t="s">
        <v>14</v>
      </c>
      <c r="D31" s="3">
        <v>2.0</v>
      </c>
      <c r="E31" s="5">
        <f t="shared" si="2"/>
        <v>1</v>
      </c>
      <c r="F31" s="5">
        <f t="shared" si="3"/>
        <v>0</v>
      </c>
    </row>
    <row r="32" ht="15.75" customHeight="1">
      <c r="A32" s="4" t="str">
        <f t="shared" si="8"/>
        <v>derfrzocker - custom-ore-generator - minecraft-plugin</v>
      </c>
      <c r="B32" s="4" t="str">
        <f>HYPERLINK("https://github.com/jpenilla/chesscraft", "jpenilla - chesscraft - minecraft-plugin")</f>
        <v>jpenilla - chesscraft - minecraft-plugin</v>
      </c>
      <c r="C32" s="5" t="s">
        <v>8</v>
      </c>
      <c r="D32" s="3">
        <v>2.0</v>
      </c>
      <c r="E32" s="5">
        <f t="shared" si="2"/>
        <v>1</v>
      </c>
      <c r="F32" s="5">
        <f t="shared" si="3"/>
        <v>0</v>
      </c>
    </row>
    <row r="33" ht="15.75" customHeight="1">
      <c r="A33" s="4" t="str">
        <f t="shared" si="8"/>
        <v>derfrzocker - custom-ore-generator - minecraft-plugin</v>
      </c>
      <c r="B33" s="4" t="str">
        <f>HYPERLINK("https://github.com/minecraftmedialibrary/ezmediacore", "minecraftmedialibrary - ezmediacore - minecraft-plugin")</f>
        <v>minecraftmedialibrary - ezmediacore - minecraft-plugin</v>
      </c>
      <c r="C33" s="5" t="s">
        <v>7</v>
      </c>
      <c r="D33" s="3">
        <v>2.0</v>
      </c>
      <c r="E33" s="5">
        <f t="shared" si="2"/>
        <v>1</v>
      </c>
      <c r="F33" s="5">
        <f t="shared" si="3"/>
        <v>0</v>
      </c>
    </row>
    <row r="34" ht="15.75" customHeight="1">
      <c r="A34" s="4" t="str">
        <f t="shared" si="8"/>
        <v>derfrzocker - custom-ore-generator - minecraft-plugin</v>
      </c>
      <c r="B34" s="4" t="str">
        <f>HYPERLINK("https://github.com/mohistmc/banner", "mohistmc - banner - minecraft-plugin")</f>
        <v>mohistmc - banner - minecraft-plugin</v>
      </c>
      <c r="C34" s="5" t="s">
        <v>6</v>
      </c>
      <c r="D34" s="3">
        <v>2.0</v>
      </c>
      <c r="E34" s="5">
        <f t="shared" si="2"/>
        <v>1</v>
      </c>
      <c r="F34" s="5">
        <f t="shared" si="3"/>
        <v>0</v>
      </c>
    </row>
    <row r="35" ht="15.75" customHeight="1">
      <c r="A35" s="4" t="str">
        <f t="shared" si="8"/>
        <v>derfrzocker - custom-ore-generator - minecraft-plugin</v>
      </c>
      <c r="B35" s="4" t="str">
        <f>HYPERLINK("https://github.com/stellarica/stellarica", "stellarica - stellarica - minecraft-plugin")</f>
        <v>stellarica - stellarica - minecraft-plugin</v>
      </c>
      <c r="C35" s="5" t="s">
        <v>11</v>
      </c>
      <c r="D35" s="3">
        <v>1.0</v>
      </c>
      <c r="E35" s="5">
        <f t="shared" si="2"/>
        <v>1</v>
      </c>
      <c r="F35" s="5">
        <f t="shared" si="3"/>
        <v>0</v>
      </c>
    </row>
    <row r="36" ht="15.75" customHeight="1">
      <c r="A36" s="4" t="str">
        <f t="shared" si="8"/>
        <v>derfrzocker - custom-ore-generator - minecraft-plugin</v>
      </c>
      <c r="B36" s="4" t="str">
        <f>HYPERLINK("https://github.com/updated-nocheatplus/nocheatplus", "updated-nocheatplus - nocheatplus - minecraft-plugin")</f>
        <v>updated-nocheatplus - nocheatplus - minecraft-plugin</v>
      </c>
      <c r="C36" s="5" t="s">
        <v>9</v>
      </c>
      <c r="D36" s="3">
        <v>2.0</v>
      </c>
      <c r="E36" s="5">
        <f t="shared" si="2"/>
        <v>1</v>
      </c>
      <c r="F36" s="5">
        <f t="shared" si="3"/>
        <v>0</v>
      </c>
    </row>
    <row r="37" ht="15.75" customHeight="1">
      <c r="A37" s="4" t="str">
        <f t="shared" si="8"/>
        <v>derfrzocker - custom-ore-generator - minecraft-plugin</v>
      </c>
      <c r="B37" s="4" t="str">
        <f>HYPERLINK("https://github.com/weaponmechanics/mechanicsmain", "weaponmechanics - mechanicsmain - minecraft-plugin")</f>
        <v>weaponmechanics - mechanicsmain - minecraft-plugin</v>
      </c>
      <c r="C37" s="5" t="s">
        <v>17</v>
      </c>
      <c r="D37" s="3">
        <v>2.0</v>
      </c>
      <c r="E37" s="5">
        <f t="shared" si="2"/>
        <v>1</v>
      </c>
      <c r="F37" s="5">
        <f t="shared" si="3"/>
        <v>0</v>
      </c>
    </row>
    <row r="38" ht="15.75" customHeight="1">
      <c r="A38" s="4" t="str">
        <f t="shared" ref="A38:A49" si="9">HYPERLINK("https://github.com/eclipse-xpanse/xpanse", "eclipse-xpanse - xpanse - rest-api")</f>
        <v>eclipse-xpanse - xpanse - rest-api</v>
      </c>
      <c r="B38" s="4" t="str">
        <f t="shared" ref="B38:B39" si="10">HYPERLINK("https://github.com/confluentinc/kafka-rest", "confluentinc - kafka-rest - rest-api")</f>
        <v>confluentinc - kafka-rest - rest-api</v>
      </c>
      <c r="C38" s="5" t="s">
        <v>7</v>
      </c>
      <c r="D38" s="3">
        <v>2.0</v>
      </c>
      <c r="E38" s="5">
        <f t="shared" si="2"/>
        <v>1</v>
      </c>
      <c r="F38" s="5">
        <f t="shared" si="3"/>
        <v>0</v>
      </c>
    </row>
    <row r="39" ht="15.75" customHeight="1">
      <c r="A39" s="4" t="str">
        <f t="shared" si="9"/>
        <v>eclipse-xpanse - xpanse - rest-api</v>
      </c>
      <c r="B39" s="4" t="str">
        <f t="shared" si="10"/>
        <v>confluentinc - kafka-rest - rest-api</v>
      </c>
      <c r="C39" s="5" t="s">
        <v>13</v>
      </c>
      <c r="D39" s="3">
        <v>2.0</v>
      </c>
      <c r="E39" s="5">
        <f t="shared" si="2"/>
        <v>1</v>
      </c>
      <c r="F39" s="5">
        <f t="shared" si="3"/>
        <v>0</v>
      </c>
    </row>
    <row r="40" ht="15.75" customHeight="1">
      <c r="A40" s="4" t="str">
        <f t="shared" si="9"/>
        <v>eclipse-xpanse - xpanse - rest-api</v>
      </c>
      <c r="B40" s="4" t="str">
        <f>HYPERLINK("https://github.com/discord4j/discord4j", "discord4j - discord4j - rest-api")</f>
        <v>discord4j - discord4j - rest-api</v>
      </c>
      <c r="C40" s="5" t="s">
        <v>6</v>
      </c>
      <c r="D40" s="3">
        <v>2.0</v>
      </c>
      <c r="E40" s="5">
        <f t="shared" si="2"/>
        <v>1</v>
      </c>
      <c r="F40" s="5">
        <f t="shared" si="3"/>
        <v>0</v>
      </c>
    </row>
    <row r="41" ht="15.75" customHeight="1">
      <c r="A41" s="4" t="str">
        <f t="shared" si="9"/>
        <v>eclipse-xpanse - xpanse - rest-api</v>
      </c>
      <c r="B41" s="4" t="str">
        <f>HYPERLINK("https://github.com/dlsc-software-consulting-gmbh/jfxcentral-data", "dlsc-software-consulting-gmbh - jfxcentral-data - javafx")</f>
        <v>dlsc-software-consulting-gmbh - jfxcentral-data - javafx</v>
      </c>
      <c r="C41" s="5" t="s">
        <v>17</v>
      </c>
      <c r="D41" s="3">
        <v>1.0</v>
      </c>
      <c r="E41" s="5">
        <f t="shared" si="2"/>
        <v>0</v>
      </c>
      <c r="F41" s="5">
        <f t="shared" si="3"/>
        <v>0</v>
      </c>
    </row>
    <row r="42" ht="15.75" customHeight="1">
      <c r="A42" s="4" t="str">
        <f t="shared" si="9"/>
        <v>eclipse-xpanse - xpanse - rest-api</v>
      </c>
      <c r="B42" s="4" t="str">
        <f>HYPERLINK("https://github.com/dspace/dspace", "dspace - dspace - rest-api")</f>
        <v>dspace - dspace - rest-api</v>
      </c>
      <c r="C42" s="5" t="s">
        <v>12</v>
      </c>
      <c r="D42" s="3">
        <v>1.0</v>
      </c>
      <c r="E42" s="5">
        <f t="shared" si="2"/>
        <v>1</v>
      </c>
      <c r="F42" s="5">
        <f t="shared" si="3"/>
        <v>0</v>
      </c>
    </row>
    <row r="43" ht="15.75" customHeight="1">
      <c r="A43" s="4" t="str">
        <f t="shared" si="9"/>
        <v>eclipse-xpanse - xpanse - rest-api</v>
      </c>
      <c r="B43" s="4" t="str">
        <f>HYPERLINK("https://github.com/exadel-inc/compreface", "exadel-inc - compreface - rest-api")</f>
        <v>exadel-inc - compreface - rest-api</v>
      </c>
      <c r="C43" s="5" t="s">
        <v>11</v>
      </c>
      <c r="D43" s="3">
        <v>1.0</v>
      </c>
      <c r="E43" s="5">
        <f t="shared" si="2"/>
        <v>1</v>
      </c>
      <c r="F43" s="5">
        <f t="shared" si="3"/>
        <v>0</v>
      </c>
    </row>
    <row r="44" ht="15.75" customHeight="1">
      <c r="A44" s="4" t="str">
        <f t="shared" si="9"/>
        <v>eclipse-xpanse - xpanse - rest-api</v>
      </c>
      <c r="B44" s="4" t="str">
        <f>HYPERLINK("https://github.com/gazbert/bxbot", "gazbert - bxbot - rest-api")</f>
        <v>gazbert - bxbot - rest-api</v>
      </c>
      <c r="C44" s="5" t="s">
        <v>9</v>
      </c>
      <c r="D44" s="3">
        <v>1.0</v>
      </c>
      <c r="E44" s="5">
        <f t="shared" si="2"/>
        <v>1</v>
      </c>
      <c r="F44" s="5">
        <f t="shared" si="3"/>
        <v>0</v>
      </c>
    </row>
    <row r="45" ht="15.75" customHeight="1">
      <c r="A45" s="4" t="str">
        <f t="shared" si="9"/>
        <v>eclipse-xpanse - xpanse - rest-api</v>
      </c>
      <c r="B45" s="4" t="str">
        <f>HYPERLINK("https://github.com/kangarko/foundation", "kangarko - foundation - minecraft-plugin")</f>
        <v>kangarko - foundation - minecraft-plugin</v>
      </c>
      <c r="C45" s="5" t="s">
        <v>16</v>
      </c>
      <c r="D45" s="3">
        <v>1.0</v>
      </c>
      <c r="E45" s="5">
        <f t="shared" si="2"/>
        <v>0</v>
      </c>
      <c r="F45" s="5">
        <f t="shared" si="3"/>
        <v>0</v>
      </c>
    </row>
    <row r="46" ht="15.75" customHeight="1">
      <c r="A46" s="4" t="str">
        <f t="shared" si="9"/>
        <v>eclipse-xpanse - xpanse - rest-api</v>
      </c>
      <c r="B46" s="4" t="str">
        <f>HYPERLINK("https://github.com/miltonhit/hub_correios_api", "miltonhit - hub_correios_api - rest-api")</f>
        <v>miltonhit - hub_correios_api - rest-api</v>
      </c>
      <c r="C46" s="5" t="s">
        <v>8</v>
      </c>
      <c r="D46" s="3">
        <v>1.0</v>
      </c>
      <c r="E46" s="5">
        <f t="shared" si="2"/>
        <v>1</v>
      </c>
      <c r="F46" s="5">
        <f t="shared" si="3"/>
        <v>0</v>
      </c>
    </row>
    <row r="47" ht="15.75" customHeight="1">
      <c r="A47" s="4" t="str">
        <f t="shared" si="9"/>
        <v>eclipse-xpanse - xpanse - rest-api</v>
      </c>
      <c r="B47" s="4" t="str">
        <f>HYPERLINK("https://github.com/stevespringett/alpine", "stevespringett - alpine - rest-api")</f>
        <v>stevespringett - alpine - rest-api</v>
      </c>
      <c r="C47" s="5" t="s">
        <v>15</v>
      </c>
      <c r="D47" s="3">
        <v>2.0</v>
      </c>
      <c r="E47" s="5">
        <f t="shared" si="2"/>
        <v>1</v>
      </c>
      <c r="F47" s="5">
        <f t="shared" si="3"/>
        <v>0</v>
      </c>
    </row>
    <row r="48" ht="15.75" customHeight="1">
      <c r="A48" s="4" t="str">
        <f t="shared" si="9"/>
        <v>eclipse-xpanse - xpanse - rest-api</v>
      </c>
      <c r="B48" s="4" t="str">
        <f>HYPERLINK("https://github.com/technolords/microservice-mock", "technolords - microservice-mock - rest-api")</f>
        <v>technolords - microservice-mock - rest-api</v>
      </c>
      <c r="C48" s="5" t="s">
        <v>10</v>
      </c>
      <c r="D48" s="3">
        <v>1.0</v>
      </c>
      <c r="E48" s="5">
        <f t="shared" si="2"/>
        <v>1</v>
      </c>
      <c r="F48" s="5">
        <f t="shared" si="3"/>
        <v>0</v>
      </c>
    </row>
    <row r="49" ht="15.75" customHeight="1">
      <c r="A49" s="4" t="str">
        <f t="shared" si="9"/>
        <v>eclipse-xpanse - xpanse - rest-api</v>
      </c>
      <c r="B49" s="4" t="str">
        <f>HYPERLINK("https://github.com/zowe/api-layer", "zowe - api-layer - rest-api")</f>
        <v>zowe - api-layer - rest-api</v>
      </c>
      <c r="C49" s="5" t="s">
        <v>14</v>
      </c>
      <c r="D49" s="3">
        <v>3.0</v>
      </c>
      <c r="E49" s="5">
        <f t="shared" si="2"/>
        <v>1</v>
      </c>
      <c r="F49" s="5">
        <f t="shared" si="3"/>
        <v>1</v>
      </c>
    </row>
    <row r="50" ht="15.75" customHeight="1">
      <c r="A50" s="4" t="str">
        <f t="shared" ref="A50:A61" si="11">HYPERLINK("https://github.com/filestack/filestack-android", "filestack - filestack-android - android")</f>
        <v>filestack - filestack-android - android</v>
      </c>
      <c r="B50" s="4" t="str">
        <f>HYPERLINK("https://github.com/awslabs/aws-sdk-android-samples", "awslabs - aws-sdk-android-samples - android")</f>
        <v>awslabs - aws-sdk-android-samples - android</v>
      </c>
      <c r="C50" s="5" t="s">
        <v>15</v>
      </c>
      <c r="D50" s="3">
        <v>3.0</v>
      </c>
      <c r="E50" s="5">
        <f t="shared" si="2"/>
        <v>1</v>
      </c>
      <c r="F50" s="5">
        <f t="shared" si="3"/>
        <v>1</v>
      </c>
    </row>
    <row r="51" ht="15.75" customHeight="1">
      <c r="A51" s="4" t="str">
        <f t="shared" si="11"/>
        <v>filestack - filestack-android - android</v>
      </c>
      <c r="B51" s="4" t="str">
        <f t="shared" ref="B51:B53" si="12">HYPERLINK("https://github.com/butzist/activitylauncher", "butzist - activitylauncher - android")</f>
        <v>butzist - activitylauncher - android</v>
      </c>
      <c r="C51" s="5" t="s">
        <v>12</v>
      </c>
      <c r="D51" s="3">
        <v>2.0</v>
      </c>
      <c r="E51" s="5">
        <f t="shared" si="2"/>
        <v>1</v>
      </c>
      <c r="F51" s="5">
        <f t="shared" si="3"/>
        <v>0</v>
      </c>
    </row>
    <row r="52" ht="15.75" customHeight="1">
      <c r="A52" s="4" t="str">
        <f t="shared" si="11"/>
        <v>filestack - filestack-android - android</v>
      </c>
      <c r="B52" s="4" t="str">
        <f t="shared" si="12"/>
        <v>butzist - activitylauncher - android</v>
      </c>
      <c r="C52" s="5" t="s">
        <v>14</v>
      </c>
      <c r="D52" s="3">
        <v>2.0</v>
      </c>
      <c r="E52" s="5">
        <f t="shared" si="2"/>
        <v>1</v>
      </c>
      <c r="F52" s="5">
        <f t="shared" si="3"/>
        <v>0</v>
      </c>
    </row>
    <row r="53" ht="15.75" customHeight="1">
      <c r="A53" s="4" t="str">
        <f t="shared" si="11"/>
        <v>filestack - filestack-android - android</v>
      </c>
      <c r="B53" s="4" t="str">
        <f t="shared" si="12"/>
        <v>butzist - activitylauncher - android</v>
      </c>
      <c r="C53" s="5" t="s">
        <v>9</v>
      </c>
      <c r="D53" s="3">
        <v>2.0</v>
      </c>
      <c r="E53" s="5">
        <f t="shared" si="2"/>
        <v>1</v>
      </c>
      <c r="F53" s="5">
        <f t="shared" si="3"/>
        <v>0</v>
      </c>
    </row>
    <row r="54" ht="15.75" customHeight="1">
      <c r="A54" s="4" t="str">
        <f t="shared" si="11"/>
        <v>filestack - filestack-android - android</v>
      </c>
      <c r="B54" s="4" t="str">
        <f>HYPERLINK("https://github.com/codinguser/gnucash-android", "codinguser - gnucash-android - android")</f>
        <v>codinguser - gnucash-android - android</v>
      </c>
      <c r="C54" s="5" t="s">
        <v>7</v>
      </c>
      <c r="D54" s="3">
        <v>2.0</v>
      </c>
      <c r="E54" s="5">
        <f t="shared" si="2"/>
        <v>1</v>
      </c>
      <c r="F54" s="5">
        <f t="shared" si="3"/>
        <v>0</v>
      </c>
    </row>
    <row r="55" ht="15.75" customHeight="1">
      <c r="A55" s="4" t="str">
        <f t="shared" si="11"/>
        <v>filestack - filestack-android - android</v>
      </c>
      <c r="B55" s="4" t="str">
        <f>HYPERLINK("https://github.com/gentlecat/counter", "gentlecat - counter - android")</f>
        <v>gentlecat - counter - android</v>
      </c>
      <c r="C55" s="5" t="s">
        <v>17</v>
      </c>
      <c r="D55" s="3">
        <v>2.0</v>
      </c>
      <c r="E55" s="5">
        <f t="shared" si="2"/>
        <v>1</v>
      </c>
      <c r="F55" s="5">
        <f t="shared" si="3"/>
        <v>0</v>
      </c>
    </row>
    <row r="56" ht="15.75" customHeight="1">
      <c r="A56" s="4" t="str">
        <f t="shared" si="11"/>
        <v>filestack - filestack-android - android</v>
      </c>
      <c r="B56" s="4" t="str">
        <f>HYPERLINK("https://github.com/jcarolus/android-chess", "jcarolus - android-chess - android")</f>
        <v>jcarolus - android-chess - android</v>
      </c>
      <c r="C56" s="5" t="s">
        <v>6</v>
      </c>
      <c r="D56" s="3">
        <v>1.0</v>
      </c>
      <c r="E56" s="5">
        <f t="shared" si="2"/>
        <v>1</v>
      </c>
      <c r="F56" s="5">
        <f t="shared" si="3"/>
        <v>0</v>
      </c>
    </row>
    <row r="57" ht="15.75" customHeight="1">
      <c r="A57" s="4" t="str">
        <f t="shared" si="11"/>
        <v>filestack - filestack-android - android</v>
      </c>
      <c r="B57" s="4" t="str">
        <f>HYPERLINK("https://github.com/jimseker/ui", "jimseker - ui - android")</f>
        <v>jimseker - ui - android</v>
      </c>
      <c r="C57" s="5" t="s">
        <v>10</v>
      </c>
      <c r="D57" s="3">
        <v>2.0</v>
      </c>
      <c r="E57" s="5">
        <f t="shared" si="2"/>
        <v>1</v>
      </c>
      <c r="F57" s="5">
        <f t="shared" si="3"/>
        <v>0</v>
      </c>
    </row>
    <row r="58" ht="15.75" customHeight="1">
      <c r="A58" s="4" t="str">
        <f t="shared" si="11"/>
        <v>filestack - filestack-android - android</v>
      </c>
      <c r="B58" s="4" t="str">
        <f>HYPERLINK("https://github.com/mathisdt/trackworktime", "mathisdt - trackworktime - android")</f>
        <v>mathisdt - trackworktime - android</v>
      </c>
      <c r="C58" s="5" t="s">
        <v>11</v>
      </c>
      <c r="D58" s="3">
        <v>2.0</v>
      </c>
      <c r="E58" s="5">
        <f t="shared" si="2"/>
        <v>1</v>
      </c>
      <c r="F58" s="5">
        <f t="shared" si="3"/>
        <v>0</v>
      </c>
    </row>
    <row r="59" ht="15.75" customHeight="1">
      <c r="A59" s="4" t="str">
        <f t="shared" si="11"/>
        <v>filestack - filestack-android - android</v>
      </c>
      <c r="B59" s="4" t="str">
        <f>HYPERLINK("https://github.com/opentok/opentok-android-sdk-samples", "opentok - opentok-android-sdk-samples - android")</f>
        <v>opentok - opentok-android-sdk-samples - android</v>
      </c>
      <c r="C59" s="5" t="s">
        <v>8</v>
      </c>
      <c r="D59" s="3">
        <v>2.0</v>
      </c>
      <c r="E59" s="5">
        <f t="shared" si="2"/>
        <v>1</v>
      </c>
      <c r="F59" s="5">
        <f t="shared" si="3"/>
        <v>0</v>
      </c>
    </row>
    <row r="60" ht="15.75" customHeight="1">
      <c r="A60" s="4" t="str">
        <f t="shared" si="11"/>
        <v>filestack - filestack-android - android</v>
      </c>
      <c r="B60" s="4" t="str">
        <f>HYPERLINK("https://github.com/robolectric/robolectric", "robolectric - robolectric - android")</f>
        <v>robolectric - robolectric - android</v>
      </c>
      <c r="C60" s="5" t="s">
        <v>16</v>
      </c>
      <c r="D60" s="3">
        <v>1.0</v>
      </c>
      <c r="E60" s="5">
        <f t="shared" si="2"/>
        <v>1</v>
      </c>
      <c r="F60" s="5">
        <f t="shared" si="3"/>
        <v>0</v>
      </c>
    </row>
    <row r="61" ht="15.75" customHeight="1">
      <c r="A61" s="4" t="str">
        <f t="shared" si="11"/>
        <v>filestack - filestack-android - android</v>
      </c>
      <c r="B61" s="4" t="str">
        <f>HYPERLINK("https://github.com/sreichholf/dreamdroid", "sreichholf - dreamdroid - android")</f>
        <v>sreichholf - dreamdroid - android</v>
      </c>
      <c r="C61" s="5" t="s">
        <v>13</v>
      </c>
      <c r="D61" s="3">
        <v>2.0</v>
      </c>
      <c r="E61" s="5">
        <f t="shared" si="2"/>
        <v>1</v>
      </c>
      <c r="F61" s="5">
        <f t="shared" si="3"/>
        <v>0</v>
      </c>
    </row>
    <row r="62" ht="15.75" customHeight="1">
      <c r="A62" s="4" t="str">
        <f t="shared" ref="A62:A73" si="13">HYPERLINK("https://github.com/fxmisc/flowless", "fxmisc - flowless - javafx")</f>
        <v>fxmisc - flowless - javafx</v>
      </c>
      <c r="B62" s="4" t="str">
        <f>HYPERLINK("https://github.com/eckig/graph-editor", "eckig - graph-editor - javafx")</f>
        <v>eckig - graph-editor - javafx</v>
      </c>
      <c r="C62" s="5" t="s">
        <v>7</v>
      </c>
      <c r="D62" s="3">
        <v>3.0</v>
      </c>
      <c r="E62" s="5">
        <f t="shared" si="2"/>
        <v>1</v>
      </c>
      <c r="F62" s="5">
        <f t="shared" si="3"/>
        <v>1</v>
      </c>
    </row>
    <row r="63" ht="15.75" customHeight="1">
      <c r="A63" s="4" t="str">
        <f t="shared" si="13"/>
        <v>fxmisc - flowless - javafx</v>
      </c>
      <c r="B63" s="4" t="str">
        <f>HYPERLINK("https://github.com/fxmisc/richtextfx", "fxmisc - richtextfx - javafx")</f>
        <v>fxmisc - richtextfx - javafx</v>
      </c>
      <c r="C63" s="5" t="s">
        <v>12</v>
      </c>
      <c r="D63" s="3">
        <v>3.0</v>
      </c>
      <c r="E63" s="5">
        <f t="shared" si="2"/>
        <v>1</v>
      </c>
      <c r="F63" s="5">
        <f t="shared" si="3"/>
        <v>1</v>
      </c>
    </row>
    <row r="64" ht="15.75" customHeight="1">
      <c r="A64" s="4" t="str">
        <f t="shared" si="13"/>
        <v>fxmisc - flowless - javafx</v>
      </c>
      <c r="B64" s="4" t="str">
        <f>HYPERLINK("https://github.com/gluonhq/maps", "gluonhq - maps - javafx")</f>
        <v>gluonhq - maps - javafx</v>
      </c>
      <c r="C64" s="5" t="s">
        <v>11</v>
      </c>
      <c r="D64" s="3">
        <v>3.0</v>
      </c>
      <c r="E64" s="5">
        <f t="shared" si="2"/>
        <v>1</v>
      </c>
      <c r="F64" s="5">
        <f t="shared" si="3"/>
        <v>1</v>
      </c>
    </row>
    <row r="65" ht="15.75" customHeight="1">
      <c r="A65" s="4" t="str">
        <f t="shared" si="13"/>
        <v>fxmisc - flowless - javafx</v>
      </c>
      <c r="B65" s="4" t="str">
        <f>HYPERLINK("https://github.com/jcarolus/android-chess", "jcarolus - android-chess - android")</f>
        <v>jcarolus - android-chess - android</v>
      </c>
      <c r="C65" s="5" t="s">
        <v>15</v>
      </c>
      <c r="D65" s="3">
        <v>1.0</v>
      </c>
      <c r="E65" s="5">
        <f t="shared" si="2"/>
        <v>0</v>
      </c>
      <c r="F65" s="5">
        <f t="shared" si="3"/>
        <v>0</v>
      </c>
    </row>
    <row r="66" ht="15.75" customHeight="1">
      <c r="A66" s="4" t="str">
        <f t="shared" si="13"/>
        <v>fxmisc - flowless - javafx</v>
      </c>
      <c r="B66" s="4" t="str">
        <f>HYPERLINK("https://github.com/mkpaz/atlantafx", "mkpaz - atlantafx - javafx")</f>
        <v>mkpaz - atlantafx - javafx</v>
      </c>
      <c r="C66" s="5" t="s">
        <v>13</v>
      </c>
      <c r="D66" s="3">
        <v>3.0</v>
      </c>
      <c r="E66" s="5">
        <f t="shared" si="2"/>
        <v>1</v>
      </c>
      <c r="F66" s="5">
        <f t="shared" si="3"/>
        <v>1</v>
      </c>
    </row>
    <row r="67" ht="15.75" customHeight="1">
      <c r="A67" s="4" t="str">
        <f t="shared" si="13"/>
        <v>fxmisc - flowless - javafx</v>
      </c>
      <c r="B67" s="4" t="str">
        <f>HYPERLINK("https://github.com/redfx-quantum/strangefx", "redfx-quantum - strangefx - javafx")</f>
        <v>redfx-quantum - strangefx - javafx</v>
      </c>
      <c r="C67" s="5" t="s">
        <v>9</v>
      </c>
      <c r="D67" s="3">
        <v>2.0</v>
      </c>
      <c r="E67" s="5">
        <f t="shared" si="2"/>
        <v>1</v>
      </c>
      <c r="F67" s="5">
        <f t="shared" si="3"/>
        <v>0</v>
      </c>
    </row>
    <row r="68" ht="15.75" customHeight="1">
      <c r="A68" s="4" t="str">
        <f t="shared" si="13"/>
        <v>fxmisc - flowless - javafx</v>
      </c>
      <c r="B68" s="4" t="str">
        <f>HYPERLINK("https://github.com/sandec/jmemorybuddy", "sandec - jmemorybuddy - javafx")</f>
        <v>sandec - jmemorybuddy - javafx</v>
      </c>
      <c r="C68" s="5" t="s">
        <v>8</v>
      </c>
      <c r="D68" s="3">
        <v>1.0</v>
      </c>
      <c r="E68" s="5">
        <f t="shared" si="2"/>
        <v>1</v>
      </c>
      <c r="F68" s="5">
        <f t="shared" si="3"/>
        <v>0</v>
      </c>
    </row>
    <row r="69" ht="15.75" customHeight="1">
      <c r="A69" s="4" t="str">
        <f t="shared" si="13"/>
        <v>fxmisc - flowless - javafx</v>
      </c>
      <c r="B69" s="4" t="str">
        <f>HYPERLINK("https://github.com/scorelab/imagelab", "scorelab - imagelab - javafx")</f>
        <v>scorelab - imagelab - javafx</v>
      </c>
      <c r="C69" s="5" t="s">
        <v>16</v>
      </c>
      <c r="D69" s="3">
        <v>1.0</v>
      </c>
      <c r="E69" s="5">
        <f t="shared" si="2"/>
        <v>1</v>
      </c>
      <c r="F69" s="5">
        <f t="shared" si="3"/>
        <v>0</v>
      </c>
    </row>
    <row r="70" ht="15.75" customHeight="1">
      <c r="A70" s="4" t="str">
        <f t="shared" si="13"/>
        <v>fxmisc - flowless - javafx</v>
      </c>
      <c r="B70" s="4" t="str">
        <f>HYPERLINK("https://github.com/sharaf-qeshta/Introduction-to-Java-Programming-and-Data-Structures-Comprehensive-Version-Eleventh-Edition-Global-", "sharaf-qeshta - Introduction-to-Java-Programming-and-Data-Structures-Comprehensive-Version-Eleventh-Edition-Global- - javafx")</f>
        <v>sharaf-qeshta - Introduction-to-Java-Programming-and-Data-Structures-Comprehensive-Version-Eleventh-Edition-Global- - javafx</v>
      </c>
      <c r="C70" s="5" t="s">
        <v>6</v>
      </c>
      <c r="D70" s="3">
        <v>3.0</v>
      </c>
      <c r="E70" s="5">
        <f t="shared" si="2"/>
        <v>1</v>
      </c>
      <c r="F70" s="5">
        <f t="shared" si="3"/>
        <v>1</v>
      </c>
    </row>
    <row r="71" ht="15.75" customHeight="1">
      <c r="A71" s="4" t="str">
        <f t="shared" si="13"/>
        <v>fxmisc - flowless - javafx</v>
      </c>
      <c r="B71" s="4" t="str">
        <f>HYPERLINK("https://github.com/typhon0/animatefx", "typhon0 - animatefx - javafx")</f>
        <v>typhon0 - animatefx - javafx</v>
      </c>
      <c r="C71" s="5" t="s">
        <v>10</v>
      </c>
      <c r="D71" s="3">
        <v>3.0</v>
      </c>
      <c r="E71" s="5">
        <f t="shared" si="2"/>
        <v>1</v>
      </c>
      <c r="F71" s="5">
        <f t="shared" si="3"/>
        <v>1</v>
      </c>
    </row>
    <row r="72" ht="15.75" customHeight="1">
      <c r="A72" s="4" t="str">
        <f t="shared" si="13"/>
        <v>fxmisc - flowless - javafx</v>
      </c>
      <c r="B72" s="4" t="str">
        <f t="shared" ref="B72:B73" si="14">HYPERLINK("https://github.com/webfx-project/webfx", "webfx-project - webfx - javafx")</f>
        <v>webfx-project - webfx - javafx</v>
      </c>
      <c r="C72" s="5" t="s">
        <v>14</v>
      </c>
      <c r="D72" s="3">
        <v>3.0</v>
      </c>
      <c r="E72" s="5">
        <f t="shared" si="2"/>
        <v>1</v>
      </c>
      <c r="F72" s="5">
        <f t="shared" si="3"/>
        <v>1</v>
      </c>
    </row>
    <row r="73" ht="15.75" customHeight="1">
      <c r="A73" s="4" t="str">
        <f t="shared" si="13"/>
        <v>fxmisc - flowless - javafx</v>
      </c>
      <c r="B73" s="4" t="str">
        <f t="shared" si="14"/>
        <v>webfx-project - webfx - javafx</v>
      </c>
      <c r="C73" s="5" t="s">
        <v>17</v>
      </c>
      <c r="D73" s="3">
        <v>3.0</v>
      </c>
      <c r="E73" s="5">
        <f t="shared" si="2"/>
        <v>1</v>
      </c>
      <c r="F73" s="5">
        <f t="shared" si="3"/>
        <v>1</v>
      </c>
    </row>
    <row r="74" ht="15.75" customHeight="1">
      <c r="A74" s="4" t="str">
        <f t="shared" ref="A74:A85" si="15">HYPERLINK("https://github.com/fxmisc/richtextfx", "fxmisc - richtextfx - javafx")</f>
        <v>fxmisc - richtextfx - javafx</v>
      </c>
      <c r="B74" s="4" t="str">
        <f>HYPERLINK("https://github.com/0x4a616e/nsmenufx", "0x4a616e - nsmenufx - javafx")</f>
        <v>0x4a616e - nsmenufx - javafx</v>
      </c>
      <c r="C74" s="5" t="s">
        <v>9</v>
      </c>
      <c r="D74" s="3">
        <v>2.0</v>
      </c>
      <c r="E74" s="5">
        <f t="shared" si="2"/>
        <v>1</v>
      </c>
      <c r="F74" s="5">
        <f t="shared" si="3"/>
        <v>0</v>
      </c>
    </row>
    <row r="75" ht="15.75" customHeight="1">
      <c r="A75" s="4" t="str">
        <f t="shared" si="15"/>
        <v>fxmisc - richtextfx - javafx</v>
      </c>
      <c r="B75" s="4" t="str">
        <f>HYPERLINK("https://github.com/carlosrafaelgn/fplayandroid", "carlosrafaelgn - fplayandroid - android")</f>
        <v>carlosrafaelgn - fplayandroid - android</v>
      </c>
      <c r="C75" s="5" t="s">
        <v>15</v>
      </c>
      <c r="D75" s="3">
        <v>1.0</v>
      </c>
      <c r="E75" s="5">
        <f t="shared" si="2"/>
        <v>0</v>
      </c>
      <c r="F75" s="5">
        <f t="shared" si="3"/>
        <v>0</v>
      </c>
    </row>
    <row r="76" ht="15.75" customHeight="1">
      <c r="A76" s="4" t="str">
        <f t="shared" si="15"/>
        <v>fxmisc - richtextfx - javafx</v>
      </c>
      <c r="B76" s="4" t="str">
        <f>HYPERLINK("https://github.com/fjwright/run-reduce", "fjwright - run-reduce - javafx")</f>
        <v>fjwright - run-reduce - javafx</v>
      </c>
      <c r="C76" s="5" t="s">
        <v>10</v>
      </c>
      <c r="D76" s="3">
        <v>2.0</v>
      </c>
      <c r="E76" s="5">
        <f t="shared" si="2"/>
        <v>1</v>
      </c>
      <c r="F76" s="5">
        <f t="shared" si="3"/>
        <v>0</v>
      </c>
    </row>
    <row r="77" ht="15.75" customHeight="1">
      <c r="A77" s="4" t="str">
        <f t="shared" si="15"/>
        <v>fxmisc - richtextfx - javafx</v>
      </c>
      <c r="B77" s="4" t="str">
        <f>HYPERLINK("https://github.com/gluonhq/maps", "gluonhq - maps - javafx")</f>
        <v>gluonhq - maps - javafx</v>
      </c>
      <c r="C77" s="5" t="s">
        <v>13</v>
      </c>
      <c r="D77" s="3">
        <v>3.0</v>
      </c>
      <c r="E77" s="5">
        <f t="shared" si="2"/>
        <v>1</v>
      </c>
      <c r="F77" s="5">
        <f t="shared" si="3"/>
        <v>1</v>
      </c>
    </row>
    <row r="78" ht="15.75" customHeight="1">
      <c r="A78" s="4" t="str">
        <f t="shared" si="15"/>
        <v>fxmisc - richtextfx - javafx</v>
      </c>
      <c r="B78" s="4" t="str">
        <f>HYPERLINK("https://github.com/googlemaps/android-maps-utils", "googlemaps - android-maps-utils - android")</f>
        <v>googlemaps - android-maps-utils - android</v>
      </c>
      <c r="C78" s="5" t="s">
        <v>11</v>
      </c>
      <c r="D78" s="3">
        <v>1.0</v>
      </c>
      <c r="E78" s="5">
        <f t="shared" si="2"/>
        <v>0</v>
      </c>
      <c r="F78" s="5">
        <f t="shared" si="3"/>
        <v>0</v>
      </c>
    </row>
    <row r="79" ht="15.75" customHeight="1">
      <c r="A79" s="4" t="str">
        <f t="shared" si="15"/>
        <v>fxmisc - richtextfx - javafx</v>
      </c>
      <c r="B79" s="4" t="str">
        <f>HYPERLINK("https://github.com/iamgio/animated", "iamgio - animated - javafx")</f>
        <v>iamgio - animated - javafx</v>
      </c>
      <c r="C79" s="5" t="s">
        <v>12</v>
      </c>
      <c r="D79" s="3">
        <v>3.0</v>
      </c>
      <c r="E79" s="5">
        <f t="shared" si="2"/>
        <v>1</v>
      </c>
      <c r="F79" s="5">
        <f t="shared" si="3"/>
        <v>1</v>
      </c>
    </row>
    <row r="80" ht="15.75" customHeight="1">
      <c r="A80" s="4" t="str">
        <f t="shared" si="15"/>
        <v>fxmisc - richtextfx - javafx</v>
      </c>
      <c r="B80" s="4" t="str">
        <f>HYPERLINK("https://github.com/jfree/jfreechart", "jfree - jfreechart - javafx")</f>
        <v>jfree - jfreechart - javafx</v>
      </c>
      <c r="C80" s="5" t="s">
        <v>14</v>
      </c>
      <c r="D80" s="3">
        <v>3.0</v>
      </c>
      <c r="E80" s="5">
        <f t="shared" si="2"/>
        <v>1</v>
      </c>
      <c r="F80" s="5">
        <f t="shared" si="3"/>
        <v>1</v>
      </c>
    </row>
    <row r="81" ht="15.75" customHeight="1">
      <c r="A81" s="4" t="str">
        <f t="shared" si="15"/>
        <v>fxmisc - richtextfx - javafx</v>
      </c>
      <c r="B81" s="4" t="str">
        <f>HYPERLINK("https://github.com/joffrey-bion/fx-gson", "joffrey-bion - fx-gson - javafx")</f>
        <v>joffrey-bion - fx-gson - javafx</v>
      </c>
      <c r="C81" s="5" t="s">
        <v>16</v>
      </c>
      <c r="D81" s="3">
        <v>2.0</v>
      </c>
      <c r="E81" s="5">
        <f t="shared" si="2"/>
        <v>1</v>
      </c>
      <c r="F81" s="5">
        <f t="shared" si="3"/>
        <v>0</v>
      </c>
    </row>
    <row r="82" ht="15.75" customHeight="1">
      <c r="A82" s="4" t="str">
        <f t="shared" si="15"/>
        <v>fxmisc - richtextfx - javafx</v>
      </c>
      <c r="B82" s="4" t="str">
        <f>HYPERLINK("https://github.com/santulator/santulator", "santulator - santulator - javafx")</f>
        <v>santulator - santulator - javafx</v>
      </c>
      <c r="C82" s="5" t="s">
        <v>8</v>
      </c>
      <c r="D82" s="3">
        <v>2.0</v>
      </c>
      <c r="E82" s="5">
        <f t="shared" si="2"/>
        <v>1</v>
      </c>
      <c r="F82" s="5">
        <f t="shared" si="3"/>
        <v>0</v>
      </c>
    </row>
    <row r="83" ht="15.75" customHeight="1">
      <c r="A83" s="4" t="str">
        <f t="shared" si="15"/>
        <v>fxmisc - richtextfx - javafx</v>
      </c>
      <c r="B83" s="4" t="str">
        <f>HYPERLINK("https://github.com/teamdev-ip/jxbrowser-examples", "teamdev-ip - jxbrowser-examples - javafx")</f>
        <v>teamdev-ip - jxbrowser-examples - javafx</v>
      </c>
      <c r="C83" s="5" t="s">
        <v>17</v>
      </c>
      <c r="D83" s="3">
        <v>3.0</v>
      </c>
      <c r="E83" s="5">
        <f t="shared" si="2"/>
        <v>1</v>
      </c>
      <c r="F83" s="5">
        <f t="shared" si="3"/>
        <v>1</v>
      </c>
    </row>
    <row r="84" ht="15.75" customHeight="1">
      <c r="A84" s="4" t="str">
        <f t="shared" si="15"/>
        <v>fxmisc - richtextfx - javafx</v>
      </c>
      <c r="B84" s="4" t="str">
        <f>HYPERLINK("https://github.com/triplehelixprogramming/helixnavigator", "triplehelixprogramming - helixnavigator - javafx")</f>
        <v>triplehelixprogramming - helixnavigator - javafx</v>
      </c>
      <c r="C84" s="5" t="s">
        <v>7</v>
      </c>
      <c r="D84" s="3">
        <v>2.0</v>
      </c>
      <c r="E84" s="5">
        <f t="shared" si="2"/>
        <v>1</v>
      </c>
      <c r="F84" s="5">
        <f t="shared" si="3"/>
        <v>0</v>
      </c>
    </row>
    <row r="85" ht="15.75" customHeight="1">
      <c r="A85" s="4" t="str">
        <f t="shared" si="15"/>
        <v>fxmisc - richtextfx - javafx</v>
      </c>
      <c r="B85" s="4" t="str">
        <f>HYPERLINK("https://github.com/vocabhunter/vocabhunter", "vocabhunter - vocabhunter - javafx")</f>
        <v>vocabhunter - vocabhunter - javafx</v>
      </c>
      <c r="C85" s="5" t="s">
        <v>6</v>
      </c>
      <c r="D85" s="3">
        <v>2.0</v>
      </c>
      <c r="E85" s="5">
        <f t="shared" si="2"/>
        <v>1</v>
      </c>
      <c r="F85" s="5">
        <f t="shared" si="3"/>
        <v>0</v>
      </c>
    </row>
    <row r="86" ht="15.75" customHeight="1">
      <c r="A86" s="4" t="str">
        <f t="shared" ref="A86:A97" si="16">HYPERLINK("https://github.com/graphhopper/jsprit", "graphhopper - jsprit - algorithm")</f>
        <v>graphhopper - jsprit - algorithm</v>
      </c>
      <c r="B86" s="4" t="str">
        <f>HYPERLINK("https://github.com/b1urrrr/Algorithm-Study", "b1urrrr - Algorithm-Study - algorithm")</f>
        <v>b1urrrr - Algorithm-Study - algorithm</v>
      </c>
      <c r="C86" s="5" t="s">
        <v>6</v>
      </c>
      <c r="D86" s="3">
        <v>3.0</v>
      </c>
      <c r="E86" s="5">
        <f t="shared" si="2"/>
        <v>1</v>
      </c>
      <c r="F86" s="5">
        <f t="shared" si="3"/>
        <v>1</v>
      </c>
    </row>
    <row r="87" ht="15.75" customHeight="1">
      <c r="A87" s="4" t="str">
        <f t="shared" si="16"/>
        <v>graphhopper - jsprit - algorithm</v>
      </c>
      <c r="B87" s="4" t="str">
        <f>HYPERLINK("https://github.com/bumptech/glide", "bumptech - glide - android")</f>
        <v>bumptech - glide - android</v>
      </c>
      <c r="C87" s="5" t="s">
        <v>9</v>
      </c>
      <c r="D87" s="3">
        <v>1.0</v>
      </c>
      <c r="E87" s="5">
        <f t="shared" si="2"/>
        <v>0</v>
      </c>
      <c r="F87" s="5">
        <f t="shared" si="3"/>
        <v>0</v>
      </c>
    </row>
    <row r="88" ht="15.75" customHeight="1">
      <c r="A88" s="4" t="str">
        <f t="shared" si="16"/>
        <v>graphhopper - jsprit - algorithm</v>
      </c>
      <c r="B88" s="4" t="str">
        <f>HYPERLINK("https://github.com/cirdles/squid", "cirdles - squid - javafx")</f>
        <v>cirdles - squid - javafx</v>
      </c>
      <c r="C88" s="5" t="s">
        <v>7</v>
      </c>
      <c r="D88" s="3">
        <v>1.0</v>
      </c>
      <c r="E88" s="5">
        <f t="shared" si="2"/>
        <v>0</v>
      </c>
      <c r="F88" s="5">
        <f t="shared" si="3"/>
        <v>0</v>
      </c>
    </row>
    <row r="89" ht="15.75" customHeight="1">
      <c r="A89" s="4" t="str">
        <f t="shared" si="16"/>
        <v>graphhopper - jsprit - algorithm</v>
      </c>
      <c r="B89" s="4" t="str">
        <f>HYPERLINK("https://github.com/gdut-yy/leetcode-hub-java", "gdut-yy - leetcode-hub-java - algorithm")</f>
        <v>gdut-yy - leetcode-hub-java - algorithm</v>
      </c>
      <c r="C89" s="5" t="s">
        <v>11</v>
      </c>
      <c r="D89" s="3">
        <v>3.0</v>
      </c>
      <c r="E89" s="5">
        <f t="shared" si="2"/>
        <v>1</v>
      </c>
      <c r="F89" s="5">
        <f t="shared" si="3"/>
        <v>1</v>
      </c>
    </row>
    <row r="90" ht="15.75" customHeight="1">
      <c r="A90" s="4" t="str">
        <f t="shared" si="16"/>
        <v>graphhopper - jsprit - algorithm</v>
      </c>
      <c r="B90" s="4" t="str">
        <f>HYPERLINK("https://github.com/jelmerk/hnswlib", "jelmerk - hnswlib - algorithm")</f>
        <v>jelmerk - hnswlib - algorithm</v>
      </c>
      <c r="C90" s="5" t="s">
        <v>15</v>
      </c>
      <c r="D90" s="3">
        <v>3.0</v>
      </c>
      <c r="E90" s="5">
        <f t="shared" si="2"/>
        <v>1</v>
      </c>
      <c r="F90" s="5">
        <f t="shared" si="3"/>
        <v>1</v>
      </c>
    </row>
    <row r="91" ht="15.75" customHeight="1">
      <c r="A91" s="4" t="str">
        <f t="shared" si="16"/>
        <v>graphhopper - jsprit - algorithm</v>
      </c>
      <c r="B91" s="4" t="str">
        <f>HYPERLINK("https://github.com/joffrey-bion/fx-gson", "joffrey-bion - fx-gson - javafx")</f>
        <v>joffrey-bion - fx-gson - javafx</v>
      </c>
      <c r="C91" s="5" t="s">
        <v>8</v>
      </c>
      <c r="D91" s="3">
        <v>1.0</v>
      </c>
      <c r="E91" s="5">
        <f t="shared" si="2"/>
        <v>0</v>
      </c>
      <c r="F91" s="5">
        <f t="shared" si="3"/>
        <v>0</v>
      </c>
    </row>
    <row r="92" ht="15.75" customHeight="1">
      <c r="A92" s="4" t="str">
        <f t="shared" si="16"/>
        <v>graphhopper - jsprit - algorithm</v>
      </c>
      <c r="B92" s="4" t="str">
        <f>HYPERLINK("https://github.com/microg/unifiednlp", "microg - unifiednlp - android")</f>
        <v>microg - unifiednlp - android</v>
      </c>
      <c r="C92" s="5" t="s">
        <v>13</v>
      </c>
      <c r="D92" s="3">
        <v>1.0</v>
      </c>
      <c r="E92" s="5">
        <f t="shared" si="2"/>
        <v>0</v>
      </c>
      <c r="F92" s="5">
        <f t="shared" si="3"/>
        <v>0</v>
      </c>
    </row>
    <row r="93" ht="15.75" customHeight="1">
      <c r="A93" s="4" t="str">
        <f t="shared" si="16"/>
        <v>graphhopper - jsprit - algorithm</v>
      </c>
      <c r="B93" s="4" t="str">
        <f>HYPERLINK("https://github.com/optimatika/ojalgo", "optimatika - ojalgo - algorithm")</f>
        <v>optimatika - ojalgo - algorithm</v>
      </c>
      <c r="C93" s="5" t="s">
        <v>10</v>
      </c>
      <c r="D93" s="3">
        <v>2.0</v>
      </c>
      <c r="E93" s="5">
        <f t="shared" si="2"/>
        <v>1</v>
      </c>
      <c r="F93" s="5">
        <f t="shared" si="3"/>
        <v>0</v>
      </c>
    </row>
    <row r="94" ht="15.75" customHeight="1">
      <c r="A94" s="4" t="str">
        <f t="shared" si="16"/>
        <v>graphhopper - jsprit - algorithm</v>
      </c>
      <c r="B94" s="4" t="str">
        <f>HYPERLINK("https://github.com/osandadeshan/maxsoft-intelliapi", "osandadeshan - maxsoft-intelliapi - rest-api")</f>
        <v>osandadeshan - maxsoft-intelliapi - rest-api</v>
      </c>
      <c r="C94" s="5" t="s">
        <v>14</v>
      </c>
      <c r="D94" s="3">
        <v>1.0</v>
      </c>
      <c r="E94" s="5">
        <f t="shared" si="2"/>
        <v>0</v>
      </c>
      <c r="F94" s="5">
        <f t="shared" si="3"/>
        <v>0</v>
      </c>
    </row>
    <row r="95" ht="15.75" customHeight="1">
      <c r="A95" s="4" t="str">
        <f t="shared" si="16"/>
        <v>graphhopper - jsprit - algorithm</v>
      </c>
      <c r="B95" s="4" t="str">
        <f>HYPERLINK("https://github.com/piomin/sample-microservices-protobuf", "piomin - sample-microservices-protobuf - rest-api")</f>
        <v>piomin - sample-microservices-protobuf - rest-api</v>
      </c>
      <c r="C95" s="5" t="s">
        <v>17</v>
      </c>
      <c r="D95" s="3">
        <v>1.0</v>
      </c>
      <c r="E95" s="5">
        <f t="shared" si="2"/>
        <v>0</v>
      </c>
      <c r="F95" s="5">
        <f t="shared" si="3"/>
        <v>0</v>
      </c>
    </row>
    <row r="96" ht="15.75" customHeight="1">
      <c r="A96" s="4" t="str">
        <f t="shared" si="16"/>
        <v>graphhopper - jsprit - algorithm</v>
      </c>
      <c r="B96" s="4" t="str">
        <f>HYPERLINK("https://github.com/querz/mcaselector", "querz - mcaselector - javafx")</f>
        <v>querz - mcaselector - javafx</v>
      </c>
      <c r="C96" s="5" t="s">
        <v>16</v>
      </c>
      <c r="D96" s="3">
        <v>1.0</v>
      </c>
      <c r="E96" s="5">
        <f t="shared" si="2"/>
        <v>0</v>
      </c>
      <c r="F96" s="5">
        <f t="shared" si="3"/>
        <v>0</v>
      </c>
    </row>
    <row r="97" ht="15.75" customHeight="1">
      <c r="A97" s="4" t="str">
        <f t="shared" si="16"/>
        <v>graphhopper - jsprit - algorithm</v>
      </c>
      <c r="B97" s="4" t="str">
        <f>HYPERLINK("https://github.com/redfx-quantum/strangefx", "redfx-quantum - strangefx - javafx")</f>
        <v>redfx-quantum - strangefx - javafx</v>
      </c>
      <c r="C97" s="5" t="s">
        <v>12</v>
      </c>
      <c r="D97" s="3">
        <v>1.0</v>
      </c>
      <c r="E97" s="5">
        <f t="shared" si="2"/>
        <v>0</v>
      </c>
      <c r="F97" s="5">
        <f t="shared" si="3"/>
        <v>0</v>
      </c>
    </row>
    <row r="98" ht="15.75" customHeight="1">
      <c r="A98" s="4" t="str">
        <f t="shared" ref="A98:A109" si="17">HYPERLINK("https://github.com/iandarwin/android-cookbook-examples", "iandarwin - android-cookbook-examples - android")</f>
        <v>iandarwin - android-cookbook-examples - android</v>
      </c>
      <c r="B98" s="4" t="str">
        <f>HYPERLINK("https://github.com/billthefarmer/tuner", "billthefarmer - tuner - android")</f>
        <v>billthefarmer - tuner - android</v>
      </c>
      <c r="C98" s="5" t="s">
        <v>15</v>
      </c>
      <c r="D98" s="3">
        <v>2.0</v>
      </c>
      <c r="E98" s="5">
        <f t="shared" si="2"/>
        <v>1</v>
      </c>
      <c r="F98" s="5">
        <f t="shared" si="3"/>
        <v>0</v>
      </c>
    </row>
    <row r="99" ht="15.75" customHeight="1">
      <c r="A99" s="4" t="str">
        <f t="shared" si="17"/>
        <v>iandarwin - android-cookbook-examples - android</v>
      </c>
      <c r="B99" s="4" t="str">
        <f>HYPERLINK("https://github.com/gentlecat/opennms-android-client", "gentlecat - opennms-android-client - android")</f>
        <v>gentlecat - opennms-android-client - android</v>
      </c>
      <c r="C99" s="5" t="s">
        <v>7</v>
      </c>
      <c r="D99" s="3">
        <v>2.0</v>
      </c>
      <c r="E99" s="5">
        <f t="shared" si="2"/>
        <v>1</v>
      </c>
      <c r="F99" s="5">
        <f t="shared" si="3"/>
        <v>0</v>
      </c>
    </row>
    <row r="100" ht="15.75" customHeight="1">
      <c r="A100" s="4" t="str">
        <f t="shared" si="17"/>
        <v>iandarwin - android-cookbook-examples - android</v>
      </c>
      <c r="B100" s="4" t="str">
        <f>HYPERLINK("https://github.com/jimseker/bluetooth", "jimseker - bluetooth - android")</f>
        <v>jimseker - bluetooth - android</v>
      </c>
      <c r="C100" s="5" t="s">
        <v>6</v>
      </c>
      <c r="D100" s="3">
        <v>3.0</v>
      </c>
      <c r="E100" s="5">
        <f t="shared" si="2"/>
        <v>1</v>
      </c>
      <c r="F100" s="5">
        <f t="shared" si="3"/>
        <v>1</v>
      </c>
    </row>
    <row r="101" ht="15.75" customHeight="1">
      <c r="A101" s="4" t="str">
        <f t="shared" si="17"/>
        <v>iandarwin - android-cookbook-examples - android</v>
      </c>
      <c r="B101" s="4" t="str">
        <f>HYPERLINK("https://github.com/nextcloud/news-android", "nextcloud - news-android - android")</f>
        <v>nextcloud - news-android - android</v>
      </c>
      <c r="C101" s="5" t="s">
        <v>10</v>
      </c>
      <c r="D101" s="3">
        <v>2.0</v>
      </c>
      <c r="E101" s="5">
        <f t="shared" si="2"/>
        <v>1</v>
      </c>
      <c r="F101" s="5">
        <f t="shared" si="3"/>
        <v>0</v>
      </c>
    </row>
    <row r="102" ht="15.75" customHeight="1">
      <c r="A102" s="4" t="str">
        <f t="shared" si="17"/>
        <v>iandarwin - android-cookbook-examples - android</v>
      </c>
      <c r="B102" s="4" t="str">
        <f>HYPERLINK("https://github.com/nvdweem/pcpanel", "nvdweem - pcpanel - javafx")</f>
        <v>nvdweem - pcpanel - javafx</v>
      </c>
      <c r="C102" s="5" t="s">
        <v>14</v>
      </c>
      <c r="D102" s="3">
        <v>2.0</v>
      </c>
      <c r="E102" s="5">
        <f t="shared" si="2"/>
        <v>0</v>
      </c>
      <c r="F102" s="5">
        <f t="shared" si="3"/>
        <v>0</v>
      </c>
    </row>
    <row r="103" ht="15.75" customHeight="1">
      <c r="A103" s="4" t="str">
        <f t="shared" si="17"/>
        <v>iandarwin - android-cookbook-examples - android</v>
      </c>
      <c r="B103" s="4" t="str">
        <f>HYPERLINK("https://github.com/open-keychain/open-keychain", "open-keychain - open-keychain - android")</f>
        <v>open-keychain - open-keychain - android</v>
      </c>
      <c r="C103" s="5" t="s">
        <v>9</v>
      </c>
      <c r="D103" s="3">
        <v>2.0</v>
      </c>
      <c r="E103" s="5">
        <f t="shared" si="2"/>
        <v>1</v>
      </c>
      <c r="F103" s="5">
        <f t="shared" si="3"/>
        <v>0</v>
      </c>
    </row>
    <row r="104" ht="15.75" customHeight="1">
      <c r="A104" s="4" t="str">
        <f t="shared" si="17"/>
        <v>iandarwin - android-cookbook-examples - android</v>
      </c>
      <c r="B104" s="4" t="str">
        <f>HYPERLINK("https://github.com/stacktipslab/android-ui-tutorials", "stacktipslab - android-ui-tutorials - android")</f>
        <v>stacktipslab - android-ui-tutorials - android</v>
      </c>
      <c r="C104" s="5" t="s">
        <v>12</v>
      </c>
      <c r="D104" s="3">
        <v>4.0</v>
      </c>
      <c r="E104" s="5">
        <f t="shared" si="2"/>
        <v>1</v>
      </c>
      <c r="F104" s="5">
        <f t="shared" si="3"/>
        <v>1</v>
      </c>
    </row>
    <row r="105" ht="15.75" customHeight="1">
      <c r="A105" s="4" t="str">
        <f t="shared" si="17"/>
        <v>iandarwin - android-cookbook-examples - android</v>
      </c>
      <c r="B105" s="4" t="str">
        <f t="shared" ref="B105:B107" si="18">HYPERLINK("https://github.com/syncthing/syncthing-android", "syncthing - syncthing-android - android")</f>
        <v>syncthing - syncthing-android - android</v>
      </c>
      <c r="C105" s="5" t="s">
        <v>8</v>
      </c>
      <c r="D105" s="3">
        <v>2.0</v>
      </c>
      <c r="E105" s="5">
        <f t="shared" si="2"/>
        <v>1</v>
      </c>
      <c r="F105" s="5">
        <f t="shared" si="3"/>
        <v>0</v>
      </c>
    </row>
    <row r="106" ht="15.75" customHeight="1">
      <c r="A106" s="4" t="str">
        <f t="shared" si="17"/>
        <v>iandarwin - android-cookbook-examples - android</v>
      </c>
      <c r="B106" s="4" t="str">
        <f t="shared" si="18"/>
        <v>syncthing - syncthing-android - android</v>
      </c>
      <c r="C106" s="5" t="s">
        <v>17</v>
      </c>
      <c r="D106" s="3">
        <v>2.0</v>
      </c>
      <c r="E106" s="5">
        <f t="shared" si="2"/>
        <v>1</v>
      </c>
      <c r="F106" s="5">
        <f t="shared" si="3"/>
        <v>0</v>
      </c>
    </row>
    <row r="107" ht="15.75" customHeight="1">
      <c r="A107" s="4" t="str">
        <f t="shared" si="17"/>
        <v>iandarwin - android-cookbook-examples - android</v>
      </c>
      <c r="B107" s="4" t="str">
        <f t="shared" si="18"/>
        <v>syncthing - syncthing-android - android</v>
      </c>
      <c r="C107" s="5" t="s">
        <v>13</v>
      </c>
      <c r="D107" s="3">
        <v>2.0</v>
      </c>
      <c r="E107" s="5">
        <f t="shared" si="2"/>
        <v>1</v>
      </c>
      <c r="F107" s="5">
        <f t="shared" si="3"/>
        <v>0</v>
      </c>
    </row>
    <row r="108" ht="15.75" customHeight="1">
      <c r="A108" s="4" t="str">
        <f t="shared" si="17"/>
        <v>iandarwin - android-cookbook-examples - android</v>
      </c>
      <c r="B108" s="4" t="str">
        <f>HYPERLINK("https://github.com/tambapps/p2p-file-sharing", "tambapps - p2p-file-sharing - javafx")</f>
        <v>tambapps - p2p-file-sharing - javafx</v>
      </c>
      <c r="C108" s="5" t="s">
        <v>11</v>
      </c>
      <c r="D108" s="3">
        <v>1.0</v>
      </c>
      <c r="E108" s="5">
        <f t="shared" si="2"/>
        <v>0</v>
      </c>
      <c r="F108" s="5">
        <f t="shared" si="3"/>
        <v>0</v>
      </c>
    </row>
    <row r="109" ht="15.75" customHeight="1">
      <c r="A109" s="4" t="str">
        <f t="shared" si="17"/>
        <v>iandarwin - android-cookbook-examples - android</v>
      </c>
      <c r="B109" s="4" t="str">
        <f>HYPERLINK("https://github.com/uwetrottmann/tmdb-java", "uwetrottmann - tmdb-java - android")</f>
        <v>uwetrottmann - tmdb-java - android</v>
      </c>
      <c r="C109" s="5" t="s">
        <v>16</v>
      </c>
      <c r="D109" s="3">
        <v>2.0</v>
      </c>
      <c r="E109" s="5">
        <f t="shared" si="2"/>
        <v>1</v>
      </c>
      <c r="F109" s="5">
        <f t="shared" si="3"/>
        <v>0</v>
      </c>
    </row>
    <row r="110" ht="15.75" customHeight="1">
      <c r="A110" s="4" t="str">
        <f t="shared" ref="A110:A121" si="19">HYPERLINK("https://github.com/insightsplugin/insights", "insightsplugin - insights - minecraft-plugin")</f>
        <v>insightsplugin - insights - minecraft-plugin</v>
      </c>
      <c r="B110" s="4" t="str">
        <f>HYPERLINK("https://github.com/apavarino/deadchest", "apavarino - deadchest - minecraft-plugin")</f>
        <v>apavarino - deadchest - minecraft-plugin</v>
      </c>
      <c r="C110" s="5" t="s">
        <v>7</v>
      </c>
      <c r="D110" s="3">
        <v>3.0</v>
      </c>
      <c r="E110" s="5">
        <f t="shared" si="2"/>
        <v>1</v>
      </c>
      <c r="F110" s="5">
        <f t="shared" si="3"/>
        <v>1</v>
      </c>
    </row>
    <row r="111" ht="15.75" customHeight="1">
      <c r="A111" s="4" t="str">
        <f t="shared" si="19"/>
        <v>insightsplugin - insights - minecraft-plugin</v>
      </c>
      <c r="B111" s="4" t="str">
        <f>HYPERLINK("https://github.com/arcaneplugins/levelledmobs", "arcaneplugins - levelledmobs - minecraft-plugin")</f>
        <v>arcaneplugins - levelledmobs - minecraft-plugin</v>
      </c>
      <c r="C111" s="5" t="s">
        <v>12</v>
      </c>
      <c r="D111" s="3">
        <v>3.0</v>
      </c>
      <c r="E111" s="5">
        <f t="shared" si="2"/>
        <v>1</v>
      </c>
      <c r="F111" s="5">
        <f t="shared" si="3"/>
        <v>1</v>
      </c>
    </row>
    <row r="112" ht="15.75" customHeight="1">
      <c r="A112" s="4" t="str">
        <f t="shared" si="19"/>
        <v>insightsplugin - insights - minecraft-plugin</v>
      </c>
      <c r="B112" s="4" t="str">
        <f>HYPERLINK("https://github.com/cerus/maps", "cerus - maps - minecraft-plugin")</f>
        <v>cerus - maps - minecraft-plugin</v>
      </c>
      <c r="C112" s="5" t="s">
        <v>16</v>
      </c>
      <c r="D112" s="3">
        <v>3.0</v>
      </c>
      <c r="E112" s="5">
        <f t="shared" si="2"/>
        <v>1</v>
      </c>
      <c r="F112" s="5">
        <f t="shared" si="3"/>
        <v>1</v>
      </c>
    </row>
    <row r="113" ht="15.75" customHeight="1">
      <c r="A113" s="4" t="str">
        <f t="shared" si="19"/>
        <v>insightsplugin - insights - minecraft-plugin</v>
      </c>
      <c r="B113" s="4" t="str">
        <f>HYPERLINK("https://github.com/dailystruggle/rtp", "dailystruggle - rtp - minecraft-plugin")</f>
        <v>dailystruggle - rtp - minecraft-plugin</v>
      </c>
      <c r="C113" s="5" t="s">
        <v>13</v>
      </c>
      <c r="D113" s="3">
        <v>3.0</v>
      </c>
      <c r="E113" s="5">
        <f t="shared" si="2"/>
        <v>1</v>
      </c>
      <c r="F113" s="5">
        <f t="shared" si="3"/>
        <v>1</v>
      </c>
    </row>
    <row r="114" ht="15.75" customHeight="1">
      <c r="A114" s="4" t="str">
        <f t="shared" si="19"/>
        <v>insightsplugin - insights - minecraft-plugin</v>
      </c>
      <c r="B114" s="4" t="str">
        <f>HYPERLINK("https://github.com/derfrzocker/custom-ore-generator", "derfrzocker - custom-ore-generator - minecraft-plugin")</f>
        <v>derfrzocker - custom-ore-generator - minecraft-plugin</v>
      </c>
      <c r="C114" s="5" t="s">
        <v>10</v>
      </c>
      <c r="D114" s="3">
        <v>3.0</v>
      </c>
      <c r="E114" s="5">
        <f t="shared" si="2"/>
        <v>1</v>
      </c>
      <c r="F114" s="5">
        <f t="shared" si="3"/>
        <v>1</v>
      </c>
    </row>
    <row r="115" ht="15.75" customHeight="1">
      <c r="A115" s="4" t="str">
        <f t="shared" si="19"/>
        <v>insightsplugin - insights - minecraft-plugin</v>
      </c>
      <c r="B115" s="4" t="str">
        <f>HYPERLINK("https://github.com/hexaoxide/carbon", "hexaoxide - carbon - minecraft-plugin")</f>
        <v>hexaoxide - carbon - minecraft-plugin</v>
      </c>
      <c r="C115" s="5" t="s">
        <v>15</v>
      </c>
      <c r="D115" s="3">
        <v>3.0</v>
      </c>
      <c r="E115" s="5">
        <f t="shared" si="2"/>
        <v>1</v>
      </c>
      <c r="F115" s="5">
        <f t="shared" si="3"/>
        <v>1</v>
      </c>
    </row>
    <row r="116" ht="15.75" customHeight="1">
      <c r="A116" s="4" t="str">
        <f t="shared" si="19"/>
        <v>insightsplugin - insights - minecraft-plugin</v>
      </c>
      <c r="B116" s="4" t="str">
        <f>HYPERLINK("https://github.com/jpenilla/squaremap", "jpenilla - squaremap - minecraft-plugin")</f>
        <v>jpenilla - squaremap - minecraft-plugin</v>
      </c>
      <c r="C116" s="5" t="s">
        <v>14</v>
      </c>
      <c r="D116" s="3">
        <v>4.0</v>
      </c>
      <c r="E116" s="5">
        <f t="shared" si="2"/>
        <v>1</v>
      </c>
      <c r="F116" s="5">
        <f t="shared" si="3"/>
        <v>1</v>
      </c>
    </row>
    <row r="117" ht="15.75" customHeight="1">
      <c r="A117" s="4" t="str">
        <f t="shared" si="19"/>
        <v>insightsplugin - insights - minecraft-plugin</v>
      </c>
      <c r="B117" s="4" t="str">
        <f>HYPERLINK("https://github.com/kernitus/bukkitoldcombatmechanics", "kernitus - bukkitoldcombatmechanics - minecraft-plugin")</f>
        <v>kernitus - bukkitoldcombatmechanics - minecraft-plugin</v>
      </c>
      <c r="C117" s="5" t="s">
        <v>6</v>
      </c>
      <c r="D117" s="3">
        <v>3.0</v>
      </c>
      <c r="E117" s="5">
        <f t="shared" si="2"/>
        <v>1</v>
      </c>
      <c r="F117" s="5">
        <f t="shared" si="3"/>
        <v>1</v>
      </c>
    </row>
    <row r="118" ht="15.75" customHeight="1">
      <c r="A118" s="4" t="str">
        <f t="shared" si="19"/>
        <v>insightsplugin - insights - minecraft-plugin</v>
      </c>
      <c r="B118" s="4" t="str">
        <f>HYPERLINK("https://github.com/magiccheese1/damage-indicator", "magiccheese1 - damage-indicator - minecraft-plugin")</f>
        <v>magiccheese1 - damage-indicator - minecraft-plugin</v>
      </c>
      <c r="C118" s="5" t="s">
        <v>17</v>
      </c>
      <c r="D118" s="3">
        <v>3.0</v>
      </c>
      <c r="E118" s="5">
        <f t="shared" si="2"/>
        <v>1</v>
      </c>
      <c r="F118" s="5">
        <f t="shared" si="3"/>
        <v>1</v>
      </c>
    </row>
    <row r="119" ht="15.75" customHeight="1">
      <c r="A119" s="4" t="str">
        <f t="shared" si="19"/>
        <v>insightsplugin - insights - minecraft-plugin</v>
      </c>
      <c r="B119" s="4" t="str">
        <f>HYPERLINK("https://github.com/marcusslover/plus", "marcusslover - plus - minecraft-plugin")</f>
        <v>marcusslover - plus - minecraft-plugin</v>
      </c>
      <c r="C119" s="5" t="s">
        <v>8</v>
      </c>
      <c r="D119" s="3">
        <v>2.0</v>
      </c>
      <c r="E119" s="5">
        <f t="shared" si="2"/>
        <v>1</v>
      </c>
      <c r="F119" s="5">
        <f t="shared" si="3"/>
        <v>0</v>
      </c>
    </row>
    <row r="120" ht="15.75" customHeight="1">
      <c r="A120" s="4" t="str">
        <f t="shared" si="19"/>
        <v>insightsplugin - insights - minecraft-plugin</v>
      </c>
      <c r="B120" s="4" t="str">
        <f>HYPERLINK("https://github.com/mouse0w0/law", "mouse0w0 - law - minecraft-plugin")</f>
        <v>mouse0w0 - law - minecraft-plugin</v>
      </c>
      <c r="C120" s="5" t="s">
        <v>11</v>
      </c>
      <c r="D120" s="3">
        <v>4.0</v>
      </c>
      <c r="E120" s="5">
        <f t="shared" si="2"/>
        <v>1</v>
      </c>
      <c r="F120" s="5">
        <f t="shared" si="3"/>
        <v>1</v>
      </c>
    </row>
    <row r="121" ht="15.75" customHeight="1">
      <c r="A121" s="4" t="str">
        <f t="shared" si="19"/>
        <v>insightsplugin - insights - minecraft-plugin</v>
      </c>
      <c r="B121" s="4" t="str">
        <f>HYPERLINK("https://github.com/updated-nocheatplus/nocheatplus", "updated-nocheatplus - nocheatplus - minecraft-plugin")</f>
        <v>updated-nocheatplus - nocheatplus - minecraft-plugin</v>
      </c>
      <c r="C121" s="5" t="s">
        <v>9</v>
      </c>
      <c r="D121" s="3">
        <v>3.0</v>
      </c>
      <c r="E121" s="5">
        <f t="shared" si="2"/>
        <v>1</v>
      </c>
      <c r="F121" s="5">
        <f t="shared" si="3"/>
        <v>1</v>
      </c>
    </row>
    <row r="122" ht="15.75" customHeight="1">
      <c r="A122" s="4" t="str">
        <f t="shared" ref="A122:A133" si="20">HYPERLINK("https://github.com/jenkinsci/graphql-server-plugin", "jenkinsci - graphql-server-plugin - rest-api")</f>
        <v>jenkinsci - graphql-server-plugin - rest-api</v>
      </c>
      <c r="B122" s="4" t="str">
        <f>HYPERLINK("https://github.com/castlemock/castlemock", "castlemock - castlemock - rest-api")</f>
        <v>castlemock - castlemock - rest-api</v>
      </c>
      <c r="C122" s="5" t="s">
        <v>15</v>
      </c>
      <c r="D122" s="3">
        <v>2.0</v>
      </c>
      <c r="E122" s="5">
        <f t="shared" si="2"/>
        <v>1</v>
      </c>
      <c r="F122" s="5">
        <f t="shared" si="3"/>
        <v>0</v>
      </c>
    </row>
    <row r="123" ht="15.75" customHeight="1">
      <c r="A123" s="4" t="str">
        <f t="shared" si="20"/>
        <v>jenkinsci - graphql-server-plugin - rest-api</v>
      </c>
      <c r="B123" s="4" t="str">
        <f>HYPERLINK("https://github.com/cdancy/jenkins-rest", "cdancy - jenkins-rest - rest-api")</f>
        <v>cdancy - jenkins-rest - rest-api</v>
      </c>
      <c r="C123" s="5" t="s">
        <v>8</v>
      </c>
      <c r="D123" s="3">
        <v>3.0</v>
      </c>
      <c r="E123" s="5">
        <f t="shared" si="2"/>
        <v>1</v>
      </c>
      <c r="F123" s="5">
        <f t="shared" si="3"/>
        <v>1</v>
      </c>
    </row>
    <row r="124" ht="15.75" customHeight="1">
      <c r="A124" s="4" t="str">
        <f t="shared" si="20"/>
        <v>jenkinsci - graphql-server-plugin - rest-api</v>
      </c>
      <c r="B124" s="4" t="str">
        <f>HYPERLINK("https://github.com/chesterbr/minitruco-android", "chesterbr - minitruco-android - android")</f>
        <v>chesterbr - minitruco-android - android</v>
      </c>
      <c r="C124" s="5" t="s">
        <v>16</v>
      </c>
      <c r="D124" s="3">
        <v>1.0</v>
      </c>
      <c r="E124" s="5">
        <f t="shared" si="2"/>
        <v>0</v>
      </c>
      <c r="F124" s="5">
        <f t="shared" si="3"/>
        <v>0</v>
      </c>
    </row>
    <row r="125" ht="15.75" customHeight="1">
      <c r="A125" s="4" t="str">
        <f t="shared" si="20"/>
        <v>jenkinsci - graphql-server-plugin - rest-api</v>
      </c>
      <c r="B125" s="4" t="str">
        <f>HYPERLINK("https://github.com/confluentinc/kafka-rest", "confluentinc - kafka-rest - rest-api")</f>
        <v>confluentinc - kafka-rest - rest-api</v>
      </c>
      <c r="C125" s="5" t="s">
        <v>11</v>
      </c>
      <c r="D125" s="3">
        <v>3.0</v>
      </c>
      <c r="E125" s="5">
        <f t="shared" si="2"/>
        <v>1</v>
      </c>
      <c r="F125" s="5">
        <f t="shared" si="3"/>
        <v>1</v>
      </c>
    </row>
    <row r="126" ht="15.75" customHeight="1">
      <c r="A126" s="4" t="str">
        <f t="shared" si="20"/>
        <v>jenkinsci - graphql-server-plugin - rest-api</v>
      </c>
      <c r="B126" s="4" t="str">
        <f>HYPERLINK("https://github.com/confluentinc/schema-registry", "confluentinc - schema-registry - rest-api")</f>
        <v>confluentinc - schema-registry - rest-api</v>
      </c>
      <c r="C126" s="5" t="s">
        <v>9</v>
      </c>
      <c r="D126" s="3">
        <v>2.0</v>
      </c>
      <c r="E126" s="5">
        <f t="shared" si="2"/>
        <v>1</v>
      </c>
      <c r="F126" s="5">
        <f t="shared" si="3"/>
        <v>0</v>
      </c>
    </row>
    <row r="127" ht="15.75" customHeight="1">
      <c r="A127" s="4" t="str">
        <f t="shared" si="20"/>
        <v>jenkinsci - graphql-server-plugin - rest-api</v>
      </c>
      <c r="B127" s="4" t="str">
        <f>HYPERLINK("https://github.com/dmx-systems/dmx-platform", "dmx-systems - dmx-platform - rest-api")</f>
        <v>dmx-systems - dmx-platform - rest-api</v>
      </c>
      <c r="C127" s="5" t="s">
        <v>7</v>
      </c>
      <c r="D127" s="3">
        <v>2.0</v>
      </c>
      <c r="E127" s="5">
        <f t="shared" si="2"/>
        <v>1</v>
      </c>
      <c r="F127" s="5">
        <f t="shared" si="3"/>
        <v>0</v>
      </c>
    </row>
    <row r="128" ht="15.75" customHeight="1">
      <c r="A128" s="4" t="str">
        <f t="shared" si="20"/>
        <v>jenkinsci - graphql-server-plugin - rest-api</v>
      </c>
      <c r="B128" s="4" t="str">
        <f>HYPERLINK("https://github.com/isa-group/restest", "isa-group - restest - rest-api")</f>
        <v>isa-group - restest - rest-api</v>
      </c>
      <c r="C128" s="5" t="s">
        <v>14</v>
      </c>
      <c r="D128" s="3">
        <v>2.0</v>
      </c>
      <c r="E128" s="5">
        <f t="shared" si="2"/>
        <v>1</v>
      </c>
      <c r="F128" s="5">
        <f t="shared" si="3"/>
        <v>0</v>
      </c>
    </row>
    <row r="129" ht="15.75" customHeight="1">
      <c r="A129" s="4" t="str">
        <f t="shared" si="20"/>
        <v>jenkinsci - graphql-server-plugin - rest-api</v>
      </c>
      <c r="B129" s="4" t="str">
        <f>HYPERLINK("https://github.com/katsutedev/mal4j", "katsutedev - mal4j - rest-api")</f>
        <v>katsutedev - mal4j - rest-api</v>
      </c>
      <c r="C129" s="5" t="s">
        <v>6</v>
      </c>
      <c r="D129" s="3">
        <v>2.0</v>
      </c>
      <c r="E129" s="5">
        <f t="shared" si="2"/>
        <v>1</v>
      </c>
      <c r="F129" s="5">
        <f t="shared" si="3"/>
        <v>0</v>
      </c>
    </row>
    <row r="130" ht="15.75" customHeight="1">
      <c r="A130" s="4" t="str">
        <f t="shared" si="20"/>
        <v>jenkinsci - graphql-server-plugin - rest-api</v>
      </c>
      <c r="B130" s="4" t="str">
        <f>HYPERLINK("https://github.com/martingeisse/grumpyrest", "martingeisse - grumpyrest - rest-api")</f>
        <v>martingeisse - grumpyrest - rest-api</v>
      </c>
      <c r="C130" s="5" t="s">
        <v>10</v>
      </c>
      <c r="D130" s="3">
        <v>3.0</v>
      </c>
      <c r="E130" s="5">
        <f t="shared" si="2"/>
        <v>1</v>
      </c>
      <c r="F130" s="5">
        <f t="shared" si="3"/>
        <v>1</v>
      </c>
    </row>
    <row r="131" ht="15.75" customHeight="1">
      <c r="A131" s="4" t="str">
        <f t="shared" si="20"/>
        <v>jenkinsci - graphql-server-plugin - rest-api</v>
      </c>
      <c r="B131" s="4" t="str">
        <f>HYPERLINK("https://github.com/networknt/light-rest-4j", "networknt - light-rest-4j - rest-api")</f>
        <v>networknt - light-rest-4j - rest-api</v>
      </c>
      <c r="C131" s="5" t="s">
        <v>17</v>
      </c>
      <c r="D131" s="3">
        <v>2.0</v>
      </c>
      <c r="E131" s="5">
        <f t="shared" si="2"/>
        <v>1</v>
      </c>
      <c r="F131" s="5">
        <f t="shared" si="3"/>
        <v>0</v>
      </c>
    </row>
    <row r="132" ht="15.75" customHeight="1">
      <c r="A132" s="4" t="str">
        <f t="shared" si="20"/>
        <v>jenkinsci - graphql-server-plugin - rest-api</v>
      </c>
      <c r="B132" s="4" t="str">
        <f>HYPERLINK("https://github.com/parubok/swing-fx-properties", "parubok - swing-fx-properties - javafx")</f>
        <v>parubok - swing-fx-properties - javafx</v>
      </c>
      <c r="C132" s="5" t="s">
        <v>12</v>
      </c>
      <c r="D132" s="3">
        <v>1.0</v>
      </c>
      <c r="E132" s="5">
        <f t="shared" si="2"/>
        <v>0</v>
      </c>
      <c r="F132" s="5">
        <f t="shared" si="3"/>
        <v>0</v>
      </c>
    </row>
    <row r="133" ht="15.75" customHeight="1">
      <c r="A133" s="4" t="str">
        <f t="shared" si="20"/>
        <v>jenkinsci - graphql-server-plugin - rest-api</v>
      </c>
      <c r="B133" s="4" t="str">
        <f>HYPERLINK("https://github.com/redskap/swagger-brake", "redskap - swagger-brake - rest-api")</f>
        <v>redskap - swagger-brake - rest-api</v>
      </c>
      <c r="C133" s="5" t="s">
        <v>13</v>
      </c>
      <c r="D133" s="3">
        <v>2.0</v>
      </c>
      <c r="E133" s="5">
        <f t="shared" si="2"/>
        <v>1</v>
      </c>
      <c r="F133" s="5">
        <f t="shared" si="3"/>
        <v>0</v>
      </c>
    </row>
    <row r="134" ht="15.75" customHeight="1">
      <c r="A134" s="4" t="str">
        <f t="shared" ref="A134:A145" si="21">HYPERLINK("https://github.com/jiro4989/mvtexteditor", "jiro4989 - mvtexteditor - javafx")</f>
        <v>jiro4989 - mvtexteditor - javafx</v>
      </c>
      <c r="B134" s="4" t="str">
        <f>HYPERLINK("https://github.com/amirali-az/periodictable", "amirali-az - periodictable - javafx")</f>
        <v>amirali-az - periodictable - javafx</v>
      </c>
      <c r="C134" s="5" t="s">
        <v>11</v>
      </c>
      <c r="D134" s="3">
        <v>3.0</v>
      </c>
      <c r="E134" s="5">
        <f t="shared" si="2"/>
        <v>1</v>
      </c>
      <c r="F134" s="5">
        <f t="shared" si="3"/>
        <v>1</v>
      </c>
    </row>
    <row r="135" ht="15.75" customHeight="1">
      <c r="A135" s="4" t="str">
        <f t="shared" si="21"/>
        <v>jiro4989 - mvtexteditor - javafx</v>
      </c>
      <c r="B135" s="4" t="str">
        <f>HYPERLINK("https://github.com/bykka/dynamoit", "bykka - dynamoit - javafx")</f>
        <v>bykka - dynamoit - javafx</v>
      </c>
      <c r="C135" s="5" t="s">
        <v>12</v>
      </c>
      <c r="D135" s="3">
        <v>3.0</v>
      </c>
      <c r="E135" s="5">
        <f t="shared" si="2"/>
        <v>1</v>
      </c>
      <c r="F135" s="5">
        <f t="shared" si="3"/>
        <v>1</v>
      </c>
    </row>
    <row r="136" ht="15.75" customHeight="1">
      <c r="A136" s="4" t="str">
        <f t="shared" si="21"/>
        <v>jiro4989 - mvtexteditor - javafx</v>
      </c>
      <c r="B136" s="4" t="str">
        <f>HYPERLINK("https://github.com/dropsnorz/owlplug", "dropsnorz - owlplug - javafx")</f>
        <v>dropsnorz - owlplug - javafx</v>
      </c>
      <c r="C136" s="5" t="s">
        <v>8</v>
      </c>
      <c r="D136" s="3">
        <v>2.0</v>
      </c>
      <c r="E136" s="5">
        <f t="shared" si="2"/>
        <v>1</v>
      </c>
      <c r="F136" s="5">
        <f t="shared" si="3"/>
        <v>0</v>
      </c>
    </row>
    <row r="137" ht="15.75" customHeight="1">
      <c r="A137" s="4" t="str">
        <f t="shared" si="21"/>
        <v>jiro4989 - mvtexteditor - javafx</v>
      </c>
      <c r="B137" s="4" t="str">
        <f>HYPERLINK("https://github.com/esri/java-maven-starter-project", "esri - java-maven-starter-project - javafx")</f>
        <v>esri - java-maven-starter-project - javafx</v>
      </c>
      <c r="C137" s="5" t="s">
        <v>15</v>
      </c>
      <c r="D137" s="3">
        <v>2.0</v>
      </c>
      <c r="E137" s="5">
        <f t="shared" si="2"/>
        <v>1</v>
      </c>
      <c r="F137" s="5">
        <f t="shared" si="3"/>
        <v>0</v>
      </c>
    </row>
    <row r="138" ht="15.75" customHeight="1">
      <c r="A138" s="4" t="str">
        <f t="shared" si="21"/>
        <v>jiro4989 - mvtexteditor - javafx</v>
      </c>
      <c r="B138" s="4" t="str">
        <f>HYPERLINK("https://github.com/gluonhq/scenebuilder", "gluonhq - scenebuilder - javafx")</f>
        <v>gluonhq - scenebuilder - javafx</v>
      </c>
      <c r="C138" s="5" t="s">
        <v>10</v>
      </c>
      <c r="D138" s="3">
        <v>2.0</v>
      </c>
      <c r="E138" s="5">
        <f t="shared" si="2"/>
        <v>1</v>
      </c>
      <c r="F138" s="5">
        <f t="shared" si="3"/>
        <v>0</v>
      </c>
    </row>
    <row r="139" ht="15.75" customHeight="1">
      <c r="A139" s="4" t="str">
        <f t="shared" si="21"/>
        <v>jiro4989 - mvtexteditor - javafx</v>
      </c>
      <c r="B139" s="4" t="str">
        <f t="shared" ref="B139:B140" si="22">HYPERLINK("https://github.com/lanthale/photoslide", "lanthale - photoslide - javafx")</f>
        <v>lanthale - photoslide - javafx</v>
      </c>
      <c r="C139" s="5" t="s">
        <v>14</v>
      </c>
      <c r="D139" s="3">
        <v>3.0</v>
      </c>
      <c r="E139" s="5">
        <f t="shared" si="2"/>
        <v>1</v>
      </c>
      <c r="F139" s="5">
        <f t="shared" si="3"/>
        <v>1</v>
      </c>
    </row>
    <row r="140" ht="15.75" customHeight="1">
      <c r="A140" s="4" t="str">
        <f t="shared" si="21"/>
        <v>jiro4989 - mvtexteditor - javafx</v>
      </c>
      <c r="B140" s="4" t="str">
        <f t="shared" si="22"/>
        <v>lanthale - photoslide - javafx</v>
      </c>
      <c r="C140" s="5" t="s">
        <v>9</v>
      </c>
      <c r="D140" s="3">
        <v>3.0</v>
      </c>
      <c r="E140" s="5">
        <f t="shared" si="2"/>
        <v>1</v>
      </c>
      <c r="F140" s="5">
        <f t="shared" si="3"/>
        <v>1</v>
      </c>
    </row>
    <row r="141" ht="15.75" customHeight="1">
      <c r="A141" s="4" t="str">
        <f t="shared" si="21"/>
        <v>jiro4989 - mvtexteditor - javafx</v>
      </c>
      <c r="B141" s="4" t="str">
        <f>HYPERLINK("https://github.com/qdrzwd/videorecorder", "qdrzwd - videorecorder - android")</f>
        <v>qdrzwd - videorecorder - android</v>
      </c>
      <c r="C141" s="5" t="s">
        <v>13</v>
      </c>
      <c r="D141" s="3">
        <v>2.0</v>
      </c>
      <c r="E141" s="5">
        <f t="shared" si="2"/>
        <v>0</v>
      </c>
      <c r="F141" s="5">
        <f t="shared" si="3"/>
        <v>0</v>
      </c>
    </row>
    <row r="142" ht="15.75" customHeight="1">
      <c r="A142" s="4" t="str">
        <f t="shared" si="21"/>
        <v>jiro4989 - mvtexteditor - javafx</v>
      </c>
      <c r="B142" s="4" t="str">
        <f>HYPERLINK("https://github.com/satergo/satergo", "satergo - satergo - javafx")</f>
        <v>satergo - satergo - javafx</v>
      </c>
      <c r="C142" s="5" t="s">
        <v>16</v>
      </c>
      <c r="D142" s="3">
        <v>2.0</v>
      </c>
      <c r="E142" s="5">
        <f t="shared" si="2"/>
        <v>1</v>
      </c>
      <c r="F142" s="5">
        <f t="shared" si="3"/>
        <v>0</v>
      </c>
    </row>
    <row r="143" ht="15.75" customHeight="1">
      <c r="A143" s="4" t="str">
        <f t="shared" si="21"/>
        <v>jiro4989 - mvtexteditor - javafx</v>
      </c>
      <c r="B143" s="4" t="str">
        <f>HYPERLINK("https://github.com/scorelab/imagelab", "scorelab - imagelab - javafx")</f>
        <v>scorelab - imagelab - javafx</v>
      </c>
      <c r="C143" s="5" t="s">
        <v>6</v>
      </c>
      <c r="D143" s="3">
        <v>3.0</v>
      </c>
      <c r="E143" s="5">
        <f t="shared" si="2"/>
        <v>1</v>
      </c>
      <c r="F143" s="5">
        <f t="shared" si="3"/>
        <v>1</v>
      </c>
    </row>
    <row r="144" ht="15.75" customHeight="1">
      <c r="A144" s="4" t="str">
        <f t="shared" si="21"/>
        <v>jiro4989 - mvtexteditor - javafx</v>
      </c>
      <c r="B144" s="4" t="str">
        <f>HYPERLINK("https://github.com/valkryst/schillsaver", "valkryst - schillsaver - javafx")</f>
        <v>valkryst - schillsaver - javafx</v>
      </c>
      <c r="C144" s="5" t="s">
        <v>17</v>
      </c>
      <c r="D144" s="3">
        <v>3.0</v>
      </c>
      <c r="E144" s="5">
        <f t="shared" si="2"/>
        <v>1</v>
      </c>
      <c r="F144" s="5">
        <f t="shared" si="3"/>
        <v>1</v>
      </c>
    </row>
    <row r="145" ht="15.75" customHeight="1">
      <c r="A145" s="4" t="str">
        <f t="shared" si="21"/>
        <v>jiro4989 - mvtexteditor - javafx</v>
      </c>
      <c r="B145" s="4" t="str">
        <f>HYPERLINK("https://github.com/Zev-G/JfxIDE", "Zev-G - JfxIDE - javafx")</f>
        <v>Zev-G - JfxIDE - javafx</v>
      </c>
      <c r="C145" s="5" t="s">
        <v>7</v>
      </c>
      <c r="D145" s="3">
        <v>2.0</v>
      </c>
      <c r="E145" s="5">
        <f t="shared" si="2"/>
        <v>1</v>
      </c>
      <c r="F145" s="5">
        <f t="shared" si="3"/>
        <v>0</v>
      </c>
    </row>
    <row r="146" ht="15.75" customHeight="1">
      <c r="A146" s="4" t="str">
        <f t="shared" ref="A146:A157" si="23">HYPERLINK("https://github.com/kaspiandev/antipopup", "kaspiandev - antipopup - minecraft-plugin")</f>
        <v>kaspiandev - antipopup - minecraft-plugin</v>
      </c>
      <c r="B146" s="4" t="str">
        <f>HYPERLINK("https://github.com/4drian3d/VPacketEvents", "4drian3d - VPacketEvents - minecraft-plugin")</f>
        <v>4drian3d - VPacketEvents - minecraft-plugin</v>
      </c>
      <c r="C146" s="5" t="s">
        <v>9</v>
      </c>
      <c r="D146" s="3">
        <v>4.0</v>
      </c>
      <c r="E146" s="5">
        <f t="shared" si="2"/>
        <v>1</v>
      </c>
      <c r="F146" s="5">
        <f t="shared" si="3"/>
        <v>1</v>
      </c>
    </row>
    <row r="147" ht="15.75" customHeight="1">
      <c r="A147" s="4" t="str">
        <f t="shared" si="23"/>
        <v>kaspiandev - antipopup - minecraft-plugin</v>
      </c>
      <c r="B147" s="4" t="str">
        <f>HYPERLINK("https://github.com/acekiron/pronounmc", "acekiron - pronounmc - minecraft-plugin")</f>
        <v>acekiron - pronounmc - minecraft-plugin</v>
      </c>
      <c r="C147" s="5" t="s">
        <v>16</v>
      </c>
      <c r="D147" s="3">
        <v>3.0</v>
      </c>
      <c r="E147" s="5">
        <f t="shared" si="2"/>
        <v>1</v>
      </c>
      <c r="F147" s="5">
        <f t="shared" si="3"/>
        <v>1</v>
      </c>
    </row>
    <row r="148" ht="15.75" customHeight="1">
      <c r="A148" s="4" t="str">
        <f t="shared" si="23"/>
        <v>kaspiandev - antipopup - minecraft-plugin</v>
      </c>
      <c r="B148" s="4" t="str">
        <f>HYPERLINK("https://github.com/discord-jda/jda", "discord-jda - jda - rest-api")</f>
        <v>discord-jda - jda - rest-api</v>
      </c>
      <c r="C148" s="5" t="s">
        <v>14</v>
      </c>
      <c r="D148" s="3">
        <v>2.0</v>
      </c>
      <c r="E148" s="5">
        <f t="shared" si="2"/>
        <v>0</v>
      </c>
      <c r="F148" s="5">
        <f t="shared" si="3"/>
        <v>0</v>
      </c>
    </row>
    <row r="149" ht="15.75" customHeight="1">
      <c r="A149" s="4" t="str">
        <f t="shared" si="23"/>
        <v>kaspiandev - antipopup - minecraft-plugin</v>
      </c>
      <c r="B149" s="4" t="str">
        <f t="shared" ref="B149:B150" si="24">HYPERLINK("https://github.com/ericyoondotcom/minecraftmanhunt", "ericyoondotcom - minecraftmanhunt - minecraft-plugin")</f>
        <v>ericyoondotcom - minecraftmanhunt - minecraft-plugin</v>
      </c>
      <c r="C149" s="5" t="s">
        <v>7</v>
      </c>
      <c r="D149" s="3">
        <v>3.0</v>
      </c>
      <c r="E149" s="5">
        <f t="shared" si="2"/>
        <v>1</v>
      </c>
      <c r="F149" s="5">
        <f t="shared" si="3"/>
        <v>1</v>
      </c>
    </row>
    <row r="150" ht="15.75" customHeight="1">
      <c r="A150" s="4" t="str">
        <f t="shared" si="23"/>
        <v>kaspiandev - antipopup - minecraft-plugin</v>
      </c>
      <c r="B150" s="4" t="str">
        <f t="shared" si="24"/>
        <v>ericyoondotcom - minecraftmanhunt - minecraft-plugin</v>
      </c>
      <c r="C150" s="5" t="s">
        <v>13</v>
      </c>
      <c r="D150" s="3">
        <v>3.0</v>
      </c>
      <c r="E150" s="5">
        <f t="shared" si="2"/>
        <v>1</v>
      </c>
      <c r="F150" s="5">
        <f t="shared" si="3"/>
        <v>1</v>
      </c>
    </row>
    <row r="151" ht="15.75" customHeight="1">
      <c r="A151" s="4" t="str">
        <f t="shared" si="23"/>
        <v>kaspiandev - antipopup - minecraft-plugin</v>
      </c>
      <c r="B151" s="4" t="str">
        <f>HYPERLINK("https://github.com/georgh93/minepacks", "georgh93 - minepacks - minecraft-plugin")</f>
        <v>georgh93 - minepacks - minecraft-plugin</v>
      </c>
      <c r="C151" s="5" t="s">
        <v>11</v>
      </c>
      <c r="D151" s="3">
        <v>3.0</v>
      </c>
      <c r="E151" s="5">
        <f t="shared" si="2"/>
        <v>1</v>
      </c>
      <c r="F151" s="5">
        <f t="shared" si="3"/>
        <v>1</v>
      </c>
    </row>
    <row r="152" ht="15.75" customHeight="1">
      <c r="A152" s="4" t="str">
        <f t="shared" si="23"/>
        <v>kaspiandev - antipopup - minecraft-plugin</v>
      </c>
      <c r="B152" s="4" t="str">
        <f>HYPERLINK("https://github.com/hibiscusmc/hmccosmetics", "hibiscusmc - hmccosmetics - minecraft-plugin")</f>
        <v>hibiscusmc - hmccosmetics - minecraft-plugin</v>
      </c>
      <c r="C152" s="5" t="s">
        <v>6</v>
      </c>
      <c r="D152" s="3">
        <v>3.0</v>
      </c>
      <c r="E152" s="5">
        <f t="shared" si="2"/>
        <v>1</v>
      </c>
      <c r="F152" s="5">
        <f t="shared" si="3"/>
        <v>1</v>
      </c>
    </row>
    <row r="153" ht="15.75" customHeight="1">
      <c r="A153" s="4" t="str">
        <f t="shared" si="23"/>
        <v>kaspiandev - antipopup - minecraft-plugin</v>
      </c>
      <c r="B153" s="4" t="str">
        <f>HYPERLINK("https://github.com/illtamer/infinitebot3", "illtamer - infinitebot3 - minecraft-plugin")</f>
        <v>illtamer - infinitebot3 - minecraft-plugin</v>
      </c>
      <c r="C153" s="5" t="s">
        <v>8</v>
      </c>
      <c r="D153" s="3">
        <v>2.0</v>
      </c>
      <c r="E153" s="5">
        <f t="shared" si="2"/>
        <v>1</v>
      </c>
      <c r="F153" s="5">
        <f t="shared" si="3"/>
        <v>0</v>
      </c>
    </row>
    <row r="154" ht="15.75" customHeight="1">
      <c r="A154" s="4" t="str">
        <f t="shared" si="23"/>
        <v>kaspiandev - antipopup - minecraft-plugin</v>
      </c>
      <c r="B154" s="4" t="str">
        <f>HYPERLINK("https://github.com/realheart/zmusic", "realheart - zmusic - minecraft-plugin")</f>
        <v>realheart - zmusic - minecraft-plugin</v>
      </c>
      <c r="C154" s="5" t="s">
        <v>17</v>
      </c>
      <c r="D154" s="3">
        <v>2.0</v>
      </c>
      <c r="E154" s="5">
        <f t="shared" si="2"/>
        <v>1</v>
      </c>
      <c r="F154" s="5">
        <f t="shared" si="3"/>
        <v>0</v>
      </c>
    </row>
    <row r="155" ht="15.75" customHeight="1">
      <c r="A155" s="4" t="str">
        <f t="shared" si="23"/>
        <v>kaspiandev - antipopup - minecraft-plugin</v>
      </c>
      <c r="B155" s="4" t="str">
        <f>HYPERLINK("https://github.com/sb2bg/customdeathmessages", "sb2bg - customdeathmessages - minecraft-plugin")</f>
        <v>sb2bg - customdeathmessages - minecraft-plugin</v>
      </c>
      <c r="C155" s="5" t="s">
        <v>15</v>
      </c>
      <c r="D155" s="3">
        <v>4.0</v>
      </c>
      <c r="E155" s="5">
        <f t="shared" si="2"/>
        <v>1</v>
      </c>
      <c r="F155" s="5">
        <f t="shared" si="3"/>
        <v>1</v>
      </c>
    </row>
    <row r="156" ht="15.75" customHeight="1">
      <c r="A156" s="4" t="str">
        <f t="shared" si="23"/>
        <v>kaspiandev - antipopup - minecraft-plugin</v>
      </c>
      <c r="B156" s="4" t="str">
        <f>HYPERLINK("https://github.com/simplexity-development/archive-villagerinfo", "simplexity-development - archive-villagerinfo - minecraft-plugin")</f>
        <v>simplexity-development - archive-villagerinfo - minecraft-plugin</v>
      </c>
      <c r="C156" s="5" t="s">
        <v>12</v>
      </c>
      <c r="D156" s="3">
        <v>3.0</v>
      </c>
      <c r="E156" s="5">
        <f t="shared" si="2"/>
        <v>1</v>
      </c>
      <c r="F156" s="5">
        <f t="shared" si="3"/>
        <v>1</v>
      </c>
    </row>
    <row r="157" ht="15.75" customHeight="1">
      <c r="A157" s="4" t="str">
        <f t="shared" si="23"/>
        <v>kaspiandev - antipopup - minecraft-plugin</v>
      </c>
      <c r="B157" s="4" t="str">
        <f>HYPERLINK("https://github.com/skoice/skoice", "skoice - skoice - minecraft-plugin")</f>
        <v>skoice - skoice - minecraft-plugin</v>
      </c>
      <c r="C157" s="5" t="s">
        <v>10</v>
      </c>
      <c r="D157" s="3">
        <v>3.0</v>
      </c>
      <c r="E157" s="5">
        <f t="shared" si="2"/>
        <v>1</v>
      </c>
      <c r="F157" s="5">
        <f t="shared" si="3"/>
        <v>1</v>
      </c>
    </row>
    <row r="158" ht="15.75" customHeight="1">
      <c r="A158" s="4" t="str">
        <f t="shared" ref="A158:A169" si="25">HYPERLINK("https://github.com/piomin/sample-microservices-protobuf", "piomin - sample-microservices-protobuf - rest-api")</f>
        <v>piomin - sample-microservices-protobuf - rest-api</v>
      </c>
      <c r="B158" s="4" t="str">
        <f>HYPERLINK("https://github.com/alanbinu007/spring-boot-advanced-projects", "alanbinu007 - spring-boot-advanced-projects - rest-api")</f>
        <v>alanbinu007 - spring-boot-advanced-projects - rest-api</v>
      </c>
      <c r="C158" s="5" t="s">
        <v>7</v>
      </c>
      <c r="D158" s="3">
        <v>4.0</v>
      </c>
      <c r="E158" s="5">
        <f t="shared" si="2"/>
        <v>1</v>
      </c>
      <c r="F158" s="5">
        <f t="shared" si="3"/>
        <v>1</v>
      </c>
    </row>
    <row r="159" ht="15.75" customHeight="1">
      <c r="A159" s="4" t="str">
        <f t="shared" si="25"/>
        <v>piomin - sample-microservices-protobuf - rest-api</v>
      </c>
      <c r="B159" s="4" t="str">
        <f>HYPERLINK("https://github.com/almasb/fxglgames", "almasb - fxglgames - javafx")</f>
        <v>almasb - fxglgames - javafx</v>
      </c>
      <c r="C159" s="5" t="s">
        <v>15</v>
      </c>
      <c r="D159" s="3">
        <v>1.0</v>
      </c>
      <c r="E159" s="5">
        <f t="shared" si="2"/>
        <v>0</v>
      </c>
      <c r="F159" s="5">
        <f t="shared" si="3"/>
        <v>0</v>
      </c>
    </row>
    <row r="160" ht="15.75" customHeight="1">
      <c r="A160" s="4" t="str">
        <f t="shared" si="25"/>
        <v>piomin - sample-microservices-protobuf - rest-api</v>
      </c>
      <c r="B160" s="4" t="str">
        <f>HYPERLINK("https://github.com/finnfu/stepcount", "finnfu - stepcount - algorithm")</f>
        <v>finnfu - stepcount - algorithm</v>
      </c>
      <c r="C160" s="5" t="s">
        <v>9</v>
      </c>
      <c r="D160" s="3">
        <v>1.0</v>
      </c>
      <c r="E160" s="5">
        <f t="shared" si="2"/>
        <v>0</v>
      </c>
      <c r="F160" s="5">
        <f t="shared" si="3"/>
        <v>0</v>
      </c>
    </row>
    <row r="161" ht="15.75" customHeight="1">
      <c r="A161" s="4" t="str">
        <f t="shared" si="25"/>
        <v>piomin - sample-microservices-protobuf - rest-api</v>
      </c>
      <c r="B161" s="4" t="str">
        <f>HYPERLINK("https://github.com/graphhopper/jsprit", "graphhopper - jsprit - algorithm")</f>
        <v>graphhopper - jsprit - algorithm</v>
      </c>
      <c r="C161" s="5" t="s">
        <v>17</v>
      </c>
      <c r="D161" s="3">
        <v>1.0</v>
      </c>
      <c r="E161" s="5">
        <f t="shared" si="2"/>
        <v>0</v>
      </c>
      <c r="F161" s="5">
        <f t="shared" si="3"/>
        <v>0</v>
      </c>
    </row>
    <row r="162" ht="15.75" customHeight="1">
      <c r="A162" s="4" t="str">
        <f t="shared" si="25"/>
        <v>piomin - sample-microservices-protobuf - rest-api</v>
      </c>
      <c r="B162" s="4" t="str">
        <f>HYPERLINK("https://github.com/guto-alves/loterias-api", "guto-alves - loterias-api - rest-api")</f>
        <v>guto-alves - loterias-api - rest-api</v>
      </c>
      <c r="C162" s="5" t="s">
        <v>13</v>
      </c>
      <c r="D162" s="3">
        <v>1.0</v>
      </c>
      <c r="E162" s="5">
        <f t="shared" si="2"/>
        <v>1</v>
      </c>
      <c r="F162" s="5">
        <f t="shared" si="3"/>
        <v>0</v>
      </c>
    </row>
    <row r="163" ht="15.75" customHeight="1">
      <c r="A163" s="4" t="str">
        <f t="shared" si="25"/>
        <v>piomin - sample-microservices-protobuf - rest-api</v>
      </c>
      <c r="B163" s="4" t="str">
        <f>HYPERLINK("https://github.com/larmic/spring-boot-demos", "larmic - spring-boot-demos - rest-api")</f>
        <v>larmic - spring-boot-demos - rest-api</v>
      </c>
      <c r="C163" s="5" t="s">
        <v>16</v>
      </c>
      <c r="D163" s="3">
        <v>4.0</v>
      </c>
      <c r="E163" s="5">
        <f t="shared" si="2"/>
        <v>1</v>
      </c>
      <c r="F163" s="5">
        <f t="shared" si="3"/>
        <v>1</v>
      </c>
    </row>
    <row r="164" ht="15.75" customHeight="1">
      <c r="A164" s="4" t="str">
        <f t="shared" si="25"/>
        <v>piomin - sample-microservices-protobuf - rest-api</v>
      </c>
      <c r="B164" s="4" t="str">
        <f>HYPERLINK("https://github.com/maritimeconnectivity/identityregistry", "maritimeconnectivity - identityregistry - rest-api")</f>
        <v>maritimeconnectivity - identityregistry - rest-api</v>
      </c>
      <c r="C164" s="5" t="s">
        <v>6</v>
      </c>
      <c r="D164" s="3">
        <v>2.0</v>
      </c>
      <c r="E164" s="5">
        <f t="shared" si="2"/>
        <v>1</v>
      </c>
      <c r="F164" s="5">
        <f t="shared" si="3"/>
        <v>0</v>
      </c>
    </row>
    <row r="165" ht="15.75" customHeight="1">
      <c r="A165" s="4" t="str">
        <f t="shared" si="25"/>
        <v>piomin - sample-microservices-protobuf - rest-api</v>
      </c>
      <c r="B165" s="4" t="str">
        <f>HYPERLINK("https://github.com/miltonhit/hub_correios_api", "miltonhit - hub_correios_api - rest-api")</f>
        <v>miltonhit - hub_correios_api - rest-api</v>
      </c>
      <c r="C165" s="5" t="s">
        <v>14</v>
      </c>
      <c r="D165" s="3">
        <v>1.0</v>
      </c>
      <c r="E165" s="5">
        <f t="shared" si="2"/>
        <v>1</v>
      </c>
      <c r="F165" s="5">
        <f t="shared" si="3"/>
        <v>0</v>
      </c>
    </row>
    <row r="166" ht="15.75" customHeight="1">
      <c r="A166" s="4" t="str">
        <f t="shared" si="25"/>
        <v>piomin - sample-microservices-protobuf - rest-api</v>
      </c>
      <c r="B166" s="4" t="str">
        <f>HYPERLINK("https://github.com/nextcloud/android-singlesignon", "nextcloud - android-singlesignon - android")</f>
        <v>nextcloud - android-singlesignon - android</v>
      </c>
      <c r="C166" s="5" t="s">
        <v>10</v>
      </c>
      <c r="D166" s="3">
        <v>1.0</v>
      </c>
      <c r="E166" s="5">
        <f t="shared" si="2"/>
        <v>0</v>
      </c>
      <c r="F166" s="5">
        <f t="shared" si="3"/>
        <v>0</v>
      </c>
    </row>
    <row r="167" ht="15.75" customHeight="1">
      <c r="A167" s="4" t="str">
        <f t="shared" si="25"/>
        <v>piomin - sample-microservices-protobuf - rest-api</v>
      </c>
      <c r="B167" s="4" t="str">
        <f t="shared" ref="B167:B168" si="26">HYPERLINK("https://github.com/piomin/sample-karaf-cxf-microservices", "piomin - sample-karaf-cxf-microservices - rest-api")</f>
        <v>piomin - sample-karaf-cxf-microservices - rest-api</v>
      </c>
      <c r="C167" s="5" t="s">
        <v>12</v>
      </c>
      <c r="D167" s="3">
        <v>4.0</v>
      </c>
      <c r="E167" s="5">
        <f t="shared" si="2"/>
        <v>1</v>
      </c>
      <c r="F167" s="5">
        <f t="shared" si="3"/>
        <v>1</v>
      </c>
    </row>
    <row r="168" ht="15.75" customHeight="1">
      <c r="A168" s="4" t="str">
        <f t="shared" si="25"/>
        <v>piomin - sample-microservices-protobuf - rest-api</v>
      </c>
      <c r="B168" s="4" t="str">
        <f t="shared" si="26"/>
        <v>piomin - sample-karaf-cxf-microservices - rest-api</v>
      </c>
      <c r="C168" s="5" t="s">
        <v>8</v>
      </c>
      <c r="D168" s="3">
        <v>4.0</v>
      </c>
      <c r="E168" s="5">
        <f t="shared" si="2"/>
        <v>1</v>
      </c>
      <c r="F168" s="5">
        <f t="shared" si="3"/>
        <v>1</v>
      </c>
    </row>
    <row r="169" ht="15.75" customHeight="1">
      <c r="A169" s="4" t="str">
        <f t="shared" si="25"/>
        <v>piomin - sample-microservices-protobuf - rest-api</v>
      </c>
      <c r="B169" s="4" t="str">
        <f>HYPERLINK("https://github.com/zoltanvin/royal-reserve-bank", "zoltanvin - royal-reserve-bank - rest-api")</f>
        <v>zoltanvin - royal-reserve-bank - rest-api</v>
      </c>
      <c r="C169" s="5" t="s">
        <v>11</v>
      </c>
      <c r="D169" s="3">
        <v>3.0</v>
      </c>
      <c r="E169" s="5">
        <f t="shared" si="2"/>
        <v>1</v>
      </c>
      <c r="F169" s="5">
        <f t="shared" si="3"/>
        <v>1</v>
      </c>
    </row>
    <row r="170" ht="15.75" customHeight="1">
      <c r="A170" s="4" t="str">
        <f t="shared" ref="A170:A181" si="27">HYPERLINK("https://github.com/powernetworkhub/powerranks", "powernetworkhub - powerranks - minecraft-plugin")</f>
        <v>powernetworkhub - powerranks - minecraft-plugin</v>
      </c>
      <c r="B170" s="4" t="str">
        <f>HYPERLINK("https://github.com/bentoboxworld/bentobox", "bentoboxworld - bentobox - minecraft-plugin")</f>
        <v>bentoboxworld - bentobox - minecraft-plugin</v>
      </c>
      <c r="C170" s="5" t="s">
        <v>9</v>
      </c>
      <c r="D170" s="3">
        <v>3.0</v>
      </c>
      <c r="E170" s="5">
        <f t="shared" si="2"/>
        <v>1</v>
      </c>
      <c r="F170" s="5">
        <f t="shared" si="3"/>
        <v>1</v>
      </c>
    </row>
    <row r="171" ht="15.75" customHeight="1">
      <c r="A171" s="4" t="str">
        <f t="shared" si="27"/>
        <v>powernetworkhub - powerranks - minecraft-plugin</v>
      </c>
      <c r="B171" s="4" t="str">
        <f>HYPERLINK("https://github.com/carmjos/userprefix", "carmjos - userprefix - minecraft-plugin")</f>
        <v>carmjos - userprefix - minecraft-plugin</v>
      </c>
      <c r="C171" s="5" t="s">
        <v>11</v>
      </c>
      <c r="D171" s="3">
        <v>4.0</v>
      </c>
      <c r="E171" s="5">
        <f t="shared" si="2"/>
        <v>1</v>
      </c>
      <c r="F171" s="5">
        <f t="shared" si="3"/>
        <v>1</v>
      </c>
    </row>
    <row r="172" ht="15.75" customHeight="1">
      <c r="A172" s="4" t="str">
        <f t="shared" si="27"/>
        <v>powernetworkhub - powerranks - minecraft-plugin</v>
      </c>
      <c r="B172" s="4" t="str">
        <f>HYPERLINK("https://github.com/errored-innovations/headsplus", "errored-innovations - headsplus - minecraft-plugin")</f>
        <v>errored-innovations - headsplus - minecraft-plugin</v>
      </c>
      <c r="C172" s="5" t="s">
        <v>15</v>
      </c>
      <c r="D172" s="3">
        <v>3.0</v>
      </c>
      <c r="E172" s="5">
        <f t="shared" si="2"/>
        <v>1</v>
      </c>
      <c r="F172" s="5">
        <f t="shared" si="3"/>
        <v>1</v>
      </c>
    </row>
    <row r="173" ht="15.75" customHeight="1">
      <c r="A173" s="4" t="str">
        <f t="shared" si="27"/>
        <v>powernetworkhub - powerranks - minecraft-plugin</v>
      </c>
      <c r="B173" s="4" t="str">
        <f t="shared" ref="B173:B174" si="28">HYPERLINK("https://github.com/Flectone/FlectoneChat", "Flectone - FlectoneChat - minecraft-plugin")</f>
        <v>Flectone - FlectoneChat - minecraft-plugin</v>
      </c>
      <c r="C173" s="5" t="s">
        <v>10</v>
      </c>
      <c r="D173" s="3">
        <v>4.0</v>
      </c>
      <c r="E173" s="5">
        <f t="shared" si="2"/>
        <v>1</v>
      </c>
      <c r="F173" s="5">
        <f t="shared" si="3"/>
        <v>1</v>
      </c>
    </row>
    <row r="174" ht="15.75" customHeight="1">
      <c r="A174" s="4" t="str">
        <f t="shared" si="27"/>
        <v>powernetworkhub - powerranks - minecraft-plugin</v>
      </c>
      <c r="B174" s="4" t="str">
        <f t="shared" si="28"/>
        <v>Flectone - FlectoneChat - minecraft-plugin</v>
      </c>
      <c r="C174" s="5" t="s">
        <v>17</v>
      </c>
      <c r="D174" s="3">
        <v>4.0</v>
      </c>
      <c r="E174" s="5">
        <f t="shared" si="2"/>
        <v>1</v>
      </c>
      <c r="F174" s="5">
        <f t="shared" si="3"/>
        <v>1</v>
      </c>
    </row>
    <row r="175" ht="15.75" customHeight="1">
      <c r="A175" s="4" t="str">
        <f t="shared" si="27"/>
        <v>powernetworkhub - powerranks - minecraft-plugin</v>
      </c>
      <c r="B175" s="4" t="str">
        <f>HYPERLINK("https://github.com/gamerjoep/minetopiavehicles", "gamerjoep - minetopiavehicles - minecraft-plugin")</f>
        <v>gamerjoep - minetopiavehicles - minecraft-plugin</v>
      </c>
      <c r="C175" s="5" t="s">
        <v>8</v>
      </c>
      <c r="D175" s="3">
        <v>3.0</v>
      </c>
      <c r="E175" s="5">
        <f t="shared" si="2"/>
        <v>1</v>
      </c>
      <c r="F175" s="5">
        <f t="shared" si="3"/>
        <v>1</v>
      </c>
    </row>
    <row r="176" ht="15.75" customHeight="1">
      <c r="A176" s="4" t="str">
        <f t="shared" si="27"/>
        <v>powernetworkhub - powerranks - minecraft-plugin</v>
      </c>
      <c r="B176" s="4" t="str">
        <f>HYPERLINK("https://github.com/georgh93/minepacks", "georgh93 - minepacks - minecraft-plugin")</f>
        <v>georgh93 - minepacks - minecraft-plugin</v>
      </c>
      <c r="C176" s="5" t="s">
        <v>13</v>
      </c>
      <c r="D176" s="3">
        <v>3.0</v>
      </c>
      <c r="E176" s="5">
        <f t="shared" si="2"/>
        <v>1</v>
      </c>
      <c r="F176" s="5">
        <f t="shared" si="3"/>
        <v>1</v>
      </c>
    </row>
    <row r="177" ht="15.75" customHeight="1">
      <c r="A177" s="4" t="str">
        <f t="shared" si="27"/>
        <v>powernetworkhub - powerranks - minecraft-plugin</v>
      </c>
      <c r="B177" s="4" t="str">
        <f>HYPERLINK("https://github.com/itzamirreza/ezchestshop", "itzamirreza - ezchestshop - minecraft-plugin")</f>
        <v>itzamirreza - ezchestshop - minecraft-plugin</v>
      </c>
      <c r="C177" s="5" t="s">
        <v>12</v>
      </c>
      <c r="D177" s="3">
        <v>3.0</v>
      </c>
      <c r="E177" s="5">
        <f t="shared" si="2"/>
        <v>1</v>
      </c>
      <c r="F177" s="5">
        <f t="shared" si="3"/>
        <v>1</v>
      </c>
    </row>
    <row r="178" ht="15.75" customHeight="1">
      <c r="A178" s="4" t="str">
        <f t="shared" si="27"/>
        <v>powernetworkhub - powerranks - minecraft-plugin</v>
      </c>
      <c r="B178" s="4" t="str">
        <f>HYPERLINK("https://github.com/lmbishop/quests", "lmbishop - quests - minecraft-plugin")</f>
        <v>lmbishop - quests - minecraft-plugin</v>
      </c>
      <c r="C178" s="5" t="s">
        <v>7</v>
      </c>
      <c r="D178" s="3">
        <v>3.0</v>
      </c>
      <c r="E178" s="5">
        <f t="shared" si="2"/>
        <v>1</v>
      </c>
      <c r="F178" s="5">
        <f t="shared" si="3"/>
        <v>1</v>
      </c>
    </row>
    <row r="179" ht="15.75" customHeight="1">
      <c r="A179" s="4" t="str">
        <f t="shared" si="27"/>
        <v>powernetworkhub - powerranks - minecraft-plugin</v>
      </c>
      <c r="B179" s="4" t="str">
        <f>HYPERLINK("https://github.com/phybros/servertap", "phybros - servertap - minecraft-plugin")</f>
        <v>phybros - servertap - minecraft-plugin</v>
      </c>
      <c r="C179" s="5" t="s">
        <v>14</v>
      </c>
      <c r="D179" s="3">
        <v>3.0</v>
      </c>
      <c r="E179" s="5">
        <f t="shared" si="2"/>
        <v>1</v>
      </c>
      <c r="F179" s="5">
        <f t="shared" si="3"/>
        <v>1</v>
      </c>
    </row>
    <row r="180" ht="15.75" customHeight="1">
      <c r="A180" s="4" t="str">
        <f t="shared" si="27"/>
        <v>powernetworkhub - powerranks - minecraft-plugin</v>
      </c>
      <c r="B180" s="4" t="str">
        <f>HYPERLINK("https://github.com/rutgerkok/betterenderchest", "rutgerkok - betterenderchest - minecraft-plugin")</f>
        <v>rutgerkok - betterenderchest - minecraft-plugin</v>
      </c>
      <c r="C180" s="5" t="s">
        <v>6</v>
      </c>
      <c r="D180" s="3">
        <v>4.0</v>
      </c>
      <c r="E180" s="5">
        <f t="shared" si="2"/>
        <v>1</v>
      </c>
      <c r="F180" s="5">
        <f t="shared" si="3"/>
        <v>1</v>
      </c>
    </row>
    <row r="181" ht="15.75" customHeight="1">
      <c r="A181" s="4" t="str">
        <f t="shared" si="27"/>
        <v>powernetworkhub - powerranks - minecraft-plugin</v>
      </c>
      <c r="B181" s="4" t="str">
        <f>HYPERLINK("https://github.com/serverselectorx/serverselectorx", "serverselectorx - serverselectorx - minecraft-plugin")</f>
        <v>serverselectorx - serverselectorx - minecraft-plugin</v>
      </c>
      <c r="C181" s="5" t="s">
        <v>16</v>
      </c>
      <c r="D181" s="3">
        <v>3.0</v>
      </c>
      <c r="E181" s="5">
        <f t="shared" si="2"/>
        <v>1</v>
      </c>
      <c r="F181" s="5">
        <f t="shared" si="3"/>
        <v>1</v>
      </c>
    </row>
    <row r="182" ht="15.75" customHeight="1">
      <c r="A182" s="4" t="str">
        <f t="shared" ref="A182:A193" si="29">HYPERLINK("https://github.com/purpurmc/purpurextras", "purpurmc - purpurextras - minecraft-plugin")</f>
        <v>purpurmc - purpurextras - minecraft-plugin</v>
      </c>
      <c r="B182" s="4" t="str">
        <f>HYPERLINK("https://github.com/authme/authmereloaded", "authme - authmereloaded - minecraft-plugin")</f>
        <v>authme - authmereloaded - minecraft-plugin</v>
      </c>
      <c r="C182" s="5" t="s">
        <v>17</v>
      </c>
      <c r="D182" s="3">
        <v>3.0</v>
      </c>
      <c r="E182" s="5">
        <f t="shared" si="2"/>
        <v>1</v>
      </c>
      <c r="F182" s="5">
        <f t="shared" si="3"/>
        <v>1</v>
      </c>
    </row>
    <row r="183" ht="15.75" customHeight="1">
      <c r="A183" s="4" t="str">
        <f t="shared" si="29"/>
        <v>purpurmc - purpurextras - minecraft-plugin</v>
      </c>
      <c r="B183" s="4" t="str">
        <f>HYPERLINK("https://github.com/errored-innovations/headsplus", "errored-innovations - headsplus - minecraft-plugin")</f>
        <v>errored-innovations - headsplus - minecraft-plugin</v>
      </c>
      <c r="C183" s="5" t="s">
        <v>13</v>
      </c>
      <c r="D183" s="3">
        <v>3.0</v>
      </c>
      <c r="E183" s="5">
        <f t="shared" si="2"/>
        <v>1</v>
      </c>
      <c r="F183" s="5">
        <f t="shared" si="3"/>
        <v>1</v>
      </c>
    </row>
    <row r="184" ht="15.75" customHeight="1">
      <c r="A184" s="4" t="str">
        <f t="shared" si="29"/>
        <v>purpurmc - purpurextras - minecraft-plugin</v>
      </c>
      <c r="B184" s="4" t="str">
        <f>HYPERLINK("https://github.com/itzamirreza/ezchestshop", "itzamirreza - ezchestshop - minecraft-plugin")</f>
        <v>itzamirreza - ezchestshop - minecraft-plugin</v>
      </c>
      <c r="C184" s="5" t="s">
        <v>10</v>
      </c>
      <c r="D184" s="3">
        <v>3.0</v>
      </c>
      <c r="E184" s="5">
        <f t="shared" si="2"/>
        <v>1</v>
      </c>
      <c r="F184" s="5">
        <f t="shared" si="3"/>
        <v>1</v>
      </c>
    </row>
    <row r="185" ht="15.75" customHeight="1">
      <c r="A185" s="4" t="str">
        <f t="shared" si="29"/>
        <v>purpurmc - purpurextras - minecraft-plugin</v>
      </c>
      <c r="B185" s="4" t="str">
        <f>HYPERLINK("https://github.com/jpenilla/minimotd", "jpenilla - minimotd - minecraft-plugin")</f>
        <v>jpenilla - minimotd - minecraft-plugin</v>
      </c>
      <c r="C185" s="5" t="s">
        <v>16</v>
      </c>
      <c r="D185" s="3">
        <v>3.0</v>
      </c>
      <c r="E185" s="5">
        <f t="shared" si="2"/>
        <v>1</v>
      </c>
      <c r="F185" s="5">
        <f t="shared" si="3"/>
        <v>1</v>
      </c>
    </row>
    <row r="186" ht="15.75" customHeight="1">
      <c r="A186" s="4" t="str">
        <f t="shared" si="29"/>
        <v>purpurmc - purpurextras - minecraft-plugin</v>
      </c>
      <c r="B186" s="4" t="str">
        <f>HYPERLINK("https://github.com/ka0un/OPProtector", "ka0un - OPProtector - minecraft-plugin")</f>
        <v>ka0un - OPProtector - minecraft-plugin</v>
      </c>
      <c r="C186" s="5" t="s">
        <v>6</v>
      </c>
      <c r="D186" s="3">
        <v>3.0</v>
      </c>
      <c r="E186" s="5">
        <f t="shared" si="2"/>
        <v>1</v>
      </c>
      <c r="F186" s="5">
        <f t="shared" si="3"/>
        <v>1</v>
      </c>
    </row>
    <row r="187" ht="15.75" customHeight="1">
      <c r="A187" s="4" t="str">
        <f t="shared" si="29"/>
        <v>purpurmc - purpurextras - minecraft-plugin</v>
      </c>
      <c r="B187" s="4" t="str">
        <f>HYPERLINK("https://github.com/pedrojm96/superlobbydeluxe", "pedrojm96 - superlobbydeluxe - minecraft-plugin")</f>
        <v>pedrojm96 - superlobbydeluxe - minecraft-plugin</v>
      </c>
      <c r="C187" s="5" t="s">
        <v>8</v>
      </c>
      <c r="D187" s="3">
        <v>3.0</v>
      </c>
      <c r="E187" s="5">
        <f t="shared" si="2"/>
        <v>1</v>
      </c>
      <c r="F187" s="5">
        <f t="shared" si="3"/>
        <v>1</v>
      </c>
    </row>
    <row r="188" ht="15.75" customHeight="1">
      <c r="A188" s="4" t="str">
        <f t="shared" si="29"/>
        <v>purpurmc - purpurextras - minecraft-plugin</v>
      </c>
      <c r="B188" s="4" t="str">
        <f>HYPERLINK("https://github.com/sb2bg/customdeathmessages", "sb2bg - customdeathmessages - minecraft-plugin")</f>
        <v>sb2bg - customdeathmessages - minecraft-plugin</v>
      </c>
      <c r="C188" s="5" t="s">
        <v>12</v>
      </c>
      <c r="D188" s="3">
        <v>3.0</v>
      </c>
      <c r="E188" s="5">
        <f t="shared" si="2"/>
        <v>1</v>
      </c>
      <c r="F188" s="5">
        <f t="shared" si="3"/>
        <v>1</v>
      </c>
    </row>
    <row r="189" ht="15.75" customHeight="1">
      <c r="A189" s="4" t="str">
        <f t="shared" si="29"/>
        <v>purpurmc - purpurextras - minecraft-plugin</v>
      </c>
      <c r="B189" s="4" t="str">
        <f t="shared" ref="B189:B190" si="30">HYPERLINK("https://github.com/seanomik/tamablefoxes", "seanomik - tamablefoxes - minecraft-plugin")</f>
        <v>seanomik - tamablefoxes - minecraft-plugin</v>
      </c>
      <c r="C189" s="5" t="s">
        <v>14</v>
      </c>
      <c r="D189" s="3">
        <v>3.0</v>
      </c>
      <c r="E189" s="5">
        <f t="shared" si="2"/>
        <v>1</v>
      </c>
      <c r="F189" s="5">
        <f t="shared" si="3"/>
        <v>1</v>
      </c>
    </row>
    <row r="190" ht="15.75" customHeight="1">
      <c r="A190" s="4" t="str">
        <f t="shared" si="29"/>
        <v>purpurmc - purpurextras - minecraft-plugin</v>
      </c>
      <c r="B190" s="4" t="str">
        <f t="shared" si="30"/>
        <v>seanomik - tamablefoxes - minecraft-plugin</v>
      </c>
      <c r="C190" s="5" t="s">
        <v>9</v>
      </c>
      <c r="D190" s="3">
        <v>3.0</v>
      </c>
      <c r="E190" s="5">
        <f t="shared" si="2"/>
        <v>1</v>
      </c>
      <c r="F190" s="5">
        <f t="shared" si="3"/>
        <v>1</v>
      </c>
    </row>
    <row r="191" ht="15.75" customHeight="1">
      <c r="A191" s="4" t="str">
        <f t="shared" si="29"/>
        <v>purpurmc - purpurextras - minecraft-plugin</v>
      </c>
      <c r="B191" s="4" t="str">
        <f>HYPERLINK("https://github.com/skoice/skoice", "skoice - skoice - minecraft-plugin")</f>
        <v>skoice - skoice - minecraft-plugin</v>
      </c>
      <c r="C191" s="5" t="s">
        <v>15</v>
      </c>
      <c r="D191" s="3">
        <v>2.0</v>
      </c>
      <c r="E191" s="5">
        <f t="shared" si="2"/>
        <v>1</v>
      </c>
      <c r="F191" s="5">
        <f t="shared" si="3"/>
        <v>0</v>
      </c>
    </row>
    <row r="192" ht="15.75" customHeight="1">
      <c r="A192" s="4" t="str">
        <f t="shared" si="29"/>
        <v>purpurmc - purpurextras - minecraft-plugin</v>
      </c>
      <c r="B192" s="4" t="str">
        <f>HYPERLINK("https://github.com/wisdommen/ultitools", "wisdommen - ultitools - minecraft-plugin")</f>
        <v>wisdommen - ultitools - minecraft-plugin</v>
      </c>
      <c r="C192" s="5" t="s">
        <v>7</v>
      </c>
      <c r="D192" s="3">
        <v>4.0</v>
      </c>
      <c r="E192" s="5">
        <f t="shared" si="2"/>
        <v>1</v>
      </c>
      <c r="F192" s="5">
        <f t="shared" si="3"/>
        <v>1</v>
      </c>
    </row>
    <row r="193" ht="15.75" customHeight="1">
      <c r="A193" s="4" t="str">
        <f t="shared" si="29"/>
        <v>purpurmc - purpurextras - minecraft-plugin</v>
      </c>
      <c r="B193" s="4" t="str">
        <f>HYPERLINK("https://github.com/zeshan321/actionhealth", "zeshan321 - actionhealth - minecraft-plugin")</f>
        <v>zeshan321 - actionhealth - minecraft-plugin</v>
      </c>
      <c r="C193" s="5" t="s">
        <v>11</v>
      </c>
      <c r="D193" s="3">
        <v>3.0</v>
      </c>
      <c r="E193" s="5">
        <f t="shared" si="2"/>
        <v>1</v>
      </c>
      <c r="F193" s="5">
        <f t="shared" si="3"/>
        <v>1</v>
      </c>
    </row>
    <row r="194" ht="15.75" customHeight="1">
      <c r="A194" s="4" t="str">
        <f t="shared" ref="A194:A205" si="31">HYPERLINK("https://github.com/signomix/signomix", "signomix - signomix - rest-api")</f>
        <v>signomix - signomix - rest-api</v>
      </c>
      <c r="B194" s="4" t="str">
        <f>HYPERLINK("https://github.com/andy-goryachev/fxeditor", "andy-goryachev - fxeditor - javafx")</f>
        <v>andy-goryachev - fxeditor - javafx</v>
      </c>
      <c r="C194" s="5" t="s">
        <v>15</v>
      </c>
      <c r="D194" s="3">
        <v>2.0</v>
      </c>
      <c r="E194" s="5">
        <f t="shared" si="2"/>
        <v>0</v>
      </c>
      <c r="F194" s="5">
        <f t="shared" si="3"/>
        <v>0</v>
      </c>
    </row>
    <row r="195" ht="15.75" customHeight="1">
      <c r="A195" s="4" t="str">
        <f t="shared" si="31"/>
        <v>signomix - signomix - rest-api</v>
      </c>
      <c r="B195" s="4" t="str">
        <f>HYPERLINK("https://github.com/authzforce/restful-pdp", "authzforce - restful-pdp - rest-api")</f>
        <v>authzforce - restful-pdp - rest-api</v>
      </c>
      <c r="C195" s="5" t="s">
        <v>17</v>
      </c>
      <c r="D195" s="3">
        <v>2.0</v>
      </c>
      <c r="E195" s="5">
        <f t="shared" si="2"/>
        <v>1</v>
      </c>
      <c r="F195" s="5">
        <f t="shared" si="3"/>
        <v>0</v>
      </c>
    </row>
    <row r="196" ht="15.75" customHeight="1">
      <c r="A196" s="4" t="str">
        <f t="shared" si="31"/>
        <v>signomix - signomix - rest-api</v>
      </c>
      <c r="B196" s="4" t="str">
        <f>HYPERLINK("https://github.com/crossbario/autobahn-java", "crossbario - autobahn-java - android")</f>
        <v>crossbario - autobahn-java - android</v>
      </c>
      <c r="C196" s="5" t="s">
        <v>13</v>
      </c>
      <c r="D196" s="3">
        <v>2.0</v>
      </c>
      <c r="E196" s="5">
        <f t="shared" si="2"/>
        <v>0</v>
      </c>
      <c r="F196" s="5">
        <f t="shared" si="3"/>
        <v>0</v>
      </c>
    </row>
    <row r="197" ht="15.75" customHeight="1">
      <c r="A197" s="4" t="str">
        <f t="shared" si="31"/>
        <v>signomix - signomix - rest-api</v>
      </c>
      <c r="B197" s="4" t="str">
        <f>HYPERLINK("https://github.com/erudika/para", "erudika - para - rest-api")</f>
        <v>erudika - para - rest-api</v>
      </c>
      <c r="C197" s="5" t="s">
        <v>9</v>
      </c>
      <c r="D197" s="3">
        <v>2.0</v>
      </c>
      <c r="E197" s="5">
        <f t="shared" si="2"/>
        <v>1</v>
      </c>
      <c r="F197" s="5">
        <f t="shared" si="3"/>
        <v>0</v>
      </c>
    </row>
    <row r="198" ht="15.75" customHeight="1">
      <c r="A198" s="4" t="str">
        <f t="shared" si="31"/>
        <v>signomix - signomix - rest-api</v>
      </c>
      <c r="B198" s="4" t="str">
        <f>HYPERLINK("https://github.com/mixeway/mixewaybackend", "mixeway - mixewaybackend - rest-api")</f>
        <v>mixeway - mixewaybackend - rest-api</v>
      </c>
      <c r="C198" s="5" t="s">
        <v>7</v>
      </c>
      <c r="D198" s="3">
        <v>2.0</v>
      </c>
      <c r="E198" s="5">
        <f t="shared" si="2"/>
        <v>1</v>
      </c>
      <c r="F198" s="5">
        <f t="shared" si="3"/>
        <v>0</v>
      </c>
    </row>
    <row r="199" ht="15.75" customHeight="1">
      <c r="A199" s="4" t="str">
        <f t="shared" si="31"/>
        <v>signomix - signomix - rest-api</v>
      </c>
      <c r="B199" s="4" t="str">
        <f>HYPERLINK("https://github.com/nextcloud/android-singlesignon", "nextcloud - android-singlesignon - android")</f>
        <v>nextcloud - android-singlesignon - android</v>
      </c>
      <c r="C199" s="5" t="s">
        <v>11</v>
      </c>
      <c r="D199" s="3">
        <v>1.0</v>
      </c>
      <c r="E199" s="5">
        <f t="shared" si="2"/>
        <v>0</v>
      </c>
      <c r="F199" s="5">
        <f t="shared" si="3"/>
        <v>0</v>
      </c>
    </row>
    <row r="200" ht="15.75" customHeight="1">
      <c r="A200" s="4" t="str">
        <f t="shared" si="31"/>
        <v>signomix - signomix - rest-api</v>
      </c>
      <c r="B200" s="4" t="str">
        <f>HYPERLINK("https://github.com/phoenicisorg/phoenicis", "phoenicisorg - phoenicis - javafx")</f>
        <v>phoenicisorg - phoenicis - javafx</v>
      </c>
      <c r="C200" s="5" t="s">
        <v>14</v>
      </c>
      <c r="D200" s="3">
        <v>1.0</v>
      </c>
      <c r="E200" s="5">
        <f t="shared" si="2"/>
        <v>0</v>
      </c>
      <c r="F200" s="5">
        <f t="shared" si="3"/>
        <v>0</v>
      </c>
    </row>
    <row r="201" ht="15.75" customHeight="1">
      <c r="A201" s="4" t="str">
        <f t="shared" si="31"/>
        <v>signomix - signomix - rest-api</v>
      </c>
      <c r="B201" s="4" t="str">
        <f>HYPERLINK("https://github.com/piomin/sample-quarkus-microservices-consul", "piomin - sample-quarkus-microservices-consul - rest-api")</f>
        <v>piomin - sample-quarkus-microservices-consul - rest-api</v>
      </c>
      <c r="C201" s="5" t="s">
        <v>6</v>
      </c>
      <c r="D201" s="3">
        <v>2.0</v>
      </c>
      <c r="E201" s="5">
        <f t="shared" si="2"/>
        <v>1</v>
      </c>
      <c r="F201" s="5">
        <f t="shared" si="3"/>
        <v>0</v>
      </c>
    </row>
    <row r="202" ht="15.75" customHeight="1">
      <c r="A202" s="4" t="str">
        <f t="shared" si="31"/>
        <v>signomix - signomix - rest-api</v>
      </c>
      <c r="B202" s="4" t="str">
        <f>HYPERLINK("https://github.com/ryansusana/elepy", "ryansusana - elepy - rest-api")</f>
        <v>ryansusana - elepy - rest-api</v>
      </c>
      <c r="C202" s="5" t="s">
        <v>16</v>
      </c>
      <c r="D202" s="3">
        <v>2.0</v>
      </c>
      <c r="E202" s="5">
        <f t="shared" si="2"/>
        <v>1</v>
      </c>
      <c r="F202" s="5">
        <f t="shared" si="3"/>
        <v>0</v>
      </c>
    </row>
    <row r="203" ht="15.75" customHeight="1">
      <c r="A203" s="4" t="str">
        <f t="shared" si="31"/>
        <v>signomix - signomix - rest-api</v>
      </c>
      <c r="B203" s="4" t="str">
        <f>HYPERLINK("https://github.com/stevespringett/alpine", "stevespringett - alpine - rest-api")</f>
        <v>stevespringett - alpine - rest-api</v>
      </c>
      <c r="C203" s="5" t="s">
        <v>10</v>
      </c>
      <c r="D203" s="3">
        <v>2.0</v>
      </c>
      <c r="E203" s="5">
        <f t="shared" si="2"/>
        <v>1</v>
      </c>
      <c r="F203" s="5">
        <f t="shared" si="3"/>
        <v>0</v>
      </c>
    </row>
    <row r="204" ht="15.75" customHeight="1">
      <c r="A204" s="4" t="str">
        <f t="shared" si="31"/>
        <v>signomix - signomix - rest-api</v>
      </c>
      <c r="B204" s="4" t="str">
        <f>HYPERLINK("https://github.com/townyadvanced/townyprovinces", "townyadvanced - townyprovinces - minecraft-plugin")</f>
        <v>townyadvanced - townyprovinces - minecraft-plugin</v>
      </c>
      <c r="C204" s="5" t="s">
        <v>12</v>
      </c>
      <c r="D204" s="3">
        <v>1.0</v>
      </c>
      <c r="E204" s="5">
        <f t="shared" si="2"/>
        <v>0</v>
      </c>
      <c r="F204" s="5">
        <f t="shared" si="3"/>
        <v>0</v>
      </c>
    </row>
    <row r="205" ht="15.75" customHeight="1">
      <c r="A205" s="4" t="str">
        <f t="shared" si="31"/>
        <v>signomix - signomix - rest-api</v>
      </c>
      <c r="B205" s="4" t="str">
        <f>HYPERLINK("https://github.com/tuya/tuya-connector", "tuya - tuya-connector - rest-api")</f>
        <v>tuya - tuya-connector - rest-api</v>
      </c>
      <c r="C205" s="5" t="s">
        <v>8</v>
      </c>
      <c r="D205" s="3">
        <v>4.0</v>
      </c>
      <c r="E205" s="5">
        <f t="shared" si="2"/>
        <v>1</v>
      </c>
      <c r="F205" s="5">
        <f t="shared" si="3"/>
        <v>1</v>
      </c>
    </row>
    <row r="206" ht="15.75" customHeight="1">
      <c r="A206" s="4" t="str">
        <f t="shared" ref="A206:A217" si="32">HYPERLINK("https://github.com/tomeraberbach/mano-simulator", "tomeraberbach - mano-simulator - javafx")</f>
        <v>tomeraberbach - mano-simulator - javafx</v>
      </c>
      <c r="B206" s="4" t="str">
        <f>HYPERLINK("https://github.com/adoptopenjdk/jitwatch", "adoptopenjdk - jitwatch - javafx")</f>
        <v>adoptopenjdk - jitwatch - javafx</v>
      </c>
      <c r="C206" s="5" t="s">
        <v>6</v>
      </c>
      <c r="D206" s="3">
        <v>2.0</v>
      </c>
      <c r="E206" s="5">
        <f t="shared" si="2"/>
        <v>1</v>
      </c>
      <c r="F206" s="5">
        <f t="shared" si="3"/>
        <v>0</v>
      </c>
    </row>
    <row r="207" ht="15.75" customHeight="1">
      <c r="A207" s="4" t="str">
        <f t="shared" si="32"/>
        <v>tomeraberbach - mano-simulator - javafx</v>
      </c>
      <c r="B207" s="4" t="str">
        <f>HYPERLINK("https://github.com/binjr/binjr", "binjr - binjr - javafx")</f>
        <v>binjr - binjr - javafx</v>
      </c>
      <c r="C207" s="5" t="s">
        <v>17</v>
      </c>
      <c r="D207" s="3">
        <v>2.0</v>
      </c>
      <c r="E207" s="5">
        <f t="shared" si="2"/>
        <v>1</v>
      </c>
      <c r="F207" s="5">
        <f t="shared" si="3"/>
        <v>0</v>
      </c>
    </row>
    <row r="208" ht="15.75" customHeight="1">
      <c r="A208" s="4" t="str">
        <f t="shared" si="32"/>
        <v>tomeraberbach - mano-simulator - javafx</v>
      </c>
      <c r="B208" s="4" t="str">
        <f>HYPERLINK("https://github.com/brunoeberhard/minimal-j", "brunoeberhard - minimal-j - rest-api")</f>
        <v>brunoeberhard - minimal-j - rest-api</v>
      </c>
      <c r="C208" s="5" t="s">
        <v>11</v>
      </c>
      <c r="D208" s="3">
        <v>3.0</v>
      </c>
      <c r="E208" s="5">
        <f t="shared" si="2"/>
        <v>0</v>
      </c>
      <c r="F208" s="5">
        <f t="shared" si="3"/>
        <v>1</v>
      </c>
    </row>
    <row r="209" ht="15.75" customHeight="1">
      <c r="A209" s="4" t="str">
        <f t="shared" si="32"/>
        <v>tomeraberbach - mano-simulator - javafx</v>
      </c>
      <c r="B209" s="4" t="str">
        <f>HYPERLINK("https://github.com/bumptech/glide", "bumptech - glide - android")</f>
        <v>bumptech - glide - android</v>
      </c>
      <c r="C209" s="5" t="s">
        <v>16</v>
      </c>
      <c r="D209" s="3">
        <v>1.0</v>
      </c>
      <c r="E209" s="5">
        <f t="shared" si="2"/>
        <v>0</v>
      </c>
      <c r="F209" s="5">
        <f t="shared" si="3"/>
        <v>0</v>
      </c>
    </row>
    <row r="210" ht="15.75" customHeight="1">
      <c r="A210" s="4" t="str">
        <f t="shared" si="32"/>
        <v>tomeraberbach - mano-simulator - javafx</v>
      </c>
      <c r="B210" s="4" t="str">
        <f>HYPERLINK("https://github.com/hervegirod/fxsvgimage", "hervegirod - fxsvgimage - javafx")</f>
        <v>hervegirod - fxsvgimage - javafx</v>
      </c>
      <c r="C210" s="5" t="s">
        <v>15</v>
      </c>
      <c r="D210" s="3">
        <v>2.0</v>
      </c>
      <c r="E210" s="5">
        <f t="shared" si="2"/>
        <v>1</v>
      </c>
      <c r="F210" s="5">
        <f t="shared" si="3"/>
        <v>0</v>
      </c>
    </row>
    <row r="211" ht="15.75" customHeight="1">
      <c r="A211" s="4" t="str">
        <f t="shared" si="32"/>
        <v>tomeraberbach - mano-simulator - javafx</v>
      </c>
      <c r="B211" s="4" t="str">
        <f>HYPERLINK("https://github.com/jabref/jabref", "jabref - jabref - javafx")</f>
        <v>jabref - jabref - javafx</v>
      </c>
      <c r="C211" s="5" t="s">
        <v>14</v>
      </c>
      <c r="D211" s="3">
        <v>1.0</v>
      </c>
      <c r="E211" s="5">
        <f t="shared" si="2"/>
        <v>1</v>
      </c>
      <c r="F211" s="5">
        <f t="shared" si="3"/>
        <v>0</v>
      </c>
    </row>
    <row r="212" ht="15.75" customHeight="1">
      <c r="A212" s="4" t="str">
        <f t="shared" si="32"/>
        <v>tomeraberbach - mano-simulator - javafx</v>
      </c>
      <c r="B212" s="4" t="str">
        <f>HYPERLINK("https://github.com/jelmerk/hnswlib", "jelmerk - hnswlib - algorithm")</f>
        <v>jelmerk - hnswlib - algorithm</v>
      </c>
      <c r="C212" s="5" t="s">
        <v>7</v>
      </c>
      <c r="D212" s="3">
        <v>2.0</v>
      </c>
      <c r="E212" s="5">
        <f t="shared" si="2"/>
        <v>0</v>
      </c>
      <c r="F212" s="5">
        <f t="shared" si="3"/>
        <v>0</v>
      </c>
    </row>
    <row r="213" ht="15.75" customHeight="1">
      <c r="A213" s="4" t="str">
        <f t="shared" si="32"/>
        <v>tomeraberbach - mano-simulator - javafx</v>
      </c>
      <c r="B213" s="4" t="str">
        <f>HYPERLINK("https://github.com/realheart/zmusic", "realheart - zmusic - minecraft-plugin")</f>
        <v>realheart - zmusic - minecraft-plugin</v>
      </c>
      <c r="C213" s="5" t="s">
        <v>13</v>
      </c>
      <c r="D213" s="3">
        <v>1.0</v>
      </c>
      <c r="E213" s="5">
        <f t="shared" si="2"/>
        <v>0</v>
      </c>
      <c r="F213" s="5">
        <f t="shared" si="3"/>
        <v>0</v>
      </c>
    </row>
    <row r="214" ht="15.75" customHeight="1">
      <c r="A214" s="4" t="str">
        <f t="shared" si="32"/>
        <v>tomeraberbach - mano-simulator - javafx</v>
      </c>
      <c r="B214" s="4" t="str">
        <f>HYPERLINK("https://github.com/valkryst/schillsaver", "valkryst - schillsaver - javafx")</f>
        <v>valkryst - schillsaver - javafx</v>
      </c>
      <c r="C214" s="5" t="s">
        <v>8</v>
      </c>
      <c r="D214" s="3">
        <v>2.0</v>
      </c>
      <c r="E214" s="5">
        <f t="shared" si="2"/>
        <v>1</v>
      </c>
      <c r="F214" s="5">
        <f t="shared" si="3"/>
        <v>0</v>
      </c>
    </row>
    <row r="215" ht="15.75" customHeight="1">
      <c r="A215" s="4" t="str">
        <f t="shared" si="32"/>
        <v>tomeraberbach - mano-simulator - javafx</v>
      </c>
      <c r="B215" s="4" t="str">
        <f>HYPERLINK("https://github.com/winston-dsouza/Online-Food-Ordering-System", "winston-dsouza - Online-Food-Ordering-System - javafx")</f>
        <v>winston-dsouza - Online-Food-Ordering-System - javafx</v>
      </c>
      <c r="C215" s="5" t="s">
        <v>10</v>
      </c>
      <c r="D215" s="3">
        <v>1.0</v>
      </c>
      <c r="E215" s="5">
        <f t="shared" si="2"/>
        <v>1</v>
      </c>
      <c r="F215" s="5">
        <f t="shared" si="3"/>
        <v>0</v>
      </c>
    </row>
    <row r="216" ht="15.75" customHeight="1">
      <c r="A216" s="4" t="str">
        <f t="shared" si="32"/>
        <v>tomeraberbach - mano-simulator - javafx</v>
      </c>
      <c r="B216" s="4" t="str">
        <f t="shared" ref="B216:B217" si="33">HYPERLINK("https://github.com/xedziu/keepmypassword-desktop", "xedziu - keepmypassword-desktop - javafx")</f>
        <v>xedziu - keepmypassword-desktop - javafx</v>
      </c>
      <c r="C216" s="5" t="s">
        <v>12</v>
      </c>
      <c r="D216" s="3">
        <v>1.0</v>
      </c>
      <c r="E216" s="5">
        <f t="shared" si="2"/>
        <v>1</v>
      </c>
      <c r="F216" s="5">
        <f t="shared" si="3"/>
        <v>0</v>
      </c>
    </row>
    <row r="217" ht="15.75" customHeight="1">
      <c r="A217" s="4" t="str">
        <f t="shared" si="32"/>
        <v>tomeraberbach - mano-simulator - javafx</v>
      </c>
      <c r="B217" s="4" t="str">
        <f t="shared" si="33"/>
        <v>xedziu - keepmypassword-desktop - javafx</v>
      </c>
      <c r="C217" s="5" t="s">
        <v>9</v>
      </c>
      <c r="D217" s="3">
        <v>1.0</v>
      </c>
      <c r="E217" s="5">
        <f t="shared" si="2"/>
        <v>1</v>
      </c>
      <c r="F217" s="5">
        <f t="shared" si="3"/>
        <v>0</v>
      </c>
    </row>
    <row r="218" ht="15.75" customHeight="1">
      <c r="A218" s="4" t="str">
        <f t="shared" ref="A218:A229" si="34">HYPERLINK("https://github.com/wizzdi/flexicore", "wizzdi - flexicore - rest-api")</f>
        <v>wizzdi - flexicore - rest-api</v>
      </c>
      <c r="B218" s="4" t="str">
        <f>HYPERLINK("https://github.com/apickledwalrus/skript-placeholders", "apickledwalrus - skript-placeholders - minecraft-plugin")</f>
        <v>apickledwalrus - skript-placeholders - minecraft-plugin</v>
      </c>
      <c r="C218" s="5" t="s">
        <v>17</v>
      </c>
      <c r="D218" s="3">
        <v>2.0</v>
      </c>
      <c r="E218" s="5">
        <f t="shared" si="2"/>
        <v>0</v>
      </c>
      <c r="F218" s="5">
        <f t="shared" si="3"/>
        <v>0</v>
      </c>
    </row>
    <row r="219" ht="15.75" customHeight="1">
      <c r="A219" s="4" t="str">
        <f t="shared" si="34"/>
        <v>wizzdi - flexicore - rest-api</v>
      </c>
      <c r="B219" s="4" t="str">
        <f>HYPERLINK("https://github.com/aws-amplify/aws-sdk-android", "aws-amplify - aws-sdk-android - android")</f>
        <v>aws-amplify - aws-sdk-android - android</v>
      </c>
      <c r="C219" s="5" t="s">
        <v>12</v>
      </c>
      <c r="D219" s="3">
        <v>2.0</v>
      </c>
      <c r="E219" s="5">
        <f t="shared" si="2"/>
        <v>0</v>
      </c>
      <c r="F219" s="5">
        <f t="shared" si="3"/>
        <v>0</v>
      </c>
    </row>
    <row r="220" ht="15.75" customHeight="1">
      <c r="A220" s="4" t="str">
        <f t="shared" si="34"/>
        <v>wizzdi - flexicore - rest-api</v>
      </c>
      <c r="B220" s="4" t="str">
        <f>HYPERLINK("https://github.com/brunoeberhard/minimal-j", "brunoeberhard - minimal-j - rest-api")</f>
        <v>brunoeberhard - minimal-j - rest-api</v>
      </c>
      <c r="C220" s="5" t="s">
        <v>10</v>
      </c>
      <c r="D220" s="3">
        <v>1.0</v>
      </c>
      <c r="E220" s="5">
        <f t="shared" si="2"/>
        <v>1</v>
      </c>
      <c r="F220" s="5">
        <f t="shared" si="3"/>
        <v>0</v>
      </c>
    </row>
    <row r="221" ht="15.75" customHeight="1">
      <c r="A221" s="4" t="str">
        <f t="shared" si="34"/>
        <v>wizzdi - flexicore - rest-api</v>
      </c>
      <c r="B221" s="4" t="str">
        <f>HYPERLINK("https://github.com/dec4234/javadestinyapi", "dec4234 - javadestinyapi - rest-api")</f>
        <v>dec4234 - javadestinyapi - rest-api</v>
      </c>
      <c r="C221" s="5" t="s">
        <v>11</v>
      </c>
      <c r="D221" s="3">
        <v>2.0</v>
      </c>
      <c r="E221" s="5">
        <f t="shared" si="2"/>
        <v>1</v>
      </c>
      <c r="F221" s="5">
        <f t="shared" si="3"/>
        <v>0</v>
      </c>
    </row>
    <row r="222" ht="15.75" customHeight="1">
      <c r="A222" s="4" t="str">
        <f t="shared" si="34"/>
        <v>wizzdi - flexicore - rest-api</v>
      </c>
      <c r="B222" s="4" t="str">
        <f>HYPERLINK("https://github.com/dmx-systems/dmx-platform", "dmx-systems - dmx-platform - rest-api")</f>
        <v>dmx-systems - dmx-platform - rest-api</v>
      </c>
      <c r="C222" s="5" t="s">
        <v>13</v>
      </c>
      <c r="D222" s="3">
        <v>2.0</v>
      </c>
      <c r="E222" s="5">
        <f t="shared" si="2"/>
        <v>1</v>
      </c>
      <c r="F222" s="5">
        <f t="shared" si="3"/>
        <v>0</v>
      </c>
    </row>
    <row r="223" ht="15.75" customHeight="1">
      <c r="A223" s="4" t="str">
        <f t="shared" si="34"/>
        <v>wizzdi - flexicore - rest-api</v>
      </c>
      <c r="B223" s="4" t="str">
        <f t="shared" ref="B223:B224" si="35">HYPERLINK("https://github.com/elimu-ai/webapp", "elimu-ai - webapp - rest-api")</f>
        <v>elimu-ai - webapp - rest-api</v>
      </c>
      <c r="C223" s="5" t="s">
        <v>16</v>
      </c>
      <c r="D223" s="3">
        <v>1.0</v>
      </c>
      <c r="E223" s="5">
        <f t="shared" si="2"/>
        <v>1</v>
      </c>
      <c r="F223" s="5">
        <f t="shared" si="3"/>
        <v>0</v>
      </c>
    </row>
    <row r="224" ht="15.75" customHeight="1">
      <c r="A224" s="4" t="str">
        <f t="shared" si="34"/>
        <v>wizzdi - flexicore - rest-api</v>
      </c>
      <c r="B224" s="4" t="str">
        <f t="shared" si="35"/>
        <v>elimu-ai - webapp - rest-api</v>
      </c>
      <c r="C224" s="5" t="s">
        <v>14</v>
      </c>
      <c r="D224" s="3">
        <v>1.0</v>
      </c>
      <c r="E224" s="5">
        <f t="shared" si="2"/>
        <v>1</v>
      </c>
      <c r="F224" s="5">
        <f t="shared" si="3"/>
        <v>0</v>
      </c>
    </row>
    <row r="225" ht="15.75" customHeight="1">
      <c r="A225" s="4" t="str">
        <f t="shared" si="34"/>
        <v>wizzdi - flexicore - rest-api</v>
      </c>
      <c r="B225" s="4" t="str">
        <f>HYPERLINK("https://github.com/hibiscusmc/hmccosmetics", "hibiscusmc - hmccosmetics - minecraft-plugin")</f>
        <v>hibiscusmc - hmccosmetics - minecraft-plugin</v>
      </c>
      <c r="C225" s="5" t="s">
        <v>8</v>
      </c>
      <c r="D225" s="3">
        <v>1.0</v>
      </c>
      <c r="E225" s="5">
        <f t="shared" si="2"/>
        <v>0</v>
      </c>
      <c r="F225" s="5">
        <f t="shared" si="3"/>
        <v>0</v>
      </c>
    </row>
    <row r="226" ht="15.75" customHeight="1">
      <c r="A226" s="4" t="str">
        <f t="shared" si="34"/>
        <v>wizzdi - flexicore - rest-api</v>
      </c>
      <c r="B226" s="4" t="str">
        <f>HYPERLINK("https://github.com/maxmaeder/drivebackupv2", "maxmaeder - drivebackupv2 - minecraft-plugin")</f>
        <v>maxmaeder - drivebackupv2 - minecraft-plugin</v>
      </c>
      <c r="C226" s="5" t="s">
        <v>6</v>
      </c>
      <c r="D226" s="3">
        <v>1.0</v>
      </c>
      <c r="E226" s="5">
        <f t="shared" si="2"/>
        <v>0</v>
      </c>
      <c r="F226" s="5">
        <f t="shared" si="3"/>
        <v>0</v>
      </c>
    </row>
    <row r="227" ht="15.75" customHeight="1">
      <c r="A227" s="4" t="str">
        <f t="shared" si="34"/>
        <v>wizzdi - flexicore - rest-api</v>
      </c>
      <c r="B227" s="4" t="str">
        <f>HYPERLINK("https://github.com/nuytemans-dieter/bettersleeping", "nuytemans-dieter - bettersleeping - minecraft-plugin")</f>
        <v>nuytemans-dieter - bettersleeping - minecraft-plugin</v>
      </c>
      <c r="C227" s="5" t="s">
        <v>15</v>
      </c>
      <c r="D227" s="3">
        <v>1.0</v>
      </c>
      <c r="E227" s="5">
        <f t="shared" si="2"/>
        <v>0</v>
      </c>
      <c r="F227" s="5">
        <f t="shared" si="3"/>
        <v>0</v>
      </c>
    </row>
    <row r="228" ht="15.75" customHeight="1">
      <c r="A228" s="4" t="str">
        <f t="shared" si="34"/>
        <v>wizzdi - flexicore - rest-api</v>
      </c>
      <c r="B228" s="4" t="str">
        <f>HYPERLINK("https://github.com/toolgood/toolgood.algorithm", "toolgood - toolgood.algorithm - algorithm")</f>
        <v>toolgood - toolgood.algorithm - algorithm</v>
      </c>
      <c r="C228" s="5" t="s">
        <v>7</v>
      </c>
      <c r="D228" s="3">
        <v>2.0</v>
      </c>
      <c r="E228" s="5">
        <f t="shared" si="2"/>
        <v>0</v>
      </c>
      <c r="F228" s="5">
        <f t="shared" si="3"/>
        <v>0</v>
      </c>
    </row>
    <row r="229" ht="15.75" customHeight="1">
      <c r="A229" s="4" t="str">
        <f t="shared" si="34"/>
        <v>wizzdi - flexicore - rest-api</v>
      </c>
      <c r="B229" s="4" t="str">
        <f>HYPERLINK("https://github.com/xenondevs/nova", "xenondevs - nova - minecraft-plugin")</f>
        <v>xenondevs - nova - minecraft-plugin</v>
      </c>
      <c r="C229" s="5" t="s">
        <v>9</v>
      </c>
      <c r="D229" s="3">
        <v>2.0</v>
      </c>
      <c r="E229" s="5">
        <f t="shared" si="2"/>
        <v>0</v>
      </c>
      <c r="F229" s="5">
        <f t="shared" si="3"/>
        <v>0</v>
      </c>
    </row>
    <row r="230" ht="15.75" customHeight="1">
      <c r="A230" s="4" t="str">
        <f t="shared" ref="A230:A241" si="36">HYPERLINK("https://github.com/youhavetrouble/commandwhitelist", "youhavetrouble - commandwhitelist - minecraft-plugin")</f>
        <v>youhavetrouble - commandwhitelist - minecraft-plugin</v>
      </c>
      <c r="B230" s="4" t="str">
        <f>HYPERLINK("https://github.com/0pandadev/nextron", "0pandadev - nextron - minecraft-plugin")</f>
        <v>0pandadev - nextron - minecraft-plugin</v>
      </c>
      <c r="C230" s="5" t="s">
        <v>12</v>
      </c>
      <c r="D230" s="3">
        <v>3.0</v>
      </c>
      <c r="E230" s="5">
        <f t="shared" si="2"/>
        <v>1</v>
      </c>
      <c r="F230" s="5">
        <f t="shared" si="3"/>
        <v>1</v>
      </c>
    </row>
    <row r="231" ht="15.75" customHeight="1">
      <c r="A231" s="4" t="str">
        <f t="shared" si="36"/>
        <v>youhavetrouble - commandwhitelist - minecraft-plugin</v>
      </c>
      <c r="B231" s="4" t="str">
        <f>HYPERLINK("https://github.com/4drian3d/epicguard", "4drian3d - epicguard - minecraft-plugin")</f>
        <v>4drian3d - epicguard - minecraft-plugin</v>
      </c>
      <c r="C231" s="5" t="s">
        <v>16</v>
      </c>
      <c r="D231" s="3">
        <v>3.0</v>
      </c>
      <c r="E231" s="5">
        <f t="shared" si="2"/>
        <v>1</v>
      </c>
      <c r="F231" s="5">
        <f t="shared" si="3"/>
        <v>1</v>
      </c>
    </row>
    <row r="232" ht="15.75" customHeight="1">
      <c r="A232" s="4" t="str">
        <f t="shared" si="36"/>
        <v>youhavetrouble - commandwhitelist - minecraft-plugin</v>
      </c>
      <c r="B232" s="4" t="str">
        <f>HYPERLINK("https://github.com/4drian3d/kickredirect", "4drian3d - kickredirect - minecraft-plugin")</f>
        <v>4drian3d - kickredirect - minecraft-plugin</v>
      </c>
      <c r="C232" s="5" t="s">
        <v>14</v>
      </c>
      <c r="D232" s="3">
        <v>3.0</v>
      </c>
      <c r="E232" s="5">
        <f t="shared" si="2"/>
        <v>1</v>
      </c>
      <c r="F232" s="5">
        <f t="shared" si="3"/>
        <v>1</v>
      </c>
    </row>
    <row r="233" ht="15.75" customHeight="1">
      <c r="A233" s="4" t="str">
        <f t="shared" si="36"/>
        <v>youhavetrouble - commandwhitelist - minecraft-plugin</v>
      </c>
      <c r="B233" s="4" t="str">
        <f t="shared" ref="B233:B234" si="37">HYPERLINK("https://github.com/georgh93/marriagemaster", "georgh93 - marriagemaster - minecraft-plugin")</f>
        <v>georgh93 - marriagemaster - minecraft-plugin</v>
      </c>
      <c r="C233" s="5" t="s">
        <v>11</v>
      </c>
      <c r="D233" s="3">
        <v>3.0</v>
      </c>
      <c r="E233" s="5">
        <f t="shared" si="2"/>
        <v>1</v>
      </c>
      <c r="F233" s="5">
        <f t="shared" si="3"/>
        <v>1</v>
      </c>
    </row>
    <row r="234" ht="15.75" customHeight="1">
      <c r="A234" s="4" t="str">
        <f t="shared" si="36"/>
        <v>youhavetrouble - commandwhitelist - minecraft-plugin</v>
      </c>
      <c r="B234" s="4" t="str">
        <f t="shared" si="37"/>
        <v>georgh93 - marriagemaster - minecraft-plugin</v>
      </c>
      <c r="C234" s="5" t="s">
        <v>7</v>
      </c>
      <c r="D234" s="3">
        <v>3.0</v>
      </c>
      <c r="E234" s="5">
        <f t="shared" si="2"/>
        <v>1</v>
      </c>
      <c r="F234" s="5">
        <f t="shared" si="3"/>
        <v>1</v>
      </c>
    </row>
    <row r="235" ht="15.75" customHeight="1">
      <c r="A235" s="4" t="str">
        <f t="shared" si="36"/>
        <v>youhavetrouble - commandwhitelist - minecraft-plugin</v>
      </c>
      <c r="B235" s="4" t="str">
        <f>HYPERLINK("https://github.com/jpenilla/minimotd", "jpenilla - minimotd - minecraft-plugin")</f>
        <v>jpenilla - minimotd - minecraft-plugin</v>
      </c>
      <c r="C235" s="5" t="s">
        <v>15</v>
      </c>
      <c r="D235" s="3">
        <v>3.0</v>
      </c>
      <c r="E235" s="5">
        <f t="shared" si="2"/>
        <v>1</v>
      </c>
      <c r="F235" s="5">
        <f t="shared" si="3"/>
        <v>1</v>
      </c>
    </row>
    <row r="236" ht="15.75" customHeight="1">
      <c r="A236" s="4" t="str">
        <f t="shared" si="36"/>
        <v>youhavetrouble - commandwhitelist - minecraft-plugin</v>
      </c>
      <c r="B236" s="4" t="str">
        <f>HYPERLINK("https://github.com/jpenilla/wanderingtrades", "jpenilla - wanderingtrades - minecraft-plugin")</f>
        <v>jpenilla - wanderingtrades - minecraft-plugin</v>
      </c>
      <c r="C236" s="5" t="s">
        <v>13</v>
      </c>
      <c r="D236" s="3">
        <v>3.0</v>
      </c>
      <c r="E236" s="5">
        <f t="shared" si="2"/>
        <v>1</v>
      </c>
      <c r="F236" s="5">
        <f t="shared" si="3"/>
        <v>1</v>
      </c>
    </row>
    <row r="237" ht="15.75" customHeight="1">
      <c r="A237" s="4" t="str">
        <f t="shared" si="36"/>
        <v>youhavetrouble - commandwhitelist - minecraft-plugin</v>
      </c>
      <c r="B237" s="4" t="str">
        <f>HYPERLINK("https://github.com/kennytv/maintenance", "kennytv - maintenance - minecraft-plugin")</f>
        <v>kennytv - maintenance - minecraft-plugin</v>
      </c>
      <c r="C237" s="5" t="s">
        <v>17</v>
      </c>
      <c r="D237" s="3">
        <v>4.0</v>
      </c>
      <c r="E237" s="5">
        <f t="shared" si="2"/>
        <v>1</v>
      </c>
      <c r="F237" s="5">
        <f t="shared" si="3"/>
        <v>1</v>
      </c>
    </row>
    <row r="238" ht="15.75" customHeight="1">
      <c r="A238" s="4" t="str">
        <f t="shared" si="36"/>
        <v>youhavetrouble - commandwhitelist - minecraft-plugin</v>
      </c>
      <c r="B238" s="4" t="str">
        <f t="shared" ref="B238:B239" si="38">HYPERLINK("https://github.com/niklasei/gamebox", "niklasei - gamebox - minecraft-plugin")</f>
        <v>niklasei - gamebox - minecraft-plugin</v>
      </c>
      <c r="C238" s="5" t="s">
        <v>6</v>
      </c>
      <c r="D238" s="3">
        <v>3.0</v>
      </c>
      <c r="E238" s="5">
        <f t="shared" si="2"/>
        <v>1</v>
      </c>
      <c r="F238" s="5">
        <f t="shared" si="3"/>
        <v>1</v>
      </c>
    </row>
    <row r="239" ht="15.75" customHeight="1">
      <c r="A239" s="4" t="str">
        <f t="shared" si="36"/>
        <v>youhavetrouble - commandwhitelist - minecraft-plugin</v>
      </c>
      <c r="B239" s="4" t="str">
        <f t="shared" si="38"/>
        <v>niklasei - gamebox - minecraft-plugin</v>
      </c>
      <c r="C239" s="5" t="s">
        <v>10</v>
      </c>
      <c r="D239" s="3">
        <v>3.0</v>
      </c>
      <c r="E239" s="5">
        <f t="shared" si="2"/>
        <v>1</v>
      </c>
      <c r="F239" s="5">
        <f t="shared" si="3"/>
        <v>1</v>
      </c>
    </row>
    <row r="240" ht="15.75" customHeight="1">
      <c r="A240" s="4" t="str">
        <f t="shared" si="36"/>
        <v>youhavetrouble - commandwhitelist - minecraft-plugin</v>
      </c>
      <c r="B240" s="4" t="str">
        <f>HYPERLINK("https://github.com/pedrojm96/superlobbydeluxe", "pedrojm96 - superlobbydeluxe - minecraft-plugin")</f>
        <v>pedrojm96 - superlobbydeluxe - minecraft-plugin</v>
      </c>
      <c r="C240" s="5" t="s">
        <v>8</v>
      </c>
      <c r="D240" s="3">
        <v>4.0</v>
      </c>
      <c r="E240" s="5">
        <f t="shared" si="2"/>
        <v>1</v>
      </c>
      <c r="F240" s="5">
        <f t="shared" si="3"/>
        <v>1</v>
      </c>
    </row>
    <row r="241" ht="15.75" customHeight="1">
      <c r="A241" s="4" t="str">
        <f t="shared" si="36"/>
        <v>youhavetrouble - commandwhitelist - minecraft-plugin</v>
      </c>
      <c r="B241" s="4" t="str">
        <f>HYPERLINK("https://github.com/samb440/forcepack", "samb440 - forcepack - minecraft-plugin")</f>
        <v>samb440 - forcepack - minecraft-plugin</v>
      </c>
      <c r="C241" s="5" t="s">
        <v>9</v>
      </c>
      <c r="D241" s="3">
        <v>3.0</v>
      </c>
      <c r="E241" s="5">
        <f t="shared" si="2"/>
        <v>1</v>
      </c>
      <c r="F241" s="5">
        <f t="shared" si="3"/>
        <v>1</v>
      </c>
    </row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E2:E241">
    <cfRule type="cellIs" dxfId="0" priority="1" operator="equal">
      <formula>1</formula>
    </cfRule>
  </conditionalFormatting>
  <conditionalFormatting sqref="E2:E241">
    <cfRule type="cellIs" dxfId="1" priority="2" operator="equal">
      <formula>0</formula>
    </cfRule>
  </conditionalFormatting>
  <conditionalFormatting sqref="D2:D241">
    <cfRule type="notContainsBlanks" dxfId="2" priority="3">
      <formula>LEN(TRIM(D2))&gt;0</formula>
    </cfRule>
  </conditionalFormatting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2.71"/>
  </cols>
  <sheetData>
    <row r="1">
      <c r="A1" s="3" t="s">
        <v>18</v>
      </c>
      <c r="B1" s="5">
        <f>240-B2</f>
        <v>240</v>
      </c>
    </row>
    <row r="2">
      <c r="A2" s="3" t="s">
        <v>19</v>
      </c>
      <c r="B2" s="5">
        <f>COUNTBLANK(Data!D2:D241)</f>
        <v>0</v>
      </c>
    </row>
    <row r="4">
      <c r="A4" s="3" t="s">
        <v>20</v>
      </c>
      <c r="B4" s="5">
        <f>COUNTIF(Data!D2:D241,1)</f>
        <v>49</v>
      </c>
      <c r="D4" s="6" t="s">
        <v>21</v>
      </c>
    </row>
    <row r="5">
      <c r="A5" s="3" t="s">
        <v>22</v>
      </c>
      <c r="B5" s="5">
        <f>COUNTIF(Data!D2:D241,2)</f>
        <v>83</v>
      </c>
      <c r="D5" s="6" t="s">
        <v>21</v>
      </c>
    </row>
    <row r="6">
      <c r="A6" s="3" t="s">
        <v>23</v>
      </c>
      <c r="B6" s="5">
        <f>COUNTIF(Data!D2:D241,3)</f>
        <v>86</v>
      </c>
      <c r="D6" s="6" t="s">
        <v>24</v>
      </c>
    </row>
    <row r="7">
      <c r="A7" s="3" t="s">
        <v>25</v>
      </c>
      <c r="B7" s="5">
        <f>COUNTIF(Data!D2:D241,4)</f>
        <v>22</v>
      </c>
      <c r="D7" s="6" t="s">
        <v>24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8.57"/>
    <col customWidth="1" min="2" max="2" width="10.71"/>
    <col customWidth="1" min="3" max="3" width="15.57"/>
    <col customWidth="1" min="4" max="4" width="16.71"/>
    <col customWidth="1" min="5" max="5" width="16.57"/>
    <col customWidth="1" min="6" max="6" width="18.29"/>
    <col customWidth="1" min="7" max="7" width="13.14"/>
  </cols>
  <sheetData>
    <row r="1">
      <c r="A1" s="3"/>
      <c r="B1" s="3" t="s">
        <v>6</v>
      </c>
      <c r="C1" s="5" t="s">
        <v>15</v>
      </c>
      <c r="D1" s="7" t="s">
        <v>16</v>
      </c>
      <c r="E1" s="7" t="s">
        <v>9</v>
      </c>
      <c r="F1" s="7" t="s">
        <v>8</v>
      </c>
      <c r="G1" s="7" t="s">
        <v>7</v>
      </c>
    </row>
    <row r="2">
      <c r="A2" s="8" t="s">
        <v>26</v>
      </c>
      <c r="B2" s="9">
        <f>COUNTIF(Data!C2:Data!C241,"all_split")</f>
        <v>20</v>
      </c>
      <c r="C2" s="9">
        <f>COUNTIF(Data!C2:Data!C241,"class_names_split")</f>
        <v>20</v>
      </c>
      <c r="D2" s="9">
        <f>COUNTIF(Data!C2:Data!C241,"global_variables_split")</f>
        <v>20</v>
      </c>
      <c r="E2" s="9">
        <f>COUNTIF(Data!C2:Data!C241,"local_variables_split")</f>
        <v>20</v>
      </c>
      <c r="F2" s="9">
        <f>COUNTIF(Data!C2:Data!C241,"method_names_split")</f>
        <v>20</v>
      </c>
      <c r="G2" s="9">
        <f>COUNTIF(Data!C2:Data!C241,"parameters_split")</f>
        <v>20</v>
      </c>
    </row>
    <row r="4">
      <c r="A4" s="8" t="s">
        <v>27</v>
      </c>
      <c r="B4" s="9"/>
      <c r="C4" s="9"/>
      <c r="D4" s="9"/>
      <c r="E4" s="9"/>
      <c r="F4" s="9"/>
      <c r="G4" s="9"/>
    </row>
    <row r="5">
      <c r="A5" s="3" t="s">
        <v>28</v>
      </c>
      <c r="B5" s="10">
        <f>(SUMIF(Data!C2:Data!C241,"all_split",Data!E2:Data!E241)) / (B2)</f>
        <v>0.8</v>
      </c>
      <c r="C5" s="10">
        <f>(SUMIF(Data!C2:Data!C241,"class_names_split",Data!E2:Data!E241))/(C2)</f>
        <v>0.8</v>
      </c>
      <c r="D5" s="10">
        <f>(SUMIF(Data!C2:Data!C241,"global_variables_split",Data!E2:Data!E241))/(D2)</f>
        <v>0.8</v>
      </c>
      <c r="E5" s="10">
        <f>(SUMIF(Data!C2:Data!C241,"local_variables_split",Data!E2:Data!E241))/(E2)</f>
        <v>0.95</v>
      </c>
      <c r="F5" s="10">
        <f>(SUMIF(Data!C2:Data!C241,"method_names_split",Data!E2:Data!E241))/(F2)</f>
        <v>0.8</v>
      </c>
      <c r="G5" s="10">
        <f>(SUMIF(Data!C2:Data!C241,"parameters_split",Data!E2:Data!E241))/(G2)</f>
        <v>0.8</v>
      </c>
    </row>
    <row r="6">
      <c r="A6" s="3" t="s">
        <v>29</v>
      </c>
      <c r="B6" s="10">
        <f>(SUMIF(Data!C2:Data!C241,"all_split",Data!E2:Data!E241)+2) / (B2+4)</f>
        <v>0.75</v>
      </c>
      <c r="C6" s="10">
        <f>(SUMIF(Data!C2:Data!C241,"class_names_split",Data!E2:Data!E241)+2)/(C2+4)</f>
        <v>0.75</v>
      </c>
      <c r="D6" s="10">
        <f>(SUMIF(Data!C2:Data!C241,"global_variables_split",Data!E2:Data!E241)+2)/(D2+4)</f>
        <v>0.75</v>
      </c>
      <c r="E6" s="10">
        <f>(SUMIF(Data!C2:Data!C241,"local_variables_split",Data!E2:Data!E241)+2)/(E2+4)</f>
        <v>0.875</v>
      </c>
      <c r="F6" s="10">
        <f>(SUMIF(Data!C2:Data!C241,"method_names_split",Data!E2:Data!E241)+2)/(F2+4)</f>
        <v>0.75</v>
      </c>
      <c r="G6" s="10">
        <f>(SUMIF(Data!C2:Data!C241,"parameters_split",Data!E2:Data!E241)+2)/(G2+4)</f>
        <v>0.75</v>
      </c>
    </row>
    <row r="7">
      <c r="A7" s="3" t="s">
        <v>30</v>
      </c>
      <c r="B7" s="11">
        <f t="shared" ref="B7:G7" si="1">SQRT(B6*(1-B6)/(B2+4))</f>
        <v>0.08838834765</v>
      </c>
      <c r="C7" s="11">
        <f t="shared" si="1"/>
        <v>0.08838834765</v>
      </c>
      <c r="D7" s="11">
        <f t="shared" si="1"/>
        <v>0.08838834765</v>
      </c>
      <c r="E7" s="11">
        <f t="shared" si="1"/>
        <v>0.06750771561</v>
      </c>
      <c r="F7" s="11">
        <f t="shared" si="1"/>
        <v>0.08838834765</v>
      </c>
      <c r="G7" s="11">
        <f t="shared" si="1"/>
        <v>0.08838834765</v>
      </c>
    </row>
    <row r="8">
      <c r="A8" s="3" t="s">
        <v>31</v>
      </c>
      <c r="B8" s="5">
        <f t="shared" ref="B8:G8" si="2">B7*2</f>
        <v>0.1767766953</v>
      </c>
      <c r="C8" s="5">
        <f t="shared" si="2"/>
        <v>0.1767766953</v>
      </c>
      <c r="D8" s="5">
        <f t="shared" si="2"/>
        <v>0.1767766953</v>
      </c>
      <c r="E8" s="5">
        <f t="shared" si="2"/>
        <v>0.1350154312</v>
      </c>
      <c r="F8" s="5">
        <f t="shared" si="2"/>
        <v>0.1767766953</v>
      </c>
      <c r="G8" s="5">
        <f t="shared" si="2"/>
        <v>0.1767766953</v>
      </c>
    </row>
    <row r="9">
      <c r="A9" s="3" t="s">
        <v>32</v>
      </c>
      <c r="B9" s="5" t="str">
        <f t="shared" ref="B9:G9" si="3">CONCATENATE("[",ROUND(B5-B8,2),", ",ROUND(B5+B8,2),"]")</f>
        <v>[0,62, 0,98]</v>
      </c>
      <c r="C9" s="5" t="str">
        <f t="shared" si="3"/>
        <v>[0,62, 0,98]</v>
      </c>
      <c r="D9" s="5" t="str">
        <f t="shared" si="3"/>
        <v>[0,62, 0,98]</v>
      </c>
      <c r="E9" s="5" t="str">
        <f t="shared" si="3"/>
        <v>[0,81, 1,09]</v>
      </c>
      <c r="F9" s="5" t="str">
        <f t="shared" si="3"/>
        <v>[0,62, 0,98]</v>
      </c>
      <c r="G9" s="5" t="str">
        <f t="shared" si="3"/>
        <v>[0,62, 0,98]</v>
      </c>
    </row>
    <row r="13">
      <c r="A13" s="3" t="s">
        <v>33</v>
      </c>
      <c r="B13" s="12">
        <v>0.95</v>
      </c>
    </row>
    <row r="15">
      <c r="A15" s="3" t="s">
        <v>34</v>
      </c>
      <c r="B15" s="5" t="str">
        <f t="shared" ref="B15:G15" si="4">CONCATENATE("[",ROUND(B5-_xlfn.T.INV($B$13,B2-1)*(B7/SQRT(B2)),2),", ",ROUND(B5+_xlfn.T.INV($B$13,B2-1)*(B7/SQRT(B2)),2),"]")
</f>
        <v>[0,77, 0,83]</v>
      </c>
      <c r="C15" s="5" t="str">
        <f t="shared" si="4"/>
        <v>[0,77, 0,83]</v>
      </c>
      <c r="D15" s="5" t="str">
        <f t="shared" si="4"/>
        <v>[0,77, 0,83]</v>
      </c>
      <c r="E15" s="5" t="str">
        <f t="shared" si="4"/>
        <v>[0,92, 0,98]</v>
      </c>
      <c r="F15" s="5" t="str">
        <f t="shared" si="4"/>
        <v>[0,77, 0,83]</v>
      </c>
      <c r="G15" s="5" t="str">
        <f t="shared" si="4"/>
        <v>[0,77, 0,83]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2.0"/>
    <col customWidth="1" min="2" max="2" width="11.43"/>
  </cols>
  <sheetData>
    <row r="1">
      <c r="A1" s="3"/>
      <c r="B1" s="3" t="s">
        <v>6</v>
      </c>
      <c r="C1" s="5" t="s">
        <v>15</v>
      </c>
      <c r="D1" s="7" t="s">
        <v>16</v>
      </c>
      <c r="E1" s="7" t="s">
        <v>9</v>
      </c>
      <c r="F1" s="7" t="s">
        <v>8</v>
      </c>
      <c r="G1" s="7" t="s">
        <v>7</v>
      </c>
    </row>
    <row r="2">
      <c r="A2" s="8" t="s">
        <v>26</v>
      </c>
      <c r="B2" s="9">
        <f>COUNTIF(Data!C2:Data!C241,"all")</f>
        <v>20</v>
      </c>
      <c r="C2" s="9">
        <f>COUNTIF(Data!C2:Data!C241,"class_names")</f>
        <v>20</v>
      </c>
      <c r="D2" s="9">
        <f>COUNTIF(Data!C2:Data!C241,"global_variables")</f>
        <v>20</v>
      </c>
      <c r="E2" s="9">
        <f>COUNTIF(Data!C2:Data!C241,"local_variables")</f>
        <v>20</v>
      </c>
      <c r="F2" s="9">
        <f>COUNTIF(Data!C2:Data!C241,"method_names")</f>
        <v>20</v>
      </c>
      <c r="G2" s="9">
        <f>COUNTIF(Data!C2:Data!C241,"parameters")</f>
        <v>20</v>
      </c>
    </row>
    <row r="4">
      <c r="A4" s="8" t="s">
        <v>27</v>
      </c>
      <c r="B4" s="9"/>
      <c r="C4" s="9"/>
      <c r="D4" s="9"/>
      <c r="E4" s="9"/>
      <c r="F4" s="9"/>
      <c r="G4" s="9"/>
    </row>
    <row r="5">
      <c r="A5" s="3" t="s">
        <v>28</v>
      </c>
      <c r="B5" s="10">
        <f>(SUMIF(Data!C2:Data!C241,"all",Data!E2:Data!E241)) / (B2)</f>
        <v>0.95</v>
      </c>
      <c r="C5" s="10">
        <f>(SUMIF(Data!C2:Data!C241,"class_names",Data!E2:Data!E241))/(C2)</f>
        <v>0.7</v>
      </c>
      <c r="D5" s="10">
        <f>(SUMIF(Data!C2:Data!C241,"global_variables",Data!E2:Data!E241))/(D2)</f>
        <v>0.8</v>
      </c>
      <c r="E5" s="10">
        <f>(SUMIF(Data!C2:Data!C241,"local_variables",Data!E2:Data!E241))/(E2)</f>
        <v>0.85</v>
      </c>
      <c r="F5" s="10">
        <f>(SUMIF(Data!C2:Data!C241,"method_names",Data!E2:Data!E241))/(F2)</f>
        <v>0.9</v>
      </c>
      <c r="G5" s="10">
        <f>(SUMIF(Data!C2:Data!C241,"parameters",Data!E2:Data!E241))/(G2)</f>
        <v>0.85</v>
      </c>
    </row>
    <row r="6">
      <c r="A6" s="3" t="s">
        <v>29</v>
      </c>
      <c r="B6" s="10">
        <f>(SUMIF(Data!C2:Data!C241,"all",Data!E2:Data!E241)+2) / (B2+4)</f>
        <v>0.875</v>
      </c>
      <c r="C6" s="10">
        <f>(SUMIF(Data!C2:Data!C241,"class_names",Data!E2:Data!E241)+2)/(C2+4)</f>
        <v>0.6666666667</v>
      </c>
      <c r="D6" s="10">
        <f>(SUMIF(Data!C2:Data!C241,"global_variables",Data!E2:Data!E241)+2)/(D2+4)</f>
        <v>0.75</v>
      </c>
      <c r="E6" s="10">
        <f>(SUMIF(Data!C2:Data!C241,"local_variables",Data!E2:Data!E241)+2)/(E2+4)</f>
        <v>0.7916666667</v>
      </c>
      <c r="F6" s="10">
        <f>(SUMIF(Data!C2:Data!C241,"method_names",Data!E2:Data!E241)+2)/(F2+4)</f>
        <v>0.8333333333</v>
      </c>
      <c r="G6" s="10">
        <f>(SUMIF(Data!C2:Data!C241,"parameters",Data!E2:Data!E241)+2)/(G2+4)</f>
        <v>0.7916666667</v>
      </c>
    </row>
    <row r="7">
      <c r="A7" s="3" t="s">
        <v>30</v>
      </c>
      <c r="B7" s="11">
        <f>SQRT(B6*(1-B6)/(B2+4))</f>
        <v>0.06750771561</v>
      </c>
      <c r="C7" s="11">
        <f>SQRT(C5*(1-C5)/(C2+4))</f>
        <v>0.09354143467</v>
      </c>
      <c r="D7" s="11">
        <f t="shared" ref="D7:G7" si="1">SQRT(D6*(1-D6)/(D2+4))</f>
        <v>0.08838834765</v>
      </c>
      <c r="E7" s="11">
        <f t="shared" si="1"/>
        <v>0.08289816935</v>
      </c>
      <c r="F7" s="11">
        <f t="shared" si="1"/>
        <v>0.07607257743</v>
      </c>
      <c r="G7" s="11">
        <f t="shared" si="1"/>
        <v>0.08289816935</v>
      </c>
    </row>
    <row r="8">
      <c r="A8" s="3" t="s">
        <v>31</v>
      </c>
      <c r="B8" s="5">
        <f t="shared" ref="B8:G8" si="2">B7*2</f>
        <v>0.1350154312</v>
      </c>
      <c r="C8" s="5">
        <f t="shared" si="2"/>
        <v>0.1870828693</v>
      </c>
      <c r="D8" s="5">
        <f t="shared" si="2"/>
        <v>0.1767766953</v>
      </c>
      <c r="E8" s="5">
        <f t="shared" si="2"/>
        <v>0.1657963387</v>
      </c>
      <c r="F8" s="5">
        <f t="shared" si="2"/>
        <v>0.1521451549</v>
      </c>
      <c r="G8" s="5">
        <f t="shared" si="2"/>
        <v>0.1657963387</v>
      </c>
    </row>
    <row r="9">
      <c r="A9" s="3" t="s">
        <v>32</v>
      </c>
      <c r="B9" s="5" t="str">
        <f t="shared" ref="B9:G9" si="3">CONCATENATE("[",ROUND(B5-B8,2),", ",ROUND(B5+B8,2),"]")</f>
        <v>[0,81, 1,09]</v>
      </c>
      <c r="C9" s="5" t="str">
        <f t="shared" si="3"/>
        <v>[0,51, 0,89]</v>
      </c>
      <c r="D9" s="5" t="str">
        <f t="shared" si="3"/>
        <v>[0,62, 0,98]</v>
      </c>
      <c r="E9" s="5" t="str">
        <f t="shared" si="3"/>
        <v>[0,68, 1,02]</v>
      </c>
      <c r="F9" s="5" t="str">
        <f t="shared" si="3"/>
        <v>[0,75, 1,05]</v>
      </c>
      <c r="G9" s="5" t="str">
        <f t="shared" si="3"/>
        <v>[0,68, 1,02]</v>
      </c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2024-01-15T17:25:21Z</dcterms:created>
  <dc:creator>openpyxl</dc:creator>
</cp:coreProperties>
</file>