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ables" sheetId="1" r:id="rId4"/>
    <sheet state="visible" name="Tab 1 - Measure drop-offs" sheetId="2" r:id="rId5"/>
    <sheet state="visible" name="Tab 2 - Signup Experiments" sheetId="3" r:id="rId6"/>
    <sheet state="visible" name="Tab 3 - Activation Hypothesis" sheetId="4" r:id="rId7"/>
    <sheet state="visible" name="Tab 4 - Habit Moment and Metric" sheetId="5" r:id="rId8"/>
    <sheet state="visible" name="Tab 5 - Aha Moment and Metric A" sheetId="6" r:id="rId9"/>
    <sheet state="visible" name="Tab 6 - Setup Moment and Metric" sheetId="7" r:id="rId10"/>
    <sheet state="visible" name="Tab 7 - Activation Funnel" sheetId="8" r:id="rId11"/>
    <sheet state="visible" name="Tab 8 - Segment Analysis" sheetId="9" r:id="rId12"/>
  </sheets>
  <definedNames/>
  <calcPr/>
</workbook>
</file>

<file path=xl/sharedStrings.xml><?xml version="1.0" encoding="utf-8"?>
<sst xmlns="http://schemas.openxmlformats.org/spreadsheetml/2006/main" count="720" uniqueCount="481">
  <si>
    <t>Activation Analysis</t>
  </si>
  <si>
    <r>
      <rPr>
        <rFont val="Arial"/>
        <b/>
        <color theme="1"/>
      </rPr>
      <t>Instructions:</t>
    </r>
    <r>
      <rPr>
        <rFont val="Arial"/>
        <color theme="1"/>
      </rPr>
      <t xml:space="preserve"> In Course 1, you learned how to acquire a customer. Now you have driven your prospect to the point of signup, this prospect is handed off from the Growth PM focused on acquisition to Growth PM focused on activation, YOU. </t>
    </r>
  </si>
  <si>
    <t xml:space="preserve">These tasks will help you understand how to decrease time-to-value and remove friction for users when signing up. After signing up, it's important to activate customers so they experience your value proposition as early as possible, so we must activate users quickly. 
</t>
  </si>
  <si>
    <t>Step 2: Complete Tabs 3 - 8 in order by signing up for Slack: https://slack.com/get-started. These tasks will help you understand how to apply activation theories to guide users from 1-stage to another (signup to engagement) in the Activation model and how to segment audiences and use levers to increase engagement. You are using two different companies (Slack and Productboard) in the project because it will allow you to apply the frameworks, theories, and methods in the classroom to multiple examples, seeing how a GPM at a large and a small scale company address signup flow and activation.</t>
  </si>
  <si>
    <t xml:space="preserve">These tasks will help you understand how to apply activation theories to guide users from 1-stage to another (signup to engagement) in the Activation flow, how to segment audiences and use levers to increase engagement. </t>
  </si>
  <si>
    <t>You are using two different companies (Slack and Productboard) in the project because it will allow you to apply the frameworks, theories, and methods in the classroom to multiple contexts. You will get a feeling for how a GPM at a large and a small scale company address signup flow and activation.</t>
  </si>
  <si>
    <r>
      <rPr>
        <rFont val="Arial"/>
        <b/>
        <color theme="1"/>
      </rPr>
      <t>Note:</t>
    </r>
    <r>
      <rPr>
        <rFont val="Arial"/>
        <color theme="1"/>
      </rPr>
      <t xml:space="preserve"> If you are unable to or have not used Slack before, imagine a product that is the equivalent to SMS, Messenger, or Whatsapp, but for business use-case. Think of the tools mentioned above as an equivalent if you are unable to think of the moments for Slack.</t>
    </r>
  </si>
  <si>
    <t>Mark a task completed on Column B after completing each Tab. To help you keep track of what you have completed.</t>
  </si>
  <si>
    <t>Tab</t>
  </si>
  <si>
    <t>Completed?</t>
  </si>
  <si>
    <t>Tasks</t>
  </si>
  <si>
    <t>Signup Flow</t>
  </si>
  <si>
    <t>Measure drop-offs</t>
  </si>
  <si>
    <t>Signup Experiments</t>
  </si>
  <si>
    <t>Understand Product</t>
  </si>
  <si>
    <t>Activation Hypothesis</t>
  </si>
  <si>
    <t>Funnel Analysis</t>
  </si>
  <si>
    <t>Habit Moment and Metric Analysis</t>
  </si>
  <si>
    <t>Aha Moment and Metric Analysis</t>
  </si>
  <si>
    <t>Setup Moment and Metric Analysis</t>
  </si>
  <si>
    <t>Activation Funnel</t>
  </si>
  <si>
    <t>Activation by Segment</t>
  </si>
  <si>
    <t>Segment Analysis</t>
  </si>
  <si>
    <r>
      <rPr>
        <rFont val="Arial"/>
        <b/>
        <color theme="1"/>
      </rPr>
      <t xml:space="preserve">Scenario: </t>
    </r>
    <r>
      <rPr>
        <rFont val="Arial"/>
        <b val="0"/>
        <color theme="1"/>
      </rPr>
      <t xml:space="preserve">You have been brought onto a project at Productboard to help the company optimize the signup flow. 
 </t>
    </r>
  </si>
  <si>
    <t>Your task is to analyze each step in the sign up flow that a user would go through.</t>
  </si>
  <si>
    <t>Qualitatively, understand what each step is asking and if it creates any bad friction.</t>
  </si>
  <si>
    <t>Quantitatively, measure the amount of input (click and fields) it takes for the user to complete each step and what the drop-off rates are.</t>
  </si>
  <si>
    <t>Once you understand the existing flow, suggest experiments to reduce drop-offs %. Doing so, you will increase the amount of leads to the top of the funnel.</t>
  </si>
  <si>
    <r>
      <rPr>
        <rFont val="Arial"/>
        <b/>
        <color theme="1"/>
      </rPr>
      <t xml:space="preserve">Skill: </t>
    </r>
    <r>
      <rPr>
        <rFont val="Arial"/>
        <b val="0"/>
        <color theme="1"/>
      </rPr>
      <t>You should:
(1) Calculate drop-offs at each step of sign up flow
(2) Analyze how to reduce drop-offs (increase the signup completion rate) in the flow
(3) Think on how to get users through the activation funnel
(4) Create experiments using the [ACTION], [OUTCOME], and [THEORY] framework.</t>
    </r>
  </si>
  <si>
    <r>
      <rPr>
        <rFont val="Arial"/>
        <b/>
        <color theme="1"/>
      </rPr>
      <t xml:space="preserve">Instructions: </t>
    </r>
    <r>
      <rPr>
        <rFont val="Arial"/>
        <b val="0"/>
        <color theme="1"/>
      </rPr>
      <t xml:space="preserve">Sign Up for the free trial of productboard (https://app.productboard.com/register) to complete in-order, a row-at-a-time, the 9 sign-up steps in Column A. Each screen in the sign up on productboard will equal a row in this sheet. Pause at each screen on signup to complete the analysis on each row in this sheet by filling in the questions in the columns for that step before continuing with your sign up on productboard. Along the way, address the questions and calculations in Row 20 to explain your understanding of friction in each step and suggest experiments to address any frictions. Complete the task 1-row at a time from Row 22 - 29. </t>
    </r>
  </si>
  <si>
    <r>
      <rPr>
        <rFont val="Arial"/>
        <b/>
        <color theme="1"/>
      </rPr>
      <t xml:space="preserve">1. </t>
    </r>
    <r>
      <rPr>
        <rFont val="Arial"/>
        <b val="0"/>
        <color theme="1"/>
      </rPr>
      <t>Take the Click Through # and calculate the fields on Column D, E, and F.</t>
    </r>
  </si>
  <si>
    <r>
      <rPr>
        <rFont val="Arial"/>
        <b/>
        <color theme="1"/>
      </rPr>
      <t xml:space="preserve">2. </t>
    </r>
    <r>
      <rPr>
        <rFont val="Arial"/>
        <b val="0"/>
        <color theme="1"/>
      </rPr>
      <t>Fill in the # of clicks and fields in Column G and H as you go through each step of the sign up flow.</t>
    </r>
  </si>
  <si>
    <t>3. In Column M and N, take the CTA directly from the sign-up flow and document the CTA and an explanation of the information that is being asked</t>
  </si>
  <si>
    <r>
      <rPr>
        <rFont val="Arial"/>
        <b/>
        <color theme="1"/>
      </rPr>
      <t xml:space="preserve">4. </t>
    </r>
    <r>
      <rPr>
        <rFont val="Arial"/>
        <b val="0"/>
        <color theme="1"/>
      </rPr>
      <t>In Column O explain your understanding of the value extracted from the information collected.</t>
    </r>
  </si>
  <si>
    <r>
      <rPr>
        <rFont val="Arial"/>
        <b/>
        <color theme="1"/>
      </rPr>
      <t xml:space="preserve">5. </t>
    </r>
    <r>
      <rPr>
        <rFont val="Arial"/>
        <b val="0"/>
        <color theme="1"/>
      </rPr>
      <t>In Column P, Q, and R, reply with a binary yes/no; If no, then explain your reasoning.</t>
    </r>
  </si>
  <si>
    <r>
      <rPr>
        <rFont val="Arial"/>
        <b/>
        <color theme="1"/>
      </rPr>
      <t xml:space="preserve">6. </t>
    </r>
    <r>
      <rPr>
        <rFont val="Arial"/>
        <b val="0"/>
        <color theme="1"/>
      </rPr>
      <t>Demonstrate your understanding of good and bad friction in Columns S to V by applying the concept of friction to this specific sign up flow.</t>
    </r>
  </si>
  <si>
    <r>
      <rPr>
        <rFont val="Arial"/>
        <b/>
        <color theme="1"/>
      </rPr>
      <t xml:space="preserve">7. </t>
    </r>
    <r>
      <rPr>
        <rFont val="Arial"/>
        <b val="0"/>
        <color theme="1"/>
      </rPr>
      <t xml:space="preserve">In Column W, create a experiment brief using the [ACTION], [OUTCOME], and [THEORY] framework. </t>
    </r>
  </si>
  <si>
    <t>Cells in Orange have been completed for you as an example. The formulas have been removed.</t>
  </si>
  <si>
    <t>A</t>
  </si>
  <si>
    <t>B</t>
  </si>
  <si>
    <t xml:space="preserve">C </t>
  </si>
  <si>
    <t>D</t>
  </si>
  <si>
    <t>E</t>
  </si>
  <si>
    <t>F</t>
  </si>
  <si>
    <t>G</t>
  </si>
  <si>
    <t xml:space="preserve">H </t>
  </si>
  <si>
    <t>I</t>
  </si>
  <si>
    <t>J</t>
  </si>
  <si>
    <t>K</t>
  </si>
  <si>
    <t>L</t>
  </si>
  <si>
    <t>M</t>
  </si>
  <si>
    <t>N</t>
  </si>
  <si>
    <t>O</t>
  </si>
  <si>
    <t>P</t>
  </si>
  <si>
    <t>Q</t>
  </si>
  <si>
    <t>R</t>
  </si>
  <si>
    <t>S</t>
  </si>
  <si>
    <t>T</t>
  </si>
  <si>
    <t>U</t>
  </si>
  <si>
    <t>V</t>
  </si>
  <si>
    <t>W</t>
  </si>
  <si>
    <t>Step</t>
  </si>
  <si>
    <t>Name</t>
  </si>
  <si>
    <t>Click-through #</t>
  </si>
  <si>
    <t>Click-through %</t>
  </si>
  <si>
    <t>Drop-off % at each step</t>
  </si>
  <si>
    <r>
      <rPr>
        <rFont val="Arial"/>
        <b/>
        <color theme="1"/>
      </rPr>
      <t xml:space="preserve">Drop-off % through funnel </t>
    </r>
    <r>
      <rPr>
        <rFont val="Arial"/>
        <b val="0"/>
        <color theme="1"/>
      </rPr>
      <t>(starting signup)</t>
    </r>
  </si>
  <si>
    <r>
      <rPr>
        <rFont val="Arial"/>
        <b/>
        <color theme="1"/>
      </rPr>
      <t>How many total clicks to get to next step?</t>
    </r>
    <r>
      <rPr>
        <rFont val="Arial"/>
        <b val="0"/>
        <color theme="1"/>
      </rPr>
      <t xml:space="preserve"> (including optional fields)</t>
    </r>
  </si>
  <si>
    <r>
      <rPr>
        <rFont val="Arial"/>
        <b/>
        <color theme="1"/>
      </rPr>
      <t xml:space="preserve">How many fields to fill out? </t>
    </r>
    <r>
      <rPr>
        <rFont val="Arial"/>
        <b val="0"/>
        <color theme="1"/>
      </rPr>
      <t>(including optional fields)</t>
    </r>
  </si>
  <si>
    <t>Observations (Personal Notes)</t>
  </si>
  <si>
    <t>What is the Call-To-Action (CTA)?</t>
  </si>
  <si>
    <t>What information is being asked on this step?</t>
  </si>
  <si>
    <t>What do you think this information is used for?</t>
  </si>
  <si>
    <t>Is the action clear? (If not, explain)</t>
  </si>
  <si>
    <t>Do you think this step is located in the correct (most natural) order of the flow? (If not, explain)</t>
  </si>
  <si>
    <t>Is this step necessary? (If not, explain)</t>
  </si>
  <si>
    <t>Is this good friction or bad friction?</t>
  </si>
  <si>
    <t>If bad friction, how can it be addressed?</t>
  </si>
  <si>
    <t>Why might you not want to remove this bad friction?</t>
  </si>
  <si>
    <t>Can the amount of clicks be reduced? If so, how?</t>
  </si>
  <si>
    <t>Experiment Brief</t>
  </si>
  <si>
    <t>Home Page</t>
  </si>
  <si>
    <t>0%%</t>
  </si>
  <si>
    <t>Just a simple home page with 2 call-to-actions (CTAs) above the fold.</t>
  </si>
  <si>
    <t>[Try Now] and [TRY NOW]</t>
  </si>
  <si>
    <t>To start the free trial by clicking the CTA</t>
  </si>
  <si>
    <t>To start the free trial</t>
  </si>
  <si>
    <t>Yes</t>
  </si>
  <si>
    <t>Good</t>
  </si>
  <si>
    <t>--</t>
  </si>
  <si>
    <t>[ACTION] If we run an a/b experiment by changing the copy from "try now" to "start free trial", or "start 14-day trial" [OUTCOME] we can evaluate if there is more click-throughs to the sign-up page [Theory] because the copy will better present that the trial is offered for free, is for 14-days, and does not require a credit card.</t>
  </si>
  <si>
    <t>Free Trial Sign Up</t>
  </si>
  <si>
    <t xml:space="preserve">The normal signup view with 1 CTA with only one field, which indeed is very practical, even that core field could be avoided with just adding facebook SSO for a user more related with social networks  </t>
  </si>
  <si>
    <t>Sign Up</t>
  </si>
  <si>
    <t>Only my email  and my consent about policies</t>
  </si>
  <si>
    <t>To start the signup flow</t>
  </si>
  <si>
    <t>-</t>
  </si>
  <si>
    <t>Yes, adding facebook SSO</t>
  </si>
  <si>
    <t xml:space="preserve">If we run an a/b test by adding a Facebook SSO botom, so the result would be an increasing on CTR on trial sing Up, Because on this way could admit a more broad public instead of just open it for enterprises which are more related to acces with a google account,  </t>
  </si>
  <si>
    <t>Verification Email</t>
  </si>
  <si>
    <t xml:space="preserve">The page let you with the message for come back with email confirmation </t>
  </si>
  <si>
    <t>Please verify your email with thre botoms: open email, open outlook, open yahoo</t>
  </si>
  <si>
    <t>To acces to your favorite email account for confirm my email</t>
  </si>
  <si>
    <t>for validate the autenticity of the user and for avoid spam</t>
  </si>
  <si>
    <t>No</t>
  </si>
  <si>
    <t>Bad</t>
  </si>
  <si>
    <t>Maybe could be left until after,</t>
  </si>
  <si>
    <t>because everytime to let the lead to go outside your page, you let them to distract with others stuffs and lose conections,</t>
  </si>
  <si>
    <t xml:space="preserve">Yes, just avoiding that user go for open his/her email, our new user can stay in our page </t>
  </si>
  <si>
    <t>Once we display the congratulation about new user account to the page and lead them to next step without send them out the page, so we are capable to avoid or reduce the 6.41% drop-off . due to we increase the chances ofnew usere to goinf forward without interruptions to shorth the span with aha moment</t>
  </si>
  <si>
    <t>Activate account in email</t>
  </si>
  <si>
    <t>Once you logging your email account, my case i was ready in there, then after search the recent message , you can open it to see the CTA  sayin Activate  account</t>
  </si>
  <si>
    <t>Activate account</t>
  </si>
  <si>
    <t xml:space="preserve">To start your autentication as user and continuing your signup flow </t>
  </si>
  <si>
    <t>Is for being match the confirmation email sended with the email saved into repository of the page</t>
  </si>
  <si>
    <t>Submit personal info</t>
  </si>
  <si>
    <t>Page dedicated to complete the registration of your user basic accoun: names phone and password</t>
  </si>
  <si>
    <t>Continue</t>
  </si>
  <si>
    <t>To continue signup flow about my work</t>
  </si>
  <si>
    <t>This step fot capture my basic information to create my credentials</t>
  </si>
  <si>
    <t>No, Maybe could be placed into the first step for free trial signup</t>
  </si>
  <si>
    <t>.</t>
  </si>
  <si>
    <t>No, due to they are making optional the phone number and splitting onto multiples pages, according with HeapAnalitycs.com, they are gaining 4.8% CTR</t>
  </si>
  <si>
    <t>Name your workspace</t>
  </si>
  <si>
    <t>Page dedicated to complete information about my work</t>
  </si>
  <si>
    <t>To continue signup flow to set up productboard</t>
  </si>
  <si>
    <t>To save optional information about my company, but  for also define the workspace URL</t>
  </si>
  <si>
    <t>No, Its not mention the utility to save those information for my own experience, i have to wondering myself and especulate</t>
  </si>
  <si>
    <t>The company name could be asked after experience the aha moment, while the url is good to collect there, but i still may thing that every sign of customatization could be skipped it</t>
  </si>
  <si>
    <t>Because gives the users a bit of more personalization value before enter to aha moment</t>
  </si>
  <si>
    <t>Yes, just avoiding the custom field related with work</t>
  </si>
  <si>
    <r>
      <rPr>
        <rFont val="Arial"/>
      </rPr>
      <t>If we run a/b test by removing the custom field ofcompany name, then we can prove it can reduce the drop-off % during that step, because according with the paper Heap-</t>
    </r>
    <r>
      <rPr>
        <rFont val="Arial"/>
        <color rgb="FF1155CC"/>
        <u/>
      </rPr>
      <t>Analitycs.com</t>
    </r>
    <r>
      <rPr>
        <rFont val="Arial"/>
      </rPr>
      <t xml:space="preserve"> reducing that field could achieve 3% more to the converstion rate </t>
    </r>
  </si>
  <si>
    <t>Invite Team</t>
  </si>
  <si>
    <t>Page request to complete until 3 fields as optionals</t>
  </si>
  <si>
    <t>Invite</t>
  </si>
  <si>
    <t>To invite some collegues to increase the sense of value</t>
  </si>
  <si>
    <t>To invite other members to join to my workspace</t>
  </si>
  <si>
    <t>No, Maybe could be placed until after to experience the aha moment</t>
  </si>
  <si>
    <t>No, Those are optional fields , For the first experience, the only thing i want to prove is the product accomplish or surpass my expectations, so while its not proved i consider that is not moment to ask for invite more people to join me</t>
  </si>
  <si>
    <t xml:space="preserve">Good, </t>
  </si>
  <si>
    <t xml:space="preserve">Maybe is not necesary to show three fields, maybe just one, and a + bottom to indicate to add more, </t>
  </si>
  <si>
    <t>If we run a/b test by removing the 2 optional fields or just not show this step until after the aha moment, then we can prove an increading on converstion rate, because the study show us fields related with jobs, can potential reduce the converstion until 5%.</t>
  </si>
  <si>
    <t>Password</t>
  </si>
  <si>
    <t>This step has changed, now this field was incorporated to the step 5</t>
  </si>
  <si>
    <t>Survey</t>
  </si>
  <si>
    <t>Page that request me to select comboboxes and one optional field</t>
  </si>
  <si>
    <t>Next</t>
  </si>
  <si>
    <t>To finish the signup flow</t>
  </si>
  <si>
    <t>To tailor the ProductBoard experience</t>
  </si>
  <si>
    <t>They already worked on that</t>
  </si>
  <si>
    <t>User in-product</t>
  </si>
  <si>
    <t>Average</t>
  </si>
  <si>
    <t>Sum</t>
  </si>
  <si>
    <r>
      <rPr>
        <rFont val="Arial"/>
        <b/>
        <color theme="1"/>
      </rPr>
      <t>Scenario:</t>
    </r>
    <r>
      <rPr>
        <rFont val="Arial"/>
        <b val="0"/>
        <color theme="1"/>
      </rPr>
      <t xml:space="preserve"> The director of PM at Productboard has looked at your analysis of experiments in Tab 1 and wants to better understand how you will implement these experiments, your hypothesis on the impacts, how you will prioritize them, and how you will measure success. Not every experiment needs to be expanded on, so he asks to choose your top 5.</t>
    </r>
  </si>
  <si>
    <r>
      <rPr>
        <rFont val="Arial"/>
        <b/>
        <color theme="1"/>
      </rPr>
      <t xml:space="preserve">Skill: </t>
    </r>
    <r>
      <rPr>
        <rFont val="Arial"/>
        <b val="0"/>
        <color theme="1"/>
      </rPr>
      <t>You will implement the ICE framework to prioritize your experiments by giving them a growth score. Note: Further analysis and input from engineering and design does occur in the wild, which is removed from the scope of this exercise.</t>
    </r>
  </si>
  <si>
    <r>
      <rPr>
        <rFont val="Arial"/>
        <b/>
        <color theme="1"/>
      </rPr>
      <t xml:space="preserve">Instructions: </t>
    </r>
    <r>
      <rPr>
        <rFont val="Arial"/>
        <b val="0"/>
        <color theme="1"/>
      </rPr>
      <t>Complete the task with 1 row (experiment) at a time.</t>
    </r>
  </si>
  <si>
    <t xml:space="preserve">1. Use 5 experiments from Tab 1 - Column W and place them into Tab 2 - Column B. </t>
  </si>
  <si>
    <t>2. In column D, elaborate on what is being tested</t>
  </si>
  <si>
    <t>3. In column E, provide a qualitative and quantitative hypothesis of what will happen</t>
  </si>
  <si>
    <t>4. In column F, describe the rationale of why you chose this experiment from any social proof, previous experience, or from any research.</t>
  </si>
  <si>
    <t>5 In column G, provide a list of stakeholders who would need to be involved to release this experiment and why</t>
  </si>
  <si>
    <t>6. In column H, document what more information is needed for you to execute on this experiment and document what assumptions you are making</t>
  </si>
  <si>
    <t>7. In column I, provide a list of metrics that need to be measured in this experiment that would verify if the experiment failed or passed</t>
  </si>
  <si>
    <t>8. In column J, provide a time-frame the experiment should be run for</t>
  </si>
  <si>
    <t>9 In column K, provide a % of users you would want to experiment with</t>
  </si>
  <si>
    <t>10. In column M - P, apply the ICE framework to your experiments</t>
  </si>
  <si>
    <t xml:space="preserve">B </t>
  </si>
  <si>
    <t>C</t>
  </si>
  <si>
    <r>
      <rPr>
        <rFont val="Arial"/>
        <b/>
        <color theme="1"/>
      </rPr>
      <t xml:space="preserve">Experiment Brief </t>
    </r>
    <r>
      <rPr>
        <rFont val="Arial"/>
        <b/>
        <color theme="1"/>
      </rPr>
      <t>(from Tab 1)</t>
    </r>
  </si>
  <si>
    <t>Which Step of Funnel (name and #) does this experiment impact?</t>
  </si>
  <si>
    <t>Describe what in the experiment is being tested?</t>
  </si>
  <si>
    <t>Hypothesis (What do you think will happen qualitatively and quantitatively?)</t>
  </si>
  <si>
    <t>Rationale (Why do you want to try this experiment?)</t>
  </si>
  <si>
    <t>Stakeholders (What other titles in the company needs to be involved? and why?)</t>
  </si>
  <si>
    <t>What more info do you need to decide this is an experiment you want to run? What assumptions are we making?</t>
  </si>
  <si>
    <t>What metrics should be measured?</t>
  </si>
  <si>
    <t>Length of time to run the experiment?</t>
  </si>
  <si>
    <t>What % of sign up users would you want to experiment with?</t>
  </si>
  <si>
    <t>What Friction is being removed?</t>
  </si>
  <si>
    <t>ICE - Impact? (be quantitative)</t>
  </si>
  <si>
    <t>ICE- Confidence</t>
  </si>
  <si>
    <t>ICE- Ease</t>
  </si>
  <si>
    <t>ICE - Growth Score</t>
  </si>
  <si>
    <t>[ACTION] we can remove the top 50% of the step (role, team size, team use) [OUTCOME] so that we can inc the step completion rate from 92% [THEORY] because we would be decreasing 67% of the clicks on this step.</t>
  </si>
  <si>
    <t>9 - survey</t>
  </si>
  <si>
    <t>We would remove the top portion of this step and only include the button. The screen would then only ask the user for bottom step that starts with "what are you hoping productboard will help you do?" The other steps we removed, we can look into tools like Clearbit that will help us collect the same data.</t>
  </si>
  <si>
    <t>We would remove 67% of the clicks and 4 fields from this step. At the moment the conversion on this step is 92%, but I think we can inc it to 95% as a result of this step.</t>
  </si>
  <si>
    <t>We are asking for too many fields at this step and the user is likely exhausted from going through 9 steps. We need to trim the sign up process to only the bare minimum items we need to get the user to the time-to-value as fast as possible.</t>
  </si>
  <si>
    <t>Sales team to determine how they use the survey data. Marketing team to determine how they use the survey data. Design team to create mockups of the new last step. Engineering team to unmap those fields and remove them from the back end, while keeping historical data.</t>
  </si>
  <si>
    <t>How sales uses this data? Is this data used for marketing engagement and onboarding?</t>
  </si>
  <si>
    <t xml:space="preserve">Higher step 9 conversions and higher total conversions of the funnel. </t>
  </si>
  <si>
    <t>2-weeks</t>
  </si>
  <si>
    <t>Collecting additional data that can be obtained for 3rd party resources. Asking for too much data</t>
  </si>
  <si>
    <t>2- Free Trial Sign Up</t>
  </si>
  <si>
    <t>We will include a new botom for SSO facebook above the buttom of Google on this way it will be tested the CTR of signups through this medium vs the formal one, and how much this rate reduce the drop-off during this step. For this purpose we can use Optimize to setup the control and variant sample</t>
  </si>
  <si>
    <t xml:space="preserve">Quantitatively in this step we can reduce 50% of the clicks from 2 to 1, just making in the SSO facebook
Qualitatively we can expect less friction for our UX during this step </t>
  </si>
  <si>
    <t>Because right now we are only displaying SSO with Google which is more linked with B2B segment but is also true that more ans more we have B2C segments related with youngest or early business as a more broad public that we are capturing</t>
  </si>
  <si>
    <t>Marketing to stay alert to once collect those email from facebook, they can hold them it to built relational publics for their Adds with Meta.
With Sales team to stay alert to automate the sending of this new entrance of emails with their CRM tool for keep tracking those leads</t>
  </si>
  <si>
    <t>The composition of our user base and their range age</t>
  </si>
  <si>
    <t xml:space="preserve">CTR at step 2 and higher total conversions of the funnel. </t>
  </si>
  <si>
    <t>Tha fact that they have to validate email , create password and put some phone number, all tis steps and data can be collected from facebook easily</t>
  </si>
  <si>
    <t>Once we display the congratulation about new user account to the page and lead them go to next step without send them out the page, so we are capable to avoid or reduce the 6.41% drop-off . due to we increase the chances of new users to goinf forward without interruptions to shorth the span with aha moment</t>
  </si>
  <si>
    <t>3- Verification Email</t>
  </si>
  <si>
    <t>Every time the lead choose the account creation, instead of force him to go their email to validate it, we would just avoid this step with the posibility to confirm after with a limit of time,(example: 1 day). putting this advertisement in the current step page and let them advance further to the next page.</t>
  </si>
  <si>
    <t>Quantitatively we can se progress increasing the CTR this step until 4%</t>
  </si>
  <si>
    <t xml:space="preserve">Because everytime we force our leads go outside the platform, the can being distracted for some many external factor that can be causing loosing of conversion rate. </t>
  </si>
  <si>
    <t>Marketing must be involved to approve this, and develop some workflow to send automatic notification as a reminder before finish this timelapse of trial, 
 Work with Engineering team to develop a smal reminder at the platform during the finish of aha moment</t>
  </si>
  <si>
    <t>In order to compare effectevely the current and the variant sample, from the user decide confirm email, how many are loosing CTR to validate their email and how much is the average windows period that those users take to come back to confirm their email</t>
  </si>
  <si>
    <t xml:space="preserve">CTR at step 3 and higher total conversions of the funnel. </t>
  </si>
  <si>
    <t>Avoid the transitions that users make to complete their validation email</t>
  </si>
  <si>
    <r>
      <rPr>
        <rFont val="Arial"/>
      </rPr>
      <t>If we run a/b test by removing the custom field ofcompany name, then we can prove it can reduce the drop-off % during that step, because according with the paper Heap-</t>
    </r>
    <r>
      <rPr>
        <rFont val="Arial"/>
        <color rgb="FF1155CC"/>
        <u/>
      </rPr>
      <t>Analitycs.com</t>
    </r>
    <r>
      <rPr>
        <rFont val="Arial"/>
      </rPr>
      <t xml:space="preserve"> reducing that field could achieve 3% more to the converstion rate </t>
    </r>
  </si>
  <si>
    <t>6 - Name your workspace</t>
  </si>
  <si>
    <t>As a control group will be show the current view, but for our experimental group we will omit the company name</t>
  </si>
  <si>
    <t>Quantitatively we can progress  reducing 3%convertion rate</t>
  </si>
  <si>
    <t>Because a respectful study support that afirmation about it</t>
  </si>
  <si>
    <t>Marketing because could be the main interested about collect data with that field</t>
  </si>
  <si>
    <t>In the case company name was mandatory field, i would like to know the how many visitors completed that field vs the total hisitorical visitors.</t>
  </si>
  <si>
    <t xml:space="preserve">CTR step 6 and higher total conversions of the funnel. </t>
  </si>
  <si>
    <t>1 week</t>
  </si>
  <si>
    <t>10%%</t>
  </si>
  <si>
    <t>The company name field</t>
  </si>
  <si>
    <t>If we run a/b test by removing the 2 optional fields or just not show this step until after the aha moment, then we can prove an increasing on converstion rate, because the study show us fields related with jobs, can potential reduce the converstion until 5%.</t>
  </si>
  <si>
    <t>7-Invite Team</t>
  </si>
  <si>
    <t>As control group will be show the current view, but for our experimental group we will omit those 3 fields related to invite members. For this purpose would be ideal to justo work with a bot to simulate the Aha moment of sending and recieving message, and at the same time automatic invitation inside product to invite new members.</t>
  </si>
  <si>
    <t xml:space="preserve">Quantitatively we can progress  reducing 5%convertion rate, reduce the average timelapse onboarding 
Qualitatively we will increase the chances of experience a better the aha moment </t>
  </si>
  <si>
    <t>Because i would like to find ways to optimize the walktrough of the onboarding flow</t>
  </si>
  <si>
    <t>Marketing and Sales Team, because must know that those fields will be relocated. My internal team for coordinate with them</t>
  </si>
  <si>
    <t xml:space="preserve">How true is that those field related to invite 3 members is considered source of friction. </t>
  </si>
  <si>
    <t xml:space="preserve">CTR step 7 and higher total conversions of the funnel. </t>
  </si>
  <si>
    <t>3 weeks</t>
  </si>
  <si>
    <t>25%%</t>
  </si>
  <si>
    <t>sending invitation to close people when still no getting first value during aha moment</t>
  </si>
  <si>
    <t>1- Home Page</t>
  </si>
  <si>
    <r>
      <rPr>
        <rFont val="Arial"/>
        <b/>
        <color theme="1"/>
      </rPr>
      <t xml:space="preserve">Scenario: </t>
    </r>
    <r>
      <rPr>
        <rFont val="Arial"/>
        <b val="0"/>
        <color theme="1"/>
      </rPr>
      <t>After doing such an amazing job for Productboard with signup, you have now been brought onto a project at Slack. Slack's revenues have been decreasing by 5% and leadership believes it's an activation problem due to not understanding what we should be guiding our users to-do in our product when the user is signing up.</t>
    </r>
  </si>
  <si>
    <t>You've been tasked to define a more robust activation funnel to achieve shorter time-to-value, product usage, and revenue. You will 
(1) be able to tell Marketing and the Growth PM focusing on acquisition which segment of our users are performing these actions best and 
(2) determine what moments and metrics we should be driving our users towards. NOTE: The rest of the project relates entirely to Slack or a realtime messaging service like Slack.</t>
  </si>
  <si>
    <r>
      <rPr>
        <rFont val="Arial"/>
        <color rgb="FF000000"/>
      </rPr>
      <t xml:space="preserve">You will 
(1) be able to tell Marketing and Growth PM focusing on acquisition which segment of our users are performing these actions best
(2) determine what moments and metrics we should be driving our users towards. 
</t>
    </r>
    <r>
      <rPr>
        <rFont val="Arial"/>
        <b/>
        <color rgb="FF000000"/>
      </rPr>
      <t>NOTE</t>
    </r>
    <r>
      <rPr>
        <rFont val="Arial"/>
        <color rgb="FF000000"/>
      </rPr>
      <t>: The rest of the project relates entirely to Slack or a realtime messaging service like Slack.</t>
    </r>
  </si>
  <si>
    <r>
      <rPr>
        <rFont val="Arial"/>
        <b/>
        <color theme="1"/>
      </rPr>
      <t xml:space="preserve">Skill: </t>
    </r>
    <r>
      <rPr>
        <rFont val="Arial"/>
        <b val="0"/>
        <color theme="1"/>
      </rPr>
      <t xml:space="preserve">Before doing any analysis, you want to start off with a hypothesis. Before you quantitatively measure the activation funnel, define your understanding of the product by creating a hypothesis of what the Habit, Aha, and Setup moments are for Slack. </t>
    </r>
  </si>
  <si>
    <t xml:space="preserve">After signing up for Slack, determine what actions in the product and marketing messages the user is driven to. From the actions you are driven to as a new user, determine which actions are leading you to an aha moment to see value of the product or setup moment that are leading you to properly setup your account. </t>
  </si>
  <si>
    <t xml:space="preserve">An example of an Setup Moment is that they market themselves as a replacement of Email on their marketing website, so when you start using the product, they likely get you to take action via Slack what you would normally do via email. </t>
  </si>
  <si>
    <t>An example of Aha Moment is that they get you to engage with the Slackbot or your college, so you can engaging with others, weather that is a human, bots, or other 3rd party services to see value of the tool.</t>
  </si>
  <si>
    <t>Create a hypothesis of what the habit, aha, and setup moments should be for Slack. (Note: this is only for data-dump and for critical thinking.)</t>
  </si>
  <si>
    <t>The answers here are hypothesis based on your experience of starting to use Slack. In addition to creating a new account on Slack, browse through their features page to spark ideas of potential aha moments: https://slack.com/features.</t>
  </si>
  <si>
    <r>
      <rPr>
        <rFont val="Arial"/>
        <color theme="1"/>
      </rPr>
      <t xml:space="preserve">1. List 4 in-product moments you think that if done often would lead a </t>
    </r>
    <r>
      <rPr>
        <rFont val="Arial"/>
        <b/>
        <color rgb="FF4285F4"/>
      </rPr>
      <t>Slack</t>
    </r>
    <r>
      <rPr>
        <rFont val="Arial"/>
        <color theme="1"/>
      </rPr>
      <t xml:space="preserve"> user to build a habit in Row 18-21</t>
    </r>
  </si>
  <si>
    <r>
      <rPr>
        <rFont val="Arial"/>
        <color theme="1"/>
      </rPr>
      <t xml:space="preserve">2. List 4 aha moments in-product that you think if reached, seen, or experienced would get a user to understand the value provided by </t>
    </r>
    <r>
      <rPr>
        <rFont val="Arial"/>
        <b/>
        <color rgb="FF4285F4"/>
      </rPr>
      <t>Slack</t>
    </r>
    <r>
      <rPr>
        <rFont val="Arial"/>
        <color theme="1"/>
      </rPr>
      <t xml:space="preserve"> in Row 15-19</t>
    </r>
  </si>
  <si>
    <r>
      <rPr>
        <rFont val="Arial"/>
        <color theme="1"/>
      </rPr>
      <t xml:space="preserve">2. List 4 aha moments in-product that you think if reached, seen, or experienced would get a user to understand the value provided by </t>
    </r>
    <r>
      <rPr>
        <rFont val="Arial"/>
        <b/>
        <color rgb="FF4285F4"/>
      </rPr>
      <t>Slack</t>
    </r>
    <r>
      <rPr>
        <rFont val="Arial"/>
        <color theme="1"/>
      </rPr>
      <t xml:space="preserve"> in Row 31-34.</t>
    </r>
  </si>
  <si>
    <t>Moment that lead to Habit:</t>
  </si>
  <si>
    <t>Only use Slack, not email, for internal messages</t>
  </si>
  <si>
    <t xml:space="preserve">Visualization of Acumulated notification number sent on your desktop program or mobile app </t>
  </si>
  <si>
    <t>Sending of email notification for remember pending threads or lastest conversations</t>
  </si>
  <si>
    <t>Free openess of channels for different purposes</t>
  </si>
  <si>
    <t>Start free call with participating members on your channel</t>
  </si>
  <si>
    <t>Moment that lead to Aha:</t>
  </si>
  <si>
    <t>Getting notifications from team on a group channel</t>
  </si>
  <si>
    <t xml:space="preserve">Acces to the sending messages platform </t>
  </si>
  <si>
    <t>Send a message test in the General channel</t>
  </si>
  <si>
    <t>Send a message test in the inbox of friend</t>
  </si>
  <si>
    <t>Invite more friends through the option</t>
  </si>
  <si>
    <t>Moment that lead to Setup:</t>
  </si>
  <si>
    <t>Engage in a frequency faster than email while being mobile</t>
  </si>
  <si>
    <t>Create an working space</t>
  </si>
  <si>
    <t>Reference the name of my team or company</t>
  </si>
  <si>
    <t>Invite collegues using google account</t>
  </si>
  <si>
    <t>Working project reference and Invite friends</t>
  </si>
  <si>
    <r>
      <rPr>
        <rFont val="Arial"/>
        <b/>
        <color theme="1"/>
      </rPr>
      <t xml:space="preserve">Scenario: </t>
    </r>
    <r>
      <rPr>
        <rFont val="Arial"/>
        <b val="0"/>
        <color theme="1"/>
      </rPr>
      <t xml:space="preserve">The VP of Product took your team's hypothesis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</si>
  <si>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rFont val="Arial"/>
        <color rgb="FF000000"/>
      </rPr>
      <t>You need to conduct an analysis on what habit moments and metrics drive users to long-term activation.</t>
    </r>
    <r>
      <rPr>
        <rFont val="Arial"/>
        <b/>
        <color rgb="FF000000"/>
      </rPr>
      <t xml:space="preserve"> 
Remember: </t>
    </r>
    <r>
      <rPr>
        <rFont val="Arial"/>
        <color rgb="FF000000"/>
      </rPr>
      <t xml:space="preserve">Long-term activation would be defined by the metric with the highest % overlap curve. </t>
    </r>
  </si>
  <si>
    <r>
      <rPr>
        <rFont val="Arial"/>
        <color rgb="FF000000"/>
      </rPr>
      <t>The habit, aha, and setup moments will be shared across</t>
    </r>
    <r>
      <rPr>
        <rFont val="Arial"/>
        <b/>
        <color rgb="FF000000"/>
      </rPr>
      <t xml:space="preserve"> next three tabs one for each moment</t>
    </r>
    <r>
      <rPr>
        <rFont val="Arial"/>
        <color rgb="FF000000"/>
      </rPr>
      <t>. 
In this tab, you will analyze just habit moments/metrics and determine whether each of these 3 habit moments affect activation. This is important to know because then we can tailor our product to include the features that allow our users to achieve activation faster. 3 Habit Moments and 3 Habit Metrics are pre-selected for you along with users who completed actions and retained for each of the 3 moments.</t>
    </r>
  </si>
  <si>
    <t>Habit 1 analysis is on row 18-20, habit 2 analysis is on row 30-36, and habit 3 analysis is on row 42-48.</t>
  </si>
  <si>
    <r>
      <rPr>
        <rFont val="Arial"/>
        <b/>
        <color theme="1"/>
      </rPr>
      <t xml:space="preserve">Skills: 
</t>
    </r>
    <r>
      <rPr>
        <rFont val="Arial"/>
        <b val="0"/>
        <color theme="1"/>
      </rPr>
      <t>(1) calculate % overlap to measure the relationship of % overlap to habit metric
(2) create line charts to visualize the relationship of the metric
(3) analyze which are the primary habit moments and metric that lead to long-term activation.</t>
    </r>
  </si>
  <si>
    <r>
      <rPr>
        <rFont val="Arial"/>
        <b/>
        <color theme="1"/>
      </rPr>
      <t xml:space="preserve">Instructions: </t>
    </r>
    <r>
      <rPr>
        <rFont val="Arial"/>
        <b val="0"/>
        <color theme="1"/>
      </rPr>
      <t>Place any notes, thoughts, comments in the "Observations (Personal Notes)" box in column M -O for yourself as you may want them in the future</t>
    </r>
  </si>
  <si>
    <r>
      <rPr>
        <rFont val="Arial"/>
        <b/>
        <color theme="1"/>
      </rPr>
      <t xml:space="preserve">1. </t>
    </r>
    <r>
      <rPr>
        <rFont val="Arial"/>
        <b val="0"/>
        <color theme="1"/>
      </rPr>
      <t xml:space="preserve">Calculate the % overlap for each moment in Column F, </t>
    </r>
  </si>
  <si>
    <r>
      <rPr>
        <rFont val="Arial"/>
        <b/>
        <color theme="1"/>
      </rPr>
      <t xml:space="preserve">2. </t>
    </r>
    <r>
      <rPr>
        <rFont val="Arial"/>
        <b val="0"/>
        <color theme="1"/>
      </rPr>
      <t xml:space="preserve">Create a line-graph for each moment in Column H-K to visualize the % Overlap from Column F vs Habit Metric from column A, </t>
    </r>
  </si>
  <si>
    <r>
      <rPr>
        <rFont val="Arial"/>
        <b/>
        <color theme="1"/>
      </rPr>
      <t xml:space="preserve">3. </t>
    </r>
    <r>
      <rPr>
        <rFont val="Arial"/>
        <b val="0"/>
        <color theme="1"/>
      </rPr>
      <t>Analyze the data for each moment to determine if based on your analysis, this moment leads to long-term activation or not, and share your reasoning in Column Q - S</t>
    </r>
  </si>
  <si>
    <r>
      <rPr>
        <rFont val="Arial"/>
        <b/>
        <color theme="1"/>
      </rPr>
      <t xml:space="preserve">4. </t>
    </r>
    <r>
      <rPr>
        <rFont val="Arial"/>
        <b val="0"/>
        <color theme="1"/>
      </rPr>
      <t>Once Steps 1 - 3 are completed, determine which of the 3 options would the Primary Habit Moment and Metric and explain why in the 2 boxes on the bottom right of this Tab in Row  51.</t>
    </r>
  </si>
  <si>
    <r>
      <rPr>
        <rFont val="Arial"/>
        <b/>
        <color theme="1"/>
      </rPr>
      <t xml:space="preserve">Habit Moment 1: </t>
    </r>
    <r>
      <rPr>
        <rFont val="Arial"/>
        <b val="0"/>
        <color theme="1"/>
      </rPr>
      <t xml:space="preserve">look for a communication tool outside of email to engage with teammates   </t>
    </r>
    <r>
      <rPr>
        <rFont val="Arial"/>
        <b/>
        <color theme="1"/>
      </rPr>
      <t xml:space="preserve">                                     </t>
    </r>
  </si>
  <si>
    <r>
      <rPr>
        <rFont val="Arial"/>
        <b/>
        <color theme="1"/>
      </rPr>
      <t xml:space="preserve">Habit Metric 1: </t>
    </r>
    <r>
      <rPr>
        <rFont val="Arial"/>
        <b val="0"/>
        <color theme="1"/>
      </rPr>
      <t># of Team Slack Messages Sent in 7-days</t>
    </r>
  </si>
  <si>
    <t xml:space="preserve">Observations (Personal Notes): Begining from 2000# messages in 7-days until 20,000 messages display a good indicator of activation of intesity and frequency of use  </t>
  </si>
  <si>
    <t>Does doing this Habit Metric affect activation? If yes, what is the ideal metric?</t>
  </si>
  <si>
    <t>Yes the ideal metric to affect activation is sent at least 2 000 messages in 7-days</t>
  </si>
  <si>
    <t># of</t>
  </si>
  <si>
    <t>User</t>
  </si>
  <si>
    <t>Messages Sent</t>
  </si>
  <si>
    <t>Action Completed</t>
  </si>
  <si>
    <t>Retained + Action NOT completed</t>
  </si>
  <si>
    <t>Retained + Action completed</t>
  </si>
  <si>
    <t>Total Users</t>
  </si>
  <si>
    <t>% Overlap</t>
  </si>
  <si>
    <t>Why?</t>
  </si>
  <si>
    <t xml:space="preserve">Because display a point of increasing and certain sustanibility </t>
  </si>
  <si>
    <r>
      <rPr>
        <rFont val="Arial"/>
        <b/>
        <color theme="1"/>
      </rPr>
      <t xml:space="preserve">Habit Moment 2: </t>
    </r>
    <r>
      <rPr>
        <rFont val="Arial"/>
        <b val="0"/>
        <color theme="1"/>
      </rPr>
      <t xml:space="preserve">Only use Slack for internal messages, not email   </t>
    </r>
    <r>
      <rPr>
        <rFont val="Arial"/>
        <b/>
        <color theme="1"/>
      </rPr>
      <t xml:space="preserve">                                     </t>
    </r>
  </si>
  <si>
    <r>
      <rPr>
        <rFont val="Arial"/>
        <b/>
        <color theme="1"/>
      </rPr>
      <t xml:space="preserve">Habit Metric 2: </t>
    </r>
    <r>
      <rPr>
        <rFont val="Arial"/>
        <b val="0"/>
        <color theme="1"/>
      </rPr>
      <t># of sessions (log-ins) per day</t>
    </r>
  </si>
  <si>
    <t>Observations (Personal Notes): Best correlation between a habit moment and activation log term is showed by log-ins 3 and 4 during a day rather than 6 or 7 log-ins</t>
  </si>
  <si>
    <t xml:space="preserve">Yes, The ideal metric that correlates with long-term  activation are 3 or 4 log-ins during a day </t>
  </si>
  <si>
    <t>Session</t>
  </si>
  <si>
    <t>(log-ins)</t>
  </si>
  <si>
    <t>1+</t>
  </si>
  <si>
    <t>2+</t>
  </si>
  <si>
    <t xml:space="preserve">Because those are the largest % overlap </t>
  </si>
  <si>
    <t>3+</t>
  </si>
  <si>
    <t>4+</t>
  </si>
  <si>
    <t>5+</t>
  </si>
  <si>
    <t>6+</t>
  </si>
  <si>
    <t>7+</t>
  </si>
  <si>
    <r>
      <rPr>
        <rFont val="Arial"/>
        <b/>
        <color theme="1"/>
      </rPr>
      <t xml:space="preserve">Habit Moment 3: </t>
    </r>
    <r>
      <rPr>
        <rFont val="Arial"/>
        <b val="0"/>
        <color theme="1"/>
      </rPr>
      <t xml:space="preserve">Checking a notification when something is addressed to me                      </t>
    </r>
  </si>
  <si>
    <r>
      <rPr>
        <rFont val="Arial"/>
        <b/>
        <color theme="1"/>
      </rPr>
      <t xml:space="preserve">Habit Metric 3: </t>
    </r>
    <r>
      <rPr>
        <rFont val="Arial"/>
        <b val="0"/>
        <color theme="1"/>
      </rPr>
      <t># of messages they were linked to (with an @) that brought them back to Slack</t>
    </r>
  </si>
  <si>
    <t xml:space="preserve">Observations (Personal Notes): Users who back to slack  with an @ and activate better in long term are those who only recieve messages from 1 to 4. </t>
  </si>
  <si>
    <t>Yes, the ideal metric would be those users who recieve messages from 1 to 4</t>
  </si>
  <si>
    <t>Messages</t>
  </si>
  <si>
    <t>Because those as a range of recieved messages are highest % overlap</t>
  </si>
  <si>
    <t>Moment</t>
  </si>
  <si>
    <t>Metric</t>
  </si>
  <si>
    <r>
      <rPr>
        <rFont val="Arial"/>
        <b/>
        <color rgb="FF000000"/>
      </rPr>
      <t>What is the best Primary Habit Moment and Metric to select for Slack?</t>
    </r>
    <r>
      <rPr>
        <rFont val="Arial"/>
        <b val="0"/>
        <color rgb="FF000000"/>
      </rPr>
      <t xml:space="preserve"> (hint: what did you confirm as a Habit Action in this exercise and which action had the highest overlap - probability to positively affect activation)</t>
    </r>
  </si>
  <si>
    <t xml:space="preserve">Habit Moment 1: look for a communication tool outside of email to engage with teammates                                     </t>
  </si>
  <si>
    <t xml:space="preserve">2000 Messages Sent in 7-days of Team Slack </t>
  </si>
  <si>
    <t>Without using the data analysis, why do you think that this Habit would be the best for Slack?</t>
  </si>
  <si>
    <t>Because is close related with the primary jobs to be done that a typical slack user needs to do and which vary in terms of frequency and intensity according its own necesity</t>
  </si>
  <si>
    <r>
      <rPr>
        <rFont val="Arial"/>
        <b/>
        <color theme="1"/>
      </rPr>
      <t xml:space="preserve">Scenario: </t>
    </r>
    <r>
      <rPr>
        <rFont val="Arial"/>
        <b val="0"/>
        <color theme="1"/>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</si>
  <si>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rFont val="Arial"/>
        <color rgb="FF000000"/>
      </rPr>
      <t>You need to conduct an analysis on what habit moments and metrics drive users to long-term activation.</t>
    </r>
    <r>
      <rPr>
        <rFont val="Arial"/>
        <b/>
        <color rgb="FF000000"/>
      </rPr>
      <t xml:space="preserve"> 
Remember: </t>
    </r>
    <r>
      <rPr>
        <rFont val="Arial"/>
        <color rgb="FF000000"/>
      </rPr>
      <t xml:space="preserve">Long-term activation would be defined by the metric with the highest % overlap curve. </t>
    </r>
  </si>
  <si>
    <r>
      <rPr>
        <rFont val="Arial"/>
        <color rgb="FF000000"/>
      </rPr>
      <t>The habit, aha, and setup moments will be shared across</t>
    </r>
    <r>
      <rPr>
        <rFont val="Arial"/>
        <b/>
        <color rgb="FF000000"/>
      </rPr>
      <t xml:space="preserve"> next three tabs one for each moment</t>
    </r>
    <r>
      <rPr>
        <rFont val="Arial"/>
        <color rgb="FF000000"/>
      </rPr>
      <t>. 
In this tab, you will analyze just Aha moments/metrics and determine whether each of these 3 habit moments affect activation. This is important to know because then we can tailor our product to include the features that allow our users to achieve activation faster. 3 Aha Moments and 3 Aha Metrics are pre-selected for you along with users who completed actions and retained for each of the 3 moments.</t>
    </r>
  </si>
  <si>
    <r>
      <rPr>
        <rFont val="Arial"/>
        <b/>
        <color theme="1"/>
      </rPr>
      <t xml:space="preserve">Skill: </t>
    </r>
    <r>
      <rPr>
        <rFont val="Arial"/>
        <b val="0"/>
        <color theme="1"/>
      </rPr>
      <t>From these tasks, you can apply your knowledge on how to (1) calculate % overlap to measure the relationship of % overlap to Aha metric, (2) create line charts to visualize the relationship of the metric and (3) analyze which are the primary Aha moments and metric that lead to long-term activation.</t>
    </r>
  </si>
  <si>
    <r>
      <rPr>
        <rFont val="Arial"/>
        <b/>
        <color theme="1"/>
      </rPr>
      <t xml:space="preserve">Instructions: </t>
    </r>
    <r>
      <rPr>
        <rFont val="Arial"/>
        <b val="0"/>
        <color theme="1"/>
      </rPr>
      <t>Place any notes, thoughts, comments in the "Observations (Personal Notes)" box in column M - O for yourself to view in the future.</t>
    </r>
  </si>
  <si>
    <r>
      <rPr>
        <rFont val="Arial"/>
        <b/>
        <color theme="1"/>
      </rPr>
      <t xml:space="preserve">1. </t>
    </r>
    <r>
      <rPr>
        <rFont val="Arial"/>
        <b val="0"/>
        <color theme="1"/>
      </rPr>
      <t xml:space="preserve">Calculate the % overlap for each moment in Column F, </t>
    </r>
  </si>
  <si>
    <r>
      <rPr>
        <rFont val="Arial"/>
        <b/>
        <color theme="1"/>
      </rPr>
      <t xml:space="preserve">2. </t>
    </r>
    <r>
      <rPr>
        <rFont val="Arial"/>
        <b val="0"/>
        <color theme="1"/>
      </rPr>
      <t xml:space="preserve">Create a line-graph for each moment in Column H-K to visualize the % Overlap from Column F vs aha Metric from column A, </t>
    </r>
  </si>
  <si>
    <r>
      <rPr>
        <rFont val="Arial"/>
        <b/>
        <color theme="1"/>
      </rPr>
      <t xml:space="preserve">3. </t>
    </r>
    <r>
      <rPr>
        <rFont val="Arial"/>
        <b val="0"/>
        <color theme="1"/>
      </rPr>
      <t>Analyze the data for each moment to determine if based on your analysis, this moment leads to long-term activation or not, and share your reasoning in Column Q - S</t>
    </r>
  </si>
  <si>
    <r>
      <rPr>
        <rFont val="Arial"/>
        <b/>
        <color theme="1"/>
      </rPr>
      <t xml:space="preserve">4. </t>
    </r>
    <r>
      <rPr>
        <rFont val="Arial"/>
        <b val="0"/>
        <color theme="1"/>
      </rPr>
      <t>Once Steps 1 - 3 are completed, determine which of the 3 options would the Primary aha Moment and Metric and explain why in the 2 boxes on the bottom right of this Tab in Row 50.</t>
    </r>
  </si>
  <si>
    <t>Aha Moment 1: Engaging with a message in a group channel</t>
  </si>
  <si>
    <r>
      <rPr>
        <rFont val="Arial"/>
        <b/>
        <color theme="1"/>
      </rPr>
      <t xml:space="preserve">Aha Metric 1: </t>
    </r>
    <r>
      <rPr>
        <rFont val="Arial"/>
        <b val="0"/>
        <color theme="1"/>
      </rPr>
      <t>Sending 1st message in a group channel within X days</t>
    </r>
  </si>
  <si>
    <t>Observations (Personal Notes): its stronger correlation with 1 until4 days taken</t>
  </si>
  <si>
    <t>Does doing this Aha Metric affect activation? If yes, what is the ideal metric?</t>
  </si>
  <si>
    <t>Yes,Sending 1st message in a group channel within 1 day</t>
  </si>
  <si>
    <t xml:space="preserve"># of </t>
  </si>
  <si>
    <t>Days Taken</t>
  </si>
  <si>
    <t>Because only needs 1 day taken for sending 1st message in a group channel that correlates higher with long-term activation</t>
  </si>
  <si>
    <r>
      <rPr>
        <rFont val="Arial"/>
        <b/>
        <color theme="1"/>
      </rPr>
      <t xml:space="preserve">Aha Moment 2: </t>
    </r>
    <r>
      <rPr>
        <rFont val="Arial"/>
        <b val="0"/>
        <color theme="1"/>
      </rPr>
      <t>Messaging with a team member on a direct channel</t>
    </r>
  </si>
  <si>
    <r>
      <rPr>
        <rFont val="Arial"/>
        <b/>
        <color theme="1"/>
      </rPr>
      <t xml:space="preserve">Aha Metric 2: </t>
    </r>
    <r>
      <rPr>
        <rFont val="Arial"/>
        <b val="0"/>
        <color theme="1"/>
      </rPr>
      <t xml:space="preserve">sends 1st direct message within X days </t>
    </r>
  </si>
  <si>
    <t>Observations (Personal Notes):</t>
  </si>
  <si>
    <t>Yes, the ideal metric should be 1 day taken</t>
  </si>
  <si>
    <t>Because is needed only 1 day  by our users to Messaging with a team member on a direct channel that correlates much more with a long-term activation</t>
  </si>
  <si>
    <r>
      <rPr>
        <rFont val="Arial"/>
        <b/>
        <color theme="1"/>
      </rPr>
      <t xml:space="preserve">Aha Moment 3: </t>
    </r>
    <r>
      <rPr>
        <rFont val="Arial"/>
        <b val="0"/>
        <color theme="1"/>
      </rPr>
      <t>Searching for old documents, links, and convos</t>
    </r>
  </si>
  <si>
    <t>Aha Metric 3: 1st search for a file or message within X days</t>
  </si>
  <si>
    <t xml:space="preserve">Yes, 3 days taken for 1st search for a file or message </t>
  </si>
  <si>
    <t>Because is needed 3 days  by our users to make 1st search for a file or message that correlates much more with a long-term activation</t>
  </si>
  <si>
    <r>
      <rPr>
        <rFont val="Arial"/>
        <b/>
        <color rgb="FF000000"/>
      </rPr>
      <t>What is the best Primary Aha Moment and Metric to select for Slack?</t>
    </r>
    <r>
      <rPr>
        <rFont val="Arial"/>
        <b val="0"/>
        <color rgb="FF000000"/>
      </rPr>
      <t xml:space="preserve"> (hint: what did you confirm as a Aha Action in this exercise and which action had the highest overlap - probability to positively affect activation)</t>
    </r>
  </si>
  <si>
    <t xml:space="preserve"> Engaging with a message in a group channel</t>
  </si>
  <si>
    <t>Sending 1st message in a group channel within 1 day</t>
  </si>
  <si>
    <t>Without using the data analysis, why do you think that this Aha would be the best for Slack?</t>
  </si>
  <si>
    <t>Because beside that represent a stronger % overlap all of three moments,  maybe the high value for users as members of enterprise segment as mainly target in this sample fin more useful the communication with the group channel where is the rest of the team instead of with one to one</t>
  </si>
  <si>
    <r>
      <rPr>
        <rFont val="Arial"/>
        <b/>
        <color theme="1"/>
      </rPr>
      <t xml:space="preserve">Scenario: </t>
    </r>
    <r>
      <rPr>
        <rFont val="Arial"/>
        <b val="0"/>
        <color theme="1"/>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</si>
  <si>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rFont val="Arial"/>
        <color rgb="FF000000"/>
      </rPr>
      <t>You need to conduct an analysis on what habit moments and metrics drive users to long-term activation.</t>
    </r>
    <r>
      <rPr>
        <rFont val="Arial"/>
        <b/>
        <color rgb="FF000000"/>
      </rPr>
      <t xml:space="preserve"> 
Remember: </t>
    </r>
    <r>
      <rPr>
        <rFont val="Arial"/>
        <color rgb="FF000000"/>
      </rPr>
      <t xml:space="preserve">Long-term activation would be defined by the metric with the highest % overlap curve. </t>
    </r>
  </si>
  <si>
    <t>The habit, Setup, and setup moments will be shared across next three tabs one for each moment. 
In this tab, you will analyze just Setup moments/metrics and determine whether each of these 3 habit moments affect activation. This is important to know because then we can tailor our product to include the features that allow our users to achieve activation faster. 3 Setup Moments and 3 Setup Metrics are pre-selected for you along with users who completed actions and retained for each of the 3 moments.</t>
  </si>
  <si>
    <r>
      <rPr>
        <rFont val="Arial"/>
        <b/>
        <color theme="1"/>
      </rPr>
      <t xml:space="preserve">Skill: </t>
    </r>
    <r>
      <rPr>
        <rFont val="Arial"/>
        <b val="0"/>
        <color theme="1"/>
      </rPr>
      <t>From these tasks, you can apply your knowledge on how to 
(1) calculate % overlap to measure the relationship of % overlap to setup metric
(2) create line charts to visualize the relationship of the metric
(3) analyze which are the primary setup moments and metric that lead to long-term activation.</t>
    </r>
  </si>
  <si>
    <r>
      <rPr>
        <rFont val="Arial"/>
        <b/>
        <color theme="1"/>
      </rPr>
      <t xml:space="preserve">Instructions: </t>
    </r>
    <r>
      <rPr>
        <rFont val="Arial"/>
        <b val="0"/>
        <color theme="1"/>
      </rPr>
      <t>Place any notes, thoughts, comments in the "Observations (Personal Notes)" box in column M - O for yourself to view in the future.</t>
    </r>
  </si>
  <si>
    <r>
      <rPr>
        <rFont val="Arial"/>
        <b/>
        <color theme="1"/>
      </rPr>
      <t xml:space="preserve">1. </t>
    </r>
    <r>
      <rPr>
        <rFont val="Arial"/>
        <b val="0"/>
        <color theme="1"/>
      </rPr>
      <t xml:space="preserve">Calculate the % overlap for each moment in Column F, </t>
    </r>
  </si>
  <si>
    <r>
      <rPr>
        <rFont val="Arial"/>
        <b/>
        <color theme="1"/>
      </rPr>
      <t xml:space="preserve">2. </t>
    </r>
    <r>
      <rPr>
        <rFont val="Arial"/>
        <b val="0"/>
        <color theme="1"/>
      </rPr>
      <t xml:space="preserve">Create a line-graph for each moment in Column H-K to visualize the % Overlap from Column F vs setup Metric from column A, </t>
    </r>
  </si>
  <si>
    <r>
      <rPr>
        <rFont val="Arial"/>
        <b/>
        <color theme="1"/>
      </rPr>
      <t xml:space="preserve">3. </t>
    </r>
    <r>
      <rPr>
        <rFont val="Arial"/>
        <b val="0"/>
        <color theme="1"/>
      </rPr>
      <t>Analyze the data for each moment to determine if based on your analysis, this moment leads to long-term activation or not, and share your reasoning in Column Q - S</t>
    </r>
  </si>
  <si>
    <r>
      <rPr>
        <rFont val="Arial"/>
        <b/>
        <color theme="1"/>
      </rPr>
      <t xml:space="preserve">4. </t>
    </r>
    <r>
      <rPr>
        <rFont val="Arial"/>
        <b val="0"/>
        <color theme="1"/>
      </rPr>
      <t>Once Steps 1 - 3 are completed, determine which of the 3 options would the Primary setup Moment and Metric and explain why in the 2 boxes on the bottom right of this Tab in Row 50.</t>
    </r>
  </si>
  <si>
    <r>
      <rPr>
        <rFont val="Arial"/>
        <b/>
        <color theme="1"/>
      </rPr>
      <t xml:space="preserve">Setup Moment 1: </t>
    </r>
    <r>
      <rPr>
        <rFont val="Arial"/>
        <b val="0"/>
        <color theme="1"/>
      </rPr>
      <t>Configure settings and profile</t>
    </r>
  </si>
  <si>
    <r>
      <rPr>
        <rFont val="Arial"/>
        <b/>
        <color theme="1"/>
      </rPr>
      <t xml:space="preserve">Setup Metric 1: </t>
    </r>
    <r>
      <rPr>
        <rFont val="Arial"/>
        <b val="0"/>
        <color theme="1"/>
      </rPr>
      <t>Setting up profile pic within X days</t>
    </r>
  </si>
  <si>
    <t>Observations (Personal Notes): 1 and 3 are the days that users taken by our users to configure their settings and profile which we can say that this correlates much more with a long-term activation</t>
  </si>
  <si>
    <t>Does doing this Setup Metric affect activation? If yes, what is the ideal metric?</t>
  </si>
  <si>
    <t>Yes, the ideal metric 1 or 3 days for setting up profile pic</t>
  </si>
  <si>
    <t>Because those are the #days that users taken by our users to configure their settings and profile which we can say that this correlates much more with a long-term activation</t>
  </si>
  <si>
    <r>
      <rPr>
        <rFont val="Arial"/>
        <b/>
        <color theme="1"/>
      </rPr>
      <t xml:space="preserve">Setup Moment 2: </t>
    </r>
    <r>
      <rPr>
        <rFont val="Arial"/>
        <b val="0"/>
        <color theme="1"/>
      </rPr>
      <t>Integrate to a 3rd party Slack App</t>
    </r>
  </si>
  <si>
    <r>
      <rPr>
        <rFont val="Arial"/>
        <b/>
        <color theme="1"/>
      </rPr>
      <t xml:space="preserve">Setup Metric 2: </t>
    </r>
    <r>
      <rPr>
        <rFont val="Arial"/>
        <b val="0"/>
        <color theme="1"/>
      </rPr>
      <t>Integrate to a 3rd party app within 7-days</t>
    </r>
  </si>
  <si>
    <t>Observations (Personal Notes): Exits major correlation of only one day taken by our user to integrate a 3rd party app with a long-term activation.</t>
  </si>
  <si>
    <t xml:space="preserve">Yes, the ideal metric is only 1 day of days taken to integrate a 3rd app </t>
  </si>
  <si>
    <t>Because  exits major correlation of only one day taken by our user to integrate a 3rd party app with a long-term activation.</t>
  </si>
  <si>
    <r>
      <rPr>
        <rFont val="Arial"/>
        <b/>
        <color theme="1"/>
      </rPr>
      <t xml:space="preserve">Setup Moment 3: </t>
    </r>
    <r>
      <rPr>
        <rFont val="Arial"/>
        <b val="0"/>
        <color theme="1"/>
      </rPr>
      <t>Invite a team mate and had a back-and-forth direct convo</t>
    </r>
  </si>
  <si>
    <r>
      <rPr>
        <rFont val="Arial"/>
        <b/>
        <color theme="1"/>
      </rPr>
      <t xml:space="preserve">Setup Metric 3: </t>
    </r>
    <r>
      <rPr>
        <rFont val="Arial"/>
        <b val="0"/>
        <color theme="1"/>
      </rPr>
      <t># of users invited within 7-days</t>
    </r>
  </si>
  <si>
    <t xml:space="preserve">Observations (Personal Notes): It shows major correlation with only 1 user invited with long-term activation, but also we can see that could be also accepted with 2,3 and 4 users invited </t>
  </si>
  <si>
    <t>Yes, 1 user invited within 7 days</t>
  </si>
  <si>
    <t>Users Invited</t>
  </si>
  <si>
    <t>Exits major correlation with only 1 user invited with long-term activation</t>
  </si>
  <si>
    <r>
      <rPr>
        <rFont val="Arial"/>
        <b/>
        <color rgb="FF000000"/>
      </rPr>
      <t>What is the best Primary Setup Moment and Metric to select for Slack?</t>
    </r>
    <r>
      <rPr>
        <rFont val="Arial"/>
        <b val="0"/>
        <color rgb="FF000000"/>
      </rPr>
      <t xml:space="preserve"> (hint: what did you confirm as a Aha Action in this exercise and which action had the highest overlap - probability to positively affect activation)</t>
    </r>
  </si>
  <si>
    <t>Invite a team mate and had a back-and-forth direct convo</t>
  </si>
  <si>
    <t xml:space="preserve"> 1 user invited within 7-days</t>
  </si>
  <si>
    <t>Without using the data analysis, why do you think that this Setup would be the best for Slack?</t>
  </si>
  <si>
    <t xml:space="preserve">Because the purpose and value proposition is directly related with interchange comunication between pairs, so we should have a metric tracking it </t>
  </si>
  <si>
    <t>Suggested Experiments from Tab 3</t>
  </si>
  <si>
    <r>
      <rPr>
        <rFont val="Arial"/>
        <b/>
        <color theme="1"/>
      </rPr>
      <t xml:space="preserve">Scenario: </t>
    </r>
    <r>
      <rPr>
        <rFont val="Arial"/>
        <b val="0"/>
        <color theme="1"/>
      </rPr>
      <t xml:space="preserve">You have been brought onto a project at Slack to help define the activation funnel. </t>
    </r>
  </si>
  <si>
    <t>On this tab, you will be putting all the analysis you've done in previous 3 tabs together. From the 3 previous tabs, you should have identified the primary habit, aha, and signup moment that most influenced activation.</t>
  </si>
  <si>
    <r>
      <rPr>
        <rFont val="Arial"/>
        <b/>
        <color theme="1"/>
      </rPr>
      <t xml:space="preserve">Skill: </t>
    </r>
    <r>
      <rPr>
        <rFont val="Arial"/>
        <b val="0"/>
        <color theme="1"/>
      </rPr>
      <t xml:space="preserve">You have determined that many moments and metrics can lead users to activate, but there are only a few </t>
    </r>
    <r>
      <rPr>
        <rFont val="Arial"/>
        <b/>
        <color theme="1"/>
      </rPr>
      <t>Primary</t>
    </r>
    <r>
      <rPr>
        <rFont val="Arial"/>
        <b val="0"/>
        <color theme="1"/>
      </rPr>
      <t xml:space="preserve"> moments and metrics that we should drive users towards as they lead to long-term activation.</t>
    </r>
  </si>
  <si>
    <r>
      <rPr>
        <rFont val="Arial"/>
        <b/>
        <color theme="1"/>
      </rPr>
      <t xml:space="preserve">Instructions: </t>
    </r>
    <r>
      <rPr>
        <rFont val="Arial"/>
        <color theme="1"/>
      </rPr>
      <t>Compare your hypothesis from Tab 3- Activation Hyopthesis against the post-analysis activation funnel in Tab 7. Please add your thoughts Column C.</t>
    </r>
  </si>
  <si>
    <r>
      <rPr>
        <rFont val="Arial"/>
        <color theme="1"/>
      </rPr>
      <t xml:space="preserve">1. </t>
    </r>
    <r>
      <rPr>
        <rFont val="Arial"/>
        <color theme="1"/>
      </rPr>
      <t>Your Habit moments and metrics (They should appear here from the relevant tabs, if they do not, please copy them here) for your to reflect on are in A11 and B11</t>
    </r>
    <r>
      <rPr>
        <rFont val="Arial"/>
        <color theme="1"/>
      </rPr>
      <t xml:space="preserve">                                                </t>
    </r>
  </si>
  <si>
    <t>2. Your Aha moments and metrics (They should appear here from the relevant tabs, if they do not, please copy them here) for your to reflect on are in A11 and B12</t>
  </si>
  <si>
    <t>3. Your Setup moments and metrics (They should appear here from the relevant tabs, if they do not, please copy them here) for your to reflect on are in A11 and B13</t>
  </si>
  <si>
    <t>Cells  in orange have been done for you.</t>
  </si>
  <si>
    <t>Metrics that lead to Habit:</t>
  </si>
  <si>
    <t>Observations/Reflections on Hypothesis</t>
  </si>
  <si>
    <t>the higher frequency and intensity of aha moment is better represented by the replacing of email by slack for internal team communication with 2000 messages sent within the first 7 days measure  the core value gives slack over the rest moments that  were more related as complements</t>
  </si>
  <si>
    <t>Metrics that lead to Aha:</t>
  </si>
  <si>
    <t>The feature of recieve or getting instanlty  notifications from group channel as part of user path during onboarding process could helped to validate
 the hipothesis of just sending 1st message in a group channel within 1st day could drive a better long term activation through the aha momento as part of 
their First User Experience with value proposition</t>
  </si>
  <si>
    <t>Moments that lead to Signup:</t>
  </si>
  <si>
    <t>Metrics that lead to Signup:</t>
  </si>
  <si>
    <t xml:space="preserve">the step of Invite collegues using google account as part of user path of the onboarding process could  served as base of experiment to validate the strong correlation when occurs the moment of value perceived like invite a team mate and had a back and forth direct convo with a long term activation,  because that step served as input for get the First User Experience </t>
  </si>
  <si>
    <r>
      <rPr>
        <rFont val="Arial"/>
        <b/>
        <color theme="1"/>
      </rPr>
      <t xml:space="preserve">Scenario: </t>
    </r>
    <r>
      <rPr>
        <rFont val="Arial"/>
        <b val="0"/>
        <color theme="1"/>
      </rPr>
      <t xml:space="preserve">Now that you have determined one of Slack's Habit, Aha, and Setup moments, you have been asked by the VP of Product to segment our users through the activation funnel. He requests you share with marketing any findings on what users are performing well, not well, and what areas can be improved on. </t>
    </r>
  </si>
  <si>
    <t xml:space="preserve">The findings will help marketing team focus on Ideal Customer Profiles (ICPs), so they know where to invest for Acquisition. The activation funnel has already been applied to these segments and your goal is to see analyze delta between the funnel and how many users make it through the funnel. </t>
  </si>
  <si>
    <r>
      <rPr>
        <rFont val="Arial"/>
        <b/>
        <color rgb="FF000000"/>
      </rPr>
      <t>Remember</t>
    </r>
    <r>
      <rPr>
        <rFont val="Arial"/>
        <color rgb="FF000000"/>
      </rPr>
      <t xml:space="preserve">: The delta is the percentage of users that make it from one stage of the funnel to the next to ultimately tell us what percent of our acquired users go through all stages of funnel to achieve activation. </t>
    </r>
  </si>
  <si>
    <t>Once your conduct this analysis, you can then create experiments on how to convert more users through each step in the Setup, Aha, and Habit moments. The goal for Slack is to get more users through the funnel so we have more users and  a higer % of users that become activated.</t>
  </si>
  <si>
    <t xml:space="preserve">Skill: Analyze how different segments flow through the activation funnel by determining the # and % of users activated per segment. </t>
  </si>
  <si>
    <r>
      <rPr>
        <rFont val="Arial"/>
        <b/>
        <color theme="1"/>
      </rPr>
      <t>Instructions</t>
    </r>
    <r>
      <rPr>
        <rFont val="Arial"/>
        <color theme="1"/>
      </rPr>
      <t xml:space="preserve">: Conduct each segment analysis in order: 
Industry (Row 8 - 28)
Company Size (Row 30 -50)
Account Size (Row 52 - 71)
Source (Row 73 - 90). </t>
    </r>
  </si>
  <si>
    <t xml:space="preserve">Place any notes, thoughts, comments in the "Observations (Personal Notes)" box for yourself to view in the future - these will not be graded. </t>
  </si>
  <si>
    <t>In your text-based analysis, your goal is to increase the total average % you calculate in row 31, 53, 74, and 93 across each segment. To determine what is a good threshold of % of users activated that is good enough vs.needs more support, compare the % users activated for each segmen to the average for that segment.</t>
  </si>
  <si>
    <r>
      <rPr>
        <rFont val="Arial"/>
        <b/>
        <color theme="1"/>
      </rPr>
      <t xml:space="preserve">1. </t>
    </r>
    <r>
      <rPr>
        <rFont val="Arial"/>
        <b val="0"/>
        <color theme="1"/>
      </rPr>
      <t xml:space="preserve">Calculate the Delta (Setup to Aha) ratio in Column D     </t>
    </r>
    <r>
      <rPr>
        <rFont val="Arial"/>
        <b/>
        <color theme="1"/>
      </rPr>
      <t xml:space="preserve">                                              </t>
    </r>
  </si>
  <si>
    <r>
      <rPr>
        <rFont val="Arial"/>
        <b/>
        <color theme="1"/>
      </rPr>
      <t xml:space="preserve">2. </t>
    </r>
    <r>
      <rPr>
        <rFont val="Arial"/>
        <b val="0"/>
        <color theme="1"/>
      </rPr>
      <t xml:space="preserve">Calculate Delta (Aha to Habit) ratio in Column F,        </t>
    </r>
    <r>
      <rPr>
        <rFont val="Arial"/>
        <b/>
        <color theme="1"/>
      </rPr>
      <t xml:space="preserve">                                          </t>
    </r>
  </si>
  <si>
    <t xml:space="preserve">3. Calculate # of users activated in Column H,                                                       </t>
  </si>
  <si>
    <r>
      <rPr>
        <rFont val="Arial"/>
        <b/>
        <color theme="1"/>
      </rPr>
      <t xml:space="preserve">4. </t>
    </r>
    <r>
      <rPr>
        <rFont val="Arial"/>
        <b val="0"/>
        <color theme="1"/>
      </rPr>
      <t>% of Users Activated in Column I,</t>
    </r>
  </si>
  <si>
    <r>
      <rPr>
        <rFont val="Arial"/>
        <b/>
        <color theme="1"/>
      </rPr>
      <t xml:space="preserve">5. </t>
    </r>
    <r>
      <rPr>
        <rFont val="Arial"/>
        <b val="0"/>
        <color theme="1"/>
      </rPr>
      <t>Address questions (located below each segment) regarding what segment has the best/worst activation funnel and create an experiment l to focus effort on a specific segment funnel. Use the [Action], [Outcome], and [Theory] Framework.</t>
    </r>
  </si>
  <si>
    <t>Cells colored in Blue have ben completed as examples for you. The formulas have been removed.</t>
  </si>
  <si>
    <t>Segment Analysis by Industry for June 2019</t>
  </si>
  <si>
    <t>Industry</t>
  </si>
  <si>
    <t>New Users Acquired</t>
  </si>
  <si>
    <t># of Users activated</t>
  </si>
  <si>
    <t>% of Users Activated</t>
  </si>
  <si>
    <t>Total</t>
  </si>
  <si>
    <t>Setup Moment</t>
  </si>
  <si>
    <t>Delta (Setup to Aha)</t>
  </si>
  <si>
    <t>Aha Moment</t>
  </si>
  <si>
    <t>Delta (Aha to Habit)</t>
  </si>
  <si>
    <t>Habit Moment</t>
  </si>
  <si>
    <t xml:space="preserve">Technology and Healthcare are the best industry </t>
  </si>
  <si>
    <t>Technology</t>
  </si>
  <si>
    <t xml:space="preserve">Retail </t>
  </si>
  <si>
    <t>Healthcare</t>
  </si>
  <si>
    <t>Financial Services</t>
  </si>
  <si>
    <t>Manufacturing</t>
  </si>
  <si>
    <t>Consume Goods</t>
  </si>
  <si>
    <t>Transportation</t>
  </si>
  <si>
    <t>Oil and Gas</t>
  </si>
  <si>
    <t>What industry has the best activation Funnel? Why?</t>
  </si>
  <si>
    <t>What industry has the worst activation Funnel? Why?</t>
  </si>
  <si>
    <t>What would you want to report to Marketing?</t>
  </si>
  <si>
    <t>Experiment Brief using Action, Outcome, Theory  (Select 1 moments to improve)</t>
  </si>
  <si>
    <t xml:space="preserve">Technology, beacuse this industry probably was part of the core segment which one the company started which one engage better with the value proposition of slack </t>
  </si>
  <si>
    <t xml:space="preserve">Transportation, because even when have a good delta ratios , at every moment have the highest drop-off of users,which indicates certain fit with this segment due to the first interesting  but not so good fit during onboarding process </t>
  </si>
  <si>
    <t>Technology segment should be the mainly segment where to start to focus on effort activation, especifically part y where we can find more drop-off is from delta aha to habit vs setup to aha</t>
  </si>
  <si>
    <t>Taking in account that Technology is our ICP by industry,  where Delta aha to habit express the worst performance , so we should tackle first the Habit Moment through enhancing the stickness of our product after FUX with better triggers using a  audiovisual reminders via web or mobile. As a result we will increase the habit moment rate, because  the psicology support creation of habits through the activation of triggers, in this case audio and visual to familiarize users with this signals and seek for an automated behaviour with less friction, because they matters whats happenig their workspace everymoment</t>
  </si>
  <si>
    <t>Segment Analysis by Company Size for June 2019</t>
  </si>
  <si>
    <t>Company Size</t>
  </si>
  <si>
    <t>New Users</t>
  </si>
  <si>
    <t>1-5</t>
  </si>
  <si>
    <t>6-10</t>
  </si>
  <si>
    <t>11-20</t>
  </si>
  <si>
    <t>21-50</t>
  </si>
  <si>
    <t>51-100</t>
  </si>
  <si>
    <t>101-250</t>
  </si>
  <si>
    <t>251-500</t>
  </si>
  <si>
    <t>501+</t>
  </si>
  <si>
    <t>What company size has the best activation Funnel? Why?</t>
  </si>
  <si>
    <t>What company size has the worst activation Funnel? Why?</t>
  </si>
  <si>
    <t xml:space="preserve">21-50, because as a hipothesis i think this is the average size of a technology team </t>
  </si>
  <si>
    <t>1-5 because is posible that even when they showed the highest interesting into setting account, they couldnt experience the aha moment and less the habit moment as the rest of the company size, is probable that the onboarding process needs some adjustment for this segment to take recovery in those metrics</t>
  </si>
  <si>
    <t xml:space="preserve">Supposing that ASP is indifferent for each segment, We should start inventing our marketing effort in  the segment of  21-50 size companies  </t>
  </si>
  <si>
    <t xml:space="preserve">For improve our detlta aha to habit momento, we can improve our habit moment in the 21-50 segment we should start offering delighters features based on the jobs to be done of an archetipic user for this segment that complement the current set of steps like the possibility to send audio records for chat or other more aligned to their own use context and dimension size . On this way we can reach more than the aha momento metric of 75%. Because small teams tend to be more closer  between them and sharing voice audio is more practical than a formal writting. </t>
  </si>
  <si>
    <t>Segment Analysis by Account Size for June 2019</t>
  </si>
  <si>
    <t>Account Size</t>
  </si>
  <si>
    <t>1 - 2</t>
  </si>
  <si>
    <t>2 - 5</t>
  </si>
  <si>
    <t>5 - 10</t>
  </si>
  <si>
    <t>10 - 20</t>
  </si>
  <si>
    <t>20 - 50</t>
  </si>
  <si>
    <t>50 - 100</t>
  </si>
  <si>
    <t>100+</t>
  </si>
  <si>
    <t>What account size has the best activation Funnel? Why?</t>
  </si>
  <si>
    <t>What account size has the worst activation Funnel? Why?</t>
  </si>
  <si>
    <t>is 50-100 , a number close related with the typical size of  a tech company creates all the account is needed to the rest of the company</t>
  </si>
  <si>
    <t>1-2, they had the  highest leaky funnel activation at difference from the rest,</t>
  </si>
  <si>
    <t xml:space="preserve">Supposing that ASP is indifferent for each segment, We should focus on  investing our marketing effort in  the segment of  50-100 where we had better number of new users </t>
  </si>
  <si>
    <t xml:space="preserve">where the Delta aha to habit moment needs to enhance its metrics and the Habit moment shows the highes bottleneck in the funnel  i would recommend improve the habit moment,  so running experiment on this segment about inviting via mail about the rest of features that can benefit their typical works based on the jobs to be done of this segment. This will result into increasing of at least 4 % in the Delta   </t>
  </si>
  <si>
    <t>Segment Funnel by Sources for June 2019</t>
  </si>
  <si>
    <t>Source</t>
  </si>
  <si>
    <t>Pricing Page</t>
  </si>
  <si>
    <t>Free Trial Page</t>
  </si>
  <si>
    <t>Referral link</t>
  </si>
  <si>
    <t>Team Invitation</t>
  </si>
  <si>
    <t>Blog Page</t>
  </si>
  <si>
    <t>What source has the best activation Funnel? Why?</t>
  </si>
  <si>
    <t>What source has the worst activation Funnel? Why?</t>
  </si>
  <si>
    <t xml:space="preserve">Team invitation , because has the highest  %users activation and related with the act of human nature of being more opened to acces requests from well-knowed people </t>
  </si>
  <si>
    <t>Blog Page, because  expresed the highest leaky funnel activation during the period, maybe related with the still inmature state of their inbound channels</t>
  </si>
  <si>
    <t xml:space="preserve">Supposing that ASP is indifferent for each segment, We should focus on  investing our marketing effort in  the users activated of the source from Team invitation </t>
  </si>
  <si>
    <t>Due to referral link source looks like can enhance their second best %user activation, we can improve their worst bottleneck in their funnel, which is  Habit Moment,  so we can try to mix up the best of both sources, prepare experiment a/b test where control group just recieve the typical exposure to referral link, and the experiment group can get a better compensation for invite and conform a team with the same referral link until 3 members. As outcome the %user who reach habit moment through this enhanced source can reach at least 4% more than the current. As explanation, if we appel to better reward to with a defined goal to reach, we can help them to moves toward the desire behaviour we want they have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</si>
</sst>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mmm\-yy"/>
  </numFmts>
  <fonts count="26">
    <font>
      <sz val="10.0"/>
      <color rgb="FF000000"/>
      <name val="Arial"/>
      <scheme val="minor"/>
    </font>
    <font>
      <sz val="31.0"/>
      <color rgb="FF000000"/>
      <name val="Arial"/>
    </font>
    <font/>
    <font>
      <color theme="1"/>
      <name val="Arial"/>
      <scheme val="minor"/>
    </font>
    <font>
      <u/>
      <color rgb="FF0000FF"/>
    </font>
    <font>
      <color rgb="FF000000"/>
      <name val="Arial"/>
    </font>
    <font>
      <b/>
      <color rgb="FF000000"/>
      <name val="Arial"/>
    </font>
    <font>
      <b/>
      <color theme="1"/>
      <name val="Arial"/>
    </font>
    <font>
      <color theme="1"/>
      <name val="Arial"/>
    </font>
    <font>
      <sz val="11.0"/>
      <color rgb="FF222222"/>
      <name val="&quot;Google Sans&quot;"/>
    </font>
    <font>
      <b/>
      <sz val="20.0"/>
      <color theme="1"/>
      <name val="Arial"/>
    </font>
    <font>
      <u/>
      <color rgb="FF0000FF"/>
      <name val="Arial"/>
    </font>
    <font>
      <b/>
      <sz val="30.0"/>
      <color theme="1"/>
      <name val="Arial"/>
      <scheme val="minor"/>
    </font>
    <font>
      <b/>
      <u/>
      <color rgb="FF0000FF"/>
      <name val="Arial"/>
    </font>
    <font>
      <b/>
      <color theme="1"/>
      <name val="Arial"/>
      <scheme val="minor"/>
    </font>
    <font>
      <b/>
      <sz val="30.0"/>
      <color theme="1"/>
      <name val="Arial"/>
    </font>
    <font>
      <b/>
      <color rgb="FFB7B7B7"/>
      <name val="Arial"/>
      <scheme val="minor"/>
    </font>
    <font>
      <color rgb="FFB7B7B7"/>
      <name val="Arial"/>
      <scheme val="minor"/>
    </font>
    <font>
      <b/>
      <color rgb="FFB7B7B7"/>
      <name val="Arial"/>
    </font>
    <font>
      <sz val="11.0"/>
      <color rgb="FF000000"/>
      <name val="Arial"/>
    </font>
    <font>
      <b/>
      <sz val="18.0"/>
      <color theme="1"/>
      <name val="Arial"/>
      <scheme val="minor"/>
    </font>
    <font>
      <sz val="10.0"/>
      <color theme="1"/>
      <name val="Arial"/>
      <scheme val="minor"/>
    </font>
    <font>
      <b/>
      <sz val="10.0"/>
      <color rgb="FF000000"/>
      <name val="Open Sans"/>
    </font>
    <font>
      <b/>
      <sz val="10.0"/>
      <color theme="1"/>
      <name val="Arial"/>
      <scheme val="minor"/>
    </font>
    <font>
      <sz val="10.0"/>
      <color rgb="FF000000"/>
      <name val="Open Sans"/>
    </font>
    <font>
      <b/>
      <sz val="10.0"/>
      <color theme="1"/>
      <name val="Open Sans"/>
    </font>
  </fonts>
  <fills count="26">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F6B26B"/>
        <bgColor rgb="FFF6B26B"/>
      </patternFill>
    </fill>
    <fill>
      <patternFill patternType="solid">
        <fgColor theme="8"/>
        <bgColor theme="8"/>
      </patternFill>
    </fill>
    <fill>
      <patternFill patternType="solid">
        <fgColor rgb="FFF3F3F3"/>
        <bgColor rgb="FFF3F3F3"/>
      </patternFill>
    </fill>
    <fill>
      <patternFill patternType="solid">
        <fgColor rgb="FFBDBDBD"/>
        <bgColor rgb="FFBDBDBD"/>
      </patternFill>
    </fill>
    <fill>
      <patternFill patternType="solid">
        <fgColor rgb="FFA4C2F4"/>
        <bgColor rgb="FFA4C2F4"/>
      </patternFill>
    </fill>
    <fill>
      <patternFill patternType="solid">
        <fgColor rgb="FFD8D8D8"/>
        <bgColor rgb="FFD8D8D8"/>
      </patternFill>
    </fill>
    <fill>
      <patternFill patternType="solid">
        <fgColor rgb="FFC0CE7B"/>
        <bgColor rgb="FFC0CE7B"/>
      </patternFill>
    </fill>
    <fill>
      <patternFill patternType="solid">
        <fgColor rgb="FFFBD584"/>
        <bgColor rgb="FFFBD584"/>
      </patternFill>
    </fill>
    <fill>
      <patternFill patternType="solid">
        <fgColor rgb="FFEF9E65"/>
        <bgColor rgb="FFEF9E65"/>
      </patternFill>
    </fill>
    <fill>
      <patternFill patternType="solid">
        <fgColor rgb="FFF9CA7E"/>
        <bgColor rgb="FFF9CA7E"/>
      </patternFill>
    </fill>
    <fill>
      <patternFill patternType="solid">
        <fgColor rgb="FFF0A468"/>
        <bgColor rgb="FFF0A468"/>
      </patternFill>
    </fill>
    <fill>
      <patternFill patternType="solid">
        <fgColor rgb="FFE98256"/>
        <bgColor rgb="FFE98256"/>
      </patternFill>
    </fill>
    <fill>
      <patternFill patternType="solid">
        <fgColor rgb="FFFEE18B"/>
        <bgColor rgb="FFFEE18B"/>
      </patternFill>
    </fill>
    <fill>
      <patternFill patternType="solid">
        <fgColor rgb="FFF1A96C"/>
        <bgColor rgb="FFF1A96C"/>
      </patternFill>
    </fill>
    <fill>
      <patternFill patternType="solid">
        <fgColor rgb="FFE5724D"/>
        <bgColor rgb="FFE5724D"/>
      </patternFill>
    </fill>
    <fill>
      <patternFill patternType="solid">
        <fgColor rgb="FFF7C57B"/>
        <bgColor rgb="FFF7C57B"/>
      </patternFill>
    </fill>
    <fill>
      <patternFill patternType="solid">
        <fgColor rgb="FFEC935F"/>
        <bgColor rgb="FFEC935F"/>
      </patternFill>
    </fill>
    <fill>
      <patternFill patternType="solid">
        <fgColor rgb="FFEC8F5D"/>
        <bgColor rgb="FFEC8F5D"/>
      </patternFill>
    </fill>
    <fill>
      <patternFill patternType="solid">
        <fgColor rgb="FFE26344"/>
        <bgColor rgb="FFE26344"/>
      </patternFill>
    </fill>
    <fill>
      <patternFill patternType="solid">
        <fgColor rgb="FFDF563D"/>
        <bgColor rgb="FFDF563D"/>
      </patternFill>
    </fill>
    <fill>
      <patternFill patternType="solid">
        <fgColor rgb="FFEA8859"/>
        <bgColor rgb="FFEA8859"/>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260">
    <xf borderId="0" fillId="0" fontId="0" numFmtId="0" xfId="0" applyAlignment="1" applyFont="1">
      <alignment readingOrder="0" shrinkToFit="0" vertical="bottom" wrapText="0"/>
    </xf>
    <xf borderId="1" fillId="2" fontId="1" numFmtId="0" xfId="0" applyAlignment="1" applyBorder="1" applyFill="1" applyFont="1">
      <alignment horizontal="right" readingOrder="0" vertical="bottom"/>
    </xf>
    <xf borderId="2" fillId="0" fontId="2" numFmtId="0" xfId="0" applyBorder="1" applyFont="1"/>
    <xf borderId="3" fillId="0" fontId="2" numFmtId="0" xfId="0" applyBorder="1" applyFont="1"/>
    <xf borderId="4" fillId="0" fontId="3" numFmtId="0" xfId="0" applyAlignment="1" applyBorder="1" applyFont="1">
      <alignment readingOrder="0" shrinkToFit="0" vertical="top"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 fillId="0" fontId="4" numFmtId="0" xfId="0" applyAlignment="1" applyBorder="1" applyFont="1">
      <alignment readingOrder="0" shrinkToFit="0" vertical="top" wrapText="1"/>
    </xf>
    <xf borderId="8" fillId="3" fontId="5" numFmtId="0" xfId="0" applyAlignment="1" applyBorder="1" applyFill="1" applyFont="1">
      <alignment horizontal="left" readingOrder="0" shrinkToFit="0" wrapText="1"/>
    </xf>
    <xf borderId="1" fillId="0" fontId="3" numFmtId="0" xfId="0" applyAlignment="1" applyBorder="1" applyFont="1">
      <alignment readingOrder="0" shrinkToFit="0" vertical="top" wrapText="1"/>
    </xf>
    <xf borderId="1" fillId="3" fontId="6" numFmtId="0" xfId="0" applyAlignment="1" applyBorder="1" applyFont="1">
      <alignment horizontal="left" readingOrder="0" shrinkToFit="0" wrapText="1"/>
    </xf>
    <xf borderId="0" fillId="3" fontId="5" numFmtId="0" xfId="0" applyAlignment="1" applyFont="1">
      <alignment horizontal="left" readingOrder="0"/>
    </xf>
    <xf borderId="2" fillId="0" fontId="7" numFmtId="0" xfId="0" applyAlignment="1" applyBorder="1" applyFont="1">
      <alignment horizontal="center" vertical="bottom"/>
    </xf>
    <xf borderId="3" fillId="0" fontId="7" numFmtId="0" xfId="0" applyAlignment="1" applyBorder="1" applyFont="1">
      <alignment horizontal="center" vertical="bottom"/>
    </xf>
    <xf borderId="10" fillId="2" fontId="7" numFmtId="0" xfId="0" applyAlignment="1" applyBorder="1" applyFont="1">
      <alignment horizontal="center" vertical="bottom"/>
    </xf>
    <xf borderId="10" fillId="2" fontId="7" numFmtId="0" xfId="0" applyAlignment="1" applyBorder="1" applyFont="1">
      <alignment vertical="bottom"/>
    </xf>
    <xf borderId="10" fillId="2" fontId="8" numFmtId="0" xfId="0" applyAlignment="1" applyBorder="1" applyFont="1">
      <alignment vertical="bottom"/>
    </xf>
    <xf borderId="3" fillId="2" fontId="8" numFmtId="0" xfId="0" applyAlignment="1" applyBorder="1" applyFont="1">
      <alignment vertical="bottom"/>
    </xf>
    <xf borderId="10" fillId="2" fontId="7" numFmtId="0" xfId="0" applyAlignment="1" applyBorder="1" applyFont="1">
      <alignment horizontal="center" readingOrder="0" vertical="bottom"/>
    </xf>
    <xf borderId="11" fillId="0" fontId="8" numFmtId="0" xfId="0" applyAlignment="1" applyBorder="1" applyFont="1">
      <alignment horizontal="center" vertical="bottom"/>
    </xf>
    <xf borderId="10" fillId="4" fontId="8" numFmtId="0" xfId="0" applyAlignment="1" applyBorder="1" applyFill="1" applyFont="1">
      <alignment readingOrder="0"/>
    </xf>
    <xf borderId="10" fillId="0" fontId="8" numFmtId="0" xfId="0" applyAlignment="1" applyBorder="1" applyFont="1">
      <alignment vertical="bottom"/>
    </xf>
    <xf borderId="11" fillId="0" fontId="8" numFmtId="0" xfId="0" applyAlignment="1" applyBorder="1" applyFont="1">
      <alignment horizontal="center" readingOrder="0" vertical="bottom"/>
    </xf>
    <xf borderId="10" fillId="0" fontId="8" numFmtId="0" xfId="0" applyAlignment="1" applyBorder="1" applyFont="1">
      <alignment readingOrder="0" vertical="bottom"/>
    </xf>
    <xf borderId="10" fillId="0" fontId="3" numFmtId="0" xfId="0" applyAlignment="1" applyBorder="1" applyFont="1">
      <alignment horizontal="center" readingOrder="0"/>
    </xf>
    <xf borderId="10" fillId="2" fontId="8" numFmtId="0" xfId="0" applyAlignment="1" applyBorder="1" applyFont="1">
      <alignment horizontal="center" vertical="bottom"/>
    </xf>
    <xf borderId="10" fillId="3" fontId="9" numFmtId="0" xfId="0" applyAlignment="1" applyBorder="1" applyFont="1">
      <alignment readingOrder="0"/>
    </xf>
    <xf borderId="4" fillId="2" fontId="10" numFmtId="0" xfId="0" applyAlignment="1" applyBorder="1" applyFont="1">
      <alignment horizontal="center"/>
    </xf>
    <xf borderId="4" fillId="0" fontId="7" numFmtId="0" xfId="0" applyAlignment="1" applyBorder="1" applyFont="1">
      <alignment readingOrder="0" shrinkToFit="0" vertical="top" wrapText="1"/>
    </xf>
    <xf borderId="0" fillId="0" fontId="8" numFmtId="0" xfId="0" applyFont="1"/>
    <xf borderId="0" fillId="0" fontId="7" numFmtId="0" xfId="0" applyAlignment="1" applyFont="1">
      <alignment readingOrder="0" shrinkToFit="0" vertical="bottom" wrapText="1"/>
    </xf>
    <xf borderId="0" fillId="0" fontId="8" numFmtId="0" xfId="0" applyAlignment="1" applyFont="1">
      <alignment vertical="bottom"/>
    </xf>
    <xf borderId="1" fillId="0" fontId="7" numFmtId="0" xfId="0" applyAlignment="1" applyBorder="1" applyFont="1">
      <alignment readingOrder="0" shrinkToFit="0" vertical="top" wrapText="1"/>
    </xf>
    <xf borderId="12" fillId="0" fontId="7" numFmtId="0" xfId="0" applyAlignment="1" applyBorder="1" applyFont="1">
      <alignment horizontal="left" readingOrder="0" shrinkToFit="0" vertical="top" wrapText="1"/>
    </xf>
    <xf borderId="13" fillId="0" fontId="2" numFmtId="0" xfId="0" applyBorder="1" applyFont="1"/>
    <xf borderId="12" fillId="0" fontId="8" numFmtId="0" xfId="0" applyAlignment="1" applyBorder="1" applyFont="1">
      <alignment readingOrder="0" shrinkToFit="0" vertical="top" wrapText="1"/>
    </xf>
    <xf borderId="12" fillId="0" fontId="7" numFmtId="0" xfId="0" applyAlignment="1" applyBorder="1" applyFont="1">
      <alignment readingOrder="0" shrinkToFit="0" vertical="top" wrapText="1"/>
    </xf>
    <xf borderId="7" fillId="0" fontId="7" numFmtId="0" xfId="0" applyAlignment="1" applyBorder="1" applyFont="1">
      <alignment horizontal="left" readingOrder="0" shrinkToFit="0" vertical="top" wrapText="1"/>
    </xf>
    <xf borderId="0" fillId="5" fontId="6" numFmtId="0" xfId="0" applyAlignment="1" applyFill="1" applyFont="1">
      <alignment horizontal="left" readingOrder="0"/>
    </xf>
    <xf borderId="8" fillId="5" fontId="5" numFmtId="0" xfId="0" applyAlignment="1" applyBorder="1" applyFont="1">
      <alignment horizontal="left" readingOrder="0"/>
    </xf>
    <xf borderId="9" fillId="5" fontId="5" numFmtId="0" xfId="0" applyAlignment="1" applyBorder="1" applyFont="1">
      <alignment horizontal="left" readingOrder="0"/>
    </xf>
    <xf borderId="11" fillId="3" fontId="7" numFmtId="0" xfId="0" applyAlignment="1" applyBorder="1" applyFont="1">
      <alignment horizontal="center" readingOrder="0" shrinkToFit="0" vertical="center" wrapText="1"/>
    </xf>
    <xf borderId="10" fillId="3" fontId="7" numFmtId="0" xfId="0" applyAlignment="1" applyBorder="1" applyFont="1">
      <alignment horizontal="center" readingOrder="0" shrinkToFit="0" vertical="center" wrapText="1"/>
    </xf>
    <xf borderId="10" fillId="2" fontId="7" numFmtId="0" xfId="0" applyAlignment="1" applyBorder="1" applyFont="1">
      <alignment horizontal="center" shrinkToFit="0" vertical="center" wrapText="1"/>
    </xf>
    <xf borderId="10" fillId="2" fontId="7" numFmtId="0" xfId="0" applyAlignment="1" applyBorder="1" applyFont="1">
      <alignment horizontal="center" readingOrder="0" shrinkToFit="0" vertical="center" wrapText="1"/>
    </xf>
    <xf borderId="1" fillId="2" fontId="7" numFmtId="0" xfId="0" applyAlignment="1" applyBorder="1" applyFont="1">
      <alignment horizontal="center" shrinkToFit="0" vertical="center" wrapText="1"/>
    </xf>
    <xf borderId="10" fillId="3" fontId="8" numFmtId="0" xfId="0" applyAlignment="1" applyBorder="1" applyFont="1">
      <alignment horizontal="right" vertical="bottom"/>
    </xf>
    <xf borderId="10" fillId="3" fontId="8" numFmtId="0" xfId="0" applyAlignment="1" applyBorder="1" applyFont="1">
      <alignment vertical="bottom"/>
    </xf>
    <xf borderId="10" fillId="5" fontId="8" numFmtId="10" xfId="0" applyAlignment="1" applyBorder="1" applyFont="1" applyNumberFormat="1">
      <alignment horizontal="right" readingOrder="0" vertical="bottom"/>
    </xf>
    <xf borderId="10" fillId="5" fontId="8" numFmtId="0" xfId="0" applyAlignment="1" applyBorder="1" applyFont="1">
      <alignment horizontal="center" readingOrder="0" vertical="bottom"/>
    </xf>
    <xf borderId="10" fillId="5" fontId="8" numFmtId="0" xfId="0" applyAlignment="1" applyBorder="1" applyFont="1">
      <alignment horizontal="right" shrinkToFit="0" vertical="bottom" wrapText="1"/>
    </xf>
    <xf borderId="1" fillId="5" fontId="5" numFmtId="0" xfId="0" applyAlignment="1" applyBorder="1" applyFont="1">
      <alignment shrinkToFit="0" vertical="top" wrapText="1"/>
    </xf>
    <xf borderId="10" fillId="5" fontId="5" numFmtId="0" xfId="0" applyAlignment="1" applyBorder="1" applyFont="1">
      <alignment shrinkToFit="0" vertical="top" wrapText="1"/>
    </xf>
    <xf borderId="10" fillId="5" fontId="8" numFmtId="0" xfId="0" applyAlignment="1" applyBorder="1" applyFont="1">
      <alignment vertical="top"/>
    </xf>
    <xf borderId="10" fillId="5" fontId="5" numFmtId="0" xfId="0" applyAlignment="1" applyBorder="1" applyFont="1">
      <alignment shrinkToFit="0" vertical="bottom" wrapText="1"/>
    </xf>
    <xf borderId="10" fillId="5" fontId="8" numFmtId="0" xfId="0" applyAlignment="1" applyBorder="1" applyFont="1">
      <alignment shrinkToFit="0" vertical="bottom" wrapText="1"/>
    </xf>
    <xf borderId="10" fillId="5" fontId="8" numFmtId="0" xfId="0" applyAlignment="1" applyBorder="1" applyFont="1">
      <alignment vertical="bottom"/>
    </xf>
    <xf borderId="10" fillId="5" fontId="8" numFmtId="0" xfId="0" applyAlignment="1" applyBorder="1" applyFont="1">
      <alignment shrinkToFit="0" vertical="top" wrapText="1"/>
    </xf>
    <xf borderId="10" fillId="0" fontId="8" numFmtId="0" xfId="0" applyAlignment="1" applyBorder="1" applyFont="1">
      <alignment horizontal="right" vertical="bottom"/>
    </xf>
    <xf borderId="10" fillId="0" fontId="8" numFmtId="0" xfId="0" applyAlignment="1" applyBorder="1" applyFont="1">
      <alignment vertical="bottom"/>
    </xf>
    <xf borderId="10" fillId="4" fontId="8" numFmtId="10" xfId="0" applyAlignment="1" applyBorder="1" applyFont="1" applyNumberFormat="1">
      <alignment horizontal="right" vertical="bottom"/>
    </xf>
    <xf borderId="10" fillId="4" fontId="8" numFmtId="0" xfId="0" applyAlignment="1" applyBorder="1" applyFont="1">
      <alignment horizontal="right" readingOrder="0" shrinkToFit="0" vertical="bottom" wrapText="1"/>
    </xf>
    <xf borderId="1" fillId="4" fontId="8" numFmtId="0" xfId="0" applyAlignment="1" applyBorder="1" applyFont="1">
      <alignment readingOrder="0" shrinkToFit="0" vertical="top" wrapText="1"/>
    </xf>
    <xf borderId="11" fillId="4" fontId="8" numFmtId="0" xfId="0" applyAlignment="1" applyBorder="1" applyFont="1">
      <alignment readingOrder="0" shrinkToFit="0" vertical="top" wrapText="1"/>
    </xf>
    <xf borderId="10" fillId="4" fontId="8" numFmtId="0" xfId="0" applyAlignment="1" applyBorder="1" applyFont="1">
      <alignment readingOrder="0" vertical="top"/>
    </xf>
    <xf borderId="10" fillId="4" fontId="5" numFmtId="0" xfId="0" applyAlignment="1" applyBorder="1" applyFont="1">
      <alignment readingOrder="0" shrinkToFit="0" vertical="bottom" wrapText="1"/>
    </xf>
    <xf borderId="10" fillId="4" fontId="8" numFmtId="0" xfId="0" applyAlignment="1" applyBorder="1" applyFont="1">
      <alignment readingOrder="0" shrinkToFit="0" vertical="bottom" wrapText="1"/>
    </xf>
    <xf borderId="10" fillId="4" fontId="8" numFmtId="0" xfId="0" applyAlignment="1" applyBorder="1" applyFont="1">
      <alignment readingOrder="0" vertical="bottom"/>
    </xf>
    <xf borderId="10" fillId="4" fontId="8" numFmtId="0" xfId="0" applyAlignment="1" applyBorder="1" applyFont="1">
      <alignment readingOrder="0" shrinkToFit="0" vertical="top" wrapText="1"/>
    </xf>
    <xf borderId="1" fillId="4" fontId="5" numFmtId="0" xfId="0" applyAlignment="1" applyBorder="1" applyFont="1">
      <alignment readingOrder="0" shrinkToFit="0" vertical="top" wrapText="1"/>
    </xf>
    <xf borderId="8" fillId="4" fontId="5" numFmtId="0" xfId="0" applyAlignment="1" applyBorder="1" applyFont="1">
      <alignment horizontal="right" readingOrder="0"/>
    </xf>
    <xf borderId="11" fillId="4" fontId="5" numFmtId="0" xfId="0" applyAlignment="1" applyBorder="1" applyFont="1">
      <alignment readingOrder="0" shrinkToFit="0" vertical="top" wrapText="1"/>
    </xf>
    <xf borderId="10" fillId="4" fontId="5" numFmtId="0" xfId="0" applyAlignment="1" applyBorder="1" applyFont="1">
      <alignment readingOrder="0" shrinkToFit="0" vertical="top" wrapText="1"/>
    </xf>
    <xf borderId="0" fillId="4" fontId="5" numFmtId="0" xfId="0" applyAlignment="1" applyFont="1">
      <alignment horizontal="right" readingOrder="0"/>
    </xf>
    <xf borderId="10" fillId="4" fontId="11" numFmtId="0" xfId="0" applyAlignment="1" applyBorder="1" applyFont="1">
      <alignment readingOrder="0" shrinkToFit="0" vertical="top" wrapText="1"/>
    </xf>
    <xf borderId="1" fillId="6" fontId="8" numFmtId="0" xfId="0" applyAlignment="1" applyBorder="1" applyFill="1" applyFont="1">
      <alignment horizontal="center" readingOrder="0" shrinkToFit="0" vertical="bottom" wrapText="1"/>
    </xf>
    <xf borderId="2" fillId="6" fontId="8" numFmtId="0" xfId="0" applyAlignment="1" applyBorder="1" applyFont="1">
      <alignment horizontal="right" shrinkToFit="0" vertical="bottom" wrapText="1"/>
    </xf>
    <xf borderId="3" fillId="6" fontId="8" numFmtId="0" xfId="0" applyAlignment="1" applyBorder="1" applyFont="1">
      <alignment horizontal="right" shrinkToFit="0" vertical="bottom" wrapText="1"/>
    </xf>
    <xf borderId="10" fillId="6" fontId="8" numFmtId="0" xfId="0" applyAlignment="1" applyBorder="1" applyFont="1">
      <alignment vertical="bottom"/>
    </xf>
    <xf borderId="10" fillId="6" fontId="8" numFmtId="0" xfId="0" applyAlignment="1" applyBorder="1" applyFont="1">
      <alignment shrinkToFit="0" vertical="bottom" wrapText="1"/>
    </xf>
    <xf borderId="10" fillId="3" fontId="8" numFmtId="10" xfId="0" applyAlignment="1" applyBorder="1" applyFont="1" applyNumberFormat="1">
      <alignment horizontal="right" vertical="bottom"/>
    </xf>
    <xf borderId="10" fillId="7" fontId="8" numFmtId="10" xfId="0" applyAlignment="1" applyBorder="1" applyFill="1" applyFont="1" applyNumberFormat="1">
      <alignment horizontal="right" vertical="bottom"/>
    </xf>
    <xf borderId="11" fillId="0" fontId="8" numFmtId="0" xfId="0" applyAlignment="1" applyBorder="1" applyFont="1">
      <alignment horizontal="right" vertical="bottom"/>
    </xf>
    <xf borderId="9" fillId="0" fontId="8" numFmtId="0" xfId="0" applyAlignment="1" applyBorder="1" applyFont="1">
      <alignment vertical="bottom"/>
    </xf>
    <xf borderId="9" fillId="0" fontId="8" numFmtId="0" xfId="0" applyAlignment="1" applyBorder="1" applyFont="1">
      <alignment horizontal="right" vertical="bottom"/>
    </xf>
    <xf borderId="0" fillId="0" fontId="8" numFmtId="10" xfId="0" applyAlignment="1" applyFont="1" applyNumberFormat="1">
      <alignment vertical="bottom"/>
    </xf>
    <xf borderId="8" fillId="0" fontId="8" numFmtId="10" xfId="0" applyAlignment="1" applyBorder="1" applyFont="1" applyNumberFormat="1">
      <alignment vertical="bottom"/>
    </xf>
    <xf borderId="8" fillId="0" fontId="8" numFmtId="0" xfId="0" applyAlignment="1" applyBorder="1" applyFont="1">
      <alignment vertical="bottom"/>
    </xf>
    <xf borderId="13" fillId="0" fontId="8" numFmtId="0" xfId="0" applyAlignment="1" applyBorder="1" applyFont="1">
      <alignment vertical="bottom"/>
    </xf>
    <xf borderId="9" fillId="4" fontId="8" numFmtId="10" xfId="0" applyAlignment="1" applyBorder="1" applyFont="1" applyNumberFormat="1">
      <alignment horizontal="right" vertical="bottom"/>
    </xf>
    <xf borderId="9" fillId="4" fontId="8" numFmtId="0" xfId="0" applyAlignment="1" applyBorder="1" applyFont="1">
      <alignment horizontal="right" vertical="bottom"/>
    </xf>
    <xf borderId="4" fillId="0" fontId="7" numFmtId="0" xfId="0" applyAlignment="1" applyBorder="1" applyFont="1">
      <alignment horizontal="left" readingOrder="0" shrinkToFit="0" vertical="top" wrapText="1"/>
    </xf>
    <xf borderId="12" fillId="0" fontId="8" numFmtId="0" xfId="0" applyAlignment="1" applyBorder="1" applyFont="1">
      <alignment horizontal="left" readingOrder="0" vertical="top"/>
    </xf>
    <xf borderId="7" fillId="0" fontId="8" numFmtId="0" xfId="0" applyAlignment="1" applyBorder="1" applyFont="1">
      <alignment horizontal="left" readingOrder="0" vertical="top"/>
    </xf>
    <xf borderId="8" fillId="0" fontId="8" numFmtId="0" xfId="0" applyAlignment="1" applyBorder="1" applyFont="1">
      <alignment horizontal="left" readingOrder="0" vertical="top"/>
    </xf>
    <xf borderId="9" fillId="0" fontId="8" numFmtId="0" xfId="0" applyAlignment="1" applyBorder="1" applyFont="1">
      <alignment horizontal="left" readingOrder="0" vertical="top"/>
    </xf>
    <xf borderId="10" fillId="0" fontId="8" numFmtId="0" xfId="0" applyAlignment="1" applyBorder="1" applyFont="1">
      <alignment horizontal="left" readingOrder="0" vertical="top"/>
    </xf>
    <xf borderId="11" fillId="2" fontId="7" numFmtId="0" xfId="0" applyAlignment="1" applyBorder="1" applyFont="1">
      <alignment horizontal="center" shrinkToFit="0" vertical="center" wrapText="1"/>
    </xf>
    <xf borderId="9" fillId="2" fontId="7" numFmtId="0" xfId="0" applyAlignment="1" applyBorder="1" applyFont="1">
      <alignment horizontal="center" shrinkToFit="0" vertical="center" wrapText="1"/>
    </xf>
    <xf borderId="9" fillId="2" fontId="7" numFmtId="0" xfId="0" applyAlignment="1" applyBorder="1" applyFont="1">
      <alignment horizontal="center" readingOrder="0" shrinkToFit="0" vertical="center" wrapText="1"/>
    </xf>
    <xf borderId="11" fillId="5" fontId="8" numFmtId="0" xfId="0" applyAlignment="1" applyBorder="1" applyFont="1">
      <alignment horizontal="right" shrinkToFit="0" vertical="bottom" wrapText="1"/>
    </xf>
    <xf borderId="9" fillId="5" fontId="8" numFmtId="0" xfId="0" applyAlignment="1" applyBorder="1" applyFont="1">
      <alignment shrinkToFit="0" vertical="bottom" wrapText="1"/>
    </xf>
    <xf borderId="9" fillId="5" fontId="8" numFmtId="0" xfId="0" applyAlignment="1" applyBorder="1" applyFont="1">
      <alignment readingOrder="0" shrinkToFit="0" vertical="bottom" wrapText="1"/>
    </xf>
    <xf borderId="9" fillId="5" fontId="8" numFmtId="9" xfId="0" applyAlignment="1" applyBorder="1" applyFont="1" applyNumberFormat="1">
      <alignment horizontal="right" shrinkToFit="0" vertical="bottom" wrapText="1"/>
    </xf>
    <xf borderId="9" fillId="5" fontId="8" numFmtId="0" xfId="0" applyAlignment="1" applyBorder="1" applyFont="1">
      <alignment horizontal="right" shrinkToFit="0" vertical="bottom" wrapText="1"/>
    </xf>
    <xf borderId="9" fillId="5" fontId="8" numFmtId="2" xfId="0" applyAlignment="1" applyBorder="1" applyFont="1" applyNumberFormat="1">
      <alignment horizontal="right" shrinkToFit="0" vertical="bottom" wrapText="1"/>
    </xf>
    <xf borderId="11" fillId="4" fontId="8" numFmtId="0" xfId="0" applyAlignment="1" applyBorder="1" applyFont="1">
      <alignment horizontal="right" readingOrder="0" shrinkToFit="0" vertical="bottom" wrapText="1"/>
    </xf>
    <xf borderId="9" fillId="4" fontId="8" numFmtId="0" xfId="0" applyAlignment="1" applyBorder="1" applyFont="1">
      <alignment readingOrder="0" shrinkToFit="0" vertical="bottom" wrapText="1"/>
    </xf>
    <xf borderId="9" fillId="4" fontId="8" numFmtId="9" xfId="0" applyAlignment="1" applyBorder="1" applyFont="1" applyNumberFormat="1">
      <alignment horizontal="right" readingOrder="0" shrinkToFit="0" vertical="bottom" wrapText="1"/>
    </xf>
    <xf borderId="9" fillId="4" fontId="8" numFmtId="0" xfId="0" applyAlignment="1" applyBorder="1" applyFont="1">
      <alignment horizontal="right" readingOrder="0" shrinkToFit="0" vertical="bottom" wrapText="1"/>
    </xf>
    <xf borderId="9" fillId="4" fontId="8" numFmtId="2" xfId="0" applyAlignment="1" applyBorder="1" applyFont="1" applyNumberFormat="1">
      <alignment horizontal="right" readingOrder="0" shrinkToFit="0" vertical="bottom" wrapText="1"/>
    </xf>
    <xf borderId="0" fillId="4" fontId="8" numFmtId="0" xfId="0" applyAlignment="1" applyFont="1">
      <alignment horizontal="right" readingOrder="0" shrinkToFit="0" vertical="bottom" wrapText="1"/>
    </xf>
    <xf borderId="0" fillId="4" fontId="8" numFmtId="0" xfId="0" applyAlignment="1" applyFont="1">
      <alignment readingOrder="0" shrinkToFit="0" vertical="bottom" wrapText="1"/>
    </xf>
    <xf borderId="0" fillId="4" fontId="8" numFmtId="0" xfId="0" applyAlignment="1" applyFont="1">
      <alignment shrinkToFit="0" vertical="bottom" wrapText="1"/>
    </xf>
    <xf borderId="0" fillId="4" fontId="8" numFmtId="9" xfId="0" applyAlignment="1" applyFont="1" applyNumberFormat="1">
      <alignment horizontal="right" shrinkToFit="0" vertical="bottom" wrapText="1"/>
    </xf>
    <xf borderId="0" fillId="4" fontId="8" numFmtId="0" xfId="0" applyAlignment="1" applyFont="1">
      <alignment horizontal="right" shrinkToFit="0" vertical="bottom" wrapText="1"/>
    </xf>
    <xf borderId="0" fillId="4" fontId="8" numFmtId="2" xfId="0" applyAlignment="1" applyFont="1" applyNumberFormat="1">
      <alignment horizontal="right" shrinkToFit="0" vertical="bottom" wrapText="1"/>
    </xf>
    <xf borderId="1" fillId="2" fontId="12" numFmtId="0" xfId="0" applyAlignment="1" applyBorder="1" applyFont="1">
      <alignment horizontal="center" readingOrder="0"/>
    </xf>
    <xf borderId="1" fillId="0" fontId="7" numFmtId="0" xfId="0" applyAlignment="1" applyBorder="1" applyFont="1">
      <alignment horizontal="left" readingOrder="0" shrinkToFit="0" vertical="top" wrapText="1"/>
    </xf>
    <xf borderId="1" fillId="3" fontId="5" numFmtId="0" xfId="0" applyAlignment="1" applyBorder="1" applyFont="1">
      <alignment horizontal="left" readingOrder="0" shrinkToFit="0" wrapText="1"/>
    </xf>
    <xf borderId="4" fillId="0" fontId="13" numFmtId="0" xfId="0" applyAlignment="1" applyBorder="1" applyFont="1">
      <alignment horizontal="left" readingOrder="0" shrinkToFit="0" vertical="top" wrapText="1"/>
    </xf>
    <xf borderId="1" fillId="3" fontId="3" numFmtId="0" xfId="0" applyAlignment="1" applyBorder="1" applyFont="1">
      <alignment horizontal="left" readingOrder="0" shrinkToFit="0" wrapText="1"/>
    </xf>
    <xf borderId="0" fillId="3" fontId="5" numFmtId="0" xfId="0" applyAlignment="1" applyFont="1">
      <alignment horizontal="left" readingOrder="0" shrinkToFit="0" wrapText="1"/>
    </xf>
    <xf borderId="1" fillId="3" fontId="5" numFmtId="0" xfId="0" applyAlignment="1" applyBorder="1" applyFont="1">
      <alignment horizontal="left" readingOrder="0" shrinkToFit="0" wrapText="1"/>
    </xf>
    <xf borderId="12" fillId="3" fontId="3" numFmtId="0" xfId="0" applyAlignment="1" applyBorder="1" applyFont="1">
      <alignment horizontal="left" readingOrder="0" shrinkToFit="0" wrapText="1"/>
    </xf>
    <xf borderId="0" fillId="5" fontId="3" numFmtId="0" xfId="0" applyFont="1"/>
    <xf borderId="1" fillId="2" fontId="14" numFmtId="0" xfId="0" applyAlignment="1" applyBorder="1" applyFont="1">
      <alignment horizontal="center" readingOrder="0"/>
    </xf>
    <xf borderId="10" fillId="0" fontId="3" numFmtId="0" xfId="0" applyAlignment="1" applyBorder="1" applyFont="1">
      <alignment readingOrder="0"/>
    </xf>
    <xf borderId="10" fillId="5" fontId="3" numFmtId="0" xfId="0" applyAlignment="1" applyBorder="1" applyFont="1">
      <alignment readingOrder="0"/>
    </xf>
    <xf borderId="10" fillId="4" fontId="3" numFmtId="0" xfId="0" applyAlignment="1" applyBorder="1" applyFont="1">
      <alignment readingOrder="0"/>
    </xf>
    <xf borderId="1" fillId="2" fontId="15" numFmtId="0" xfId="0" applyAlignment="1" applyBorder="1" applyFont="1">
      <alignment horizontal="center" readingOrder="0" vertical="bottom"/>
    </xf>
    <xf borderId="0" fillId="0" fontId="7"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3" fontId="6" numFmtId="0" xfId="0" applyAlignment="1" applyFont="1">
      <alignment horizontal="left" readingOrder="0" shrinkToFit="0" wrapText="1"/>
    </xf>
    <xf borderId="4" fillId="0" fontId="14" numFmtId="0" xfId="0" applyAlignment="1" applyBorder="1" applyFont="1">
      <alignment readingOrder="0" shrinkToFit="0" wrapText="1"/>
    </xf>
    <xf borderId="0" fillId="0" fontId="14" numFmtId="0" xfId="0" applyAlignment="1" applyFont="1">
      <alignment readingOrder="0" shrinkToFit="0" wrapText="1"/>
    </xf>
    <xf borderId="12" fillId="0" fontId="14" numFmtId="0" xfId="0" applyAlignment="1" applyBorder="1" applyFont="1">
      <alignment readingOrder="0" shrinkToFit="0" wrapText="1"/>
    </xf>
    <xf borderId="7" fillId="0" fontId="14" numFmtId="0" xfId="0" applyAlignment="1" applyBorder="1" applyFont="1">
      <alignment readingOrder="0" shrinkToFit="0" wrapText="1"/>
    </xf>
    <xf borderId="0" fillId="5" fontId="14" numFmtId="0" xfId="0" applyAlignment="1" applyFont="1">
      <alignment readingOrder="0" shrinkToFit="0" wrapText="1"/>
    </xf>
    <xf borderId="0" fillId="2" fontId="16" numFmtId="0" xfId="0" applyAlignment="1" applyFont="1">
      <alignment horizontal="center" readingOrder="0"/>
    </xf>
    <xf borderId="0" fillId="2" fontId="16" numFmtId="0" xfId="0" applyAlignment="1" applyFont="1">
      <alignment horizontal="left" readingOrder="0" shrinkToFit="0" vertical="top" wrapText="1"/>
    </xf>
    <xf borderId="0" fillId="2" fontId="17" numFmtId="0" xfId="0" applyFont="1"/>
    <xf borderId="0" fillId="2" fontId="18" numFmtId="0" xfId="0" applyAlignment="1" applyFont="1">
      <alignment horizontal="left" readingOrder="0" shrinkToFit="0" wrapText="1"/>
    </xf>
    <xf borderId="1" fillId="2" fontId="7" numFmtId="0" xfId="0" applyAlignment="1" applyBorder="1" applyFont="1">
      <alignment horizontal="center" readingOrder="0" vertical="bottom"/>
    </xf>
    <xf borderId="2" fillId="8" fontId="2" numFmtId="0" xfId="0" applyBorder="1" applyFill="1" applyFont="1"/>
    <xf borderId="3" fillId="8" fontId="2" numFmtId="0" xfId="0" applyBorder="1" applyFont="1"/>
    <xf borderId="0" fillId="0" fontId="14" numFmtId="0" xfId="0" applyAlignment="1" applyFont="1">
      <alignment horizontal="center" readingOrder="0"/>
    </xf>
    <xf borderId="4" fillId="0" fontId="14" numFmtId="0" xfId="0" applyAlignment="1" applyBorder="1" applyFont="1">
      <alignment horizontal="center" readingOrder="0"/>
    </xf>
    <xf borderId="1" fillId="3" fontId="7" numFmtId="0" xfId="0" applyAlignment="1" applyBorder="1" applyFont="1">
      <alignment horizontal="center" readingOrder="0" vertical="bottom"/>
    </xf>
    <xf borderId="2" fillId="3" fontId="2" numFmtId="0" xfId="0" applyBorder="1" applyFont="1"/>
    <xf borderId="3" fillId="3" fontId="2" numFmtId="0" xfId="0" applyBorder="1" applyFont="1"/>
    <xf borderId="12" fillId="0" fontId="2" numFmtId="0" xfId="0" applyBorder="1" applyFont="1"/>
    <xf borderId="4" fillId="4" fontId="14" numFmtId="0" xfId="0" applyAlignment="1" applyBorder="1" applyFont="1">
      <alignment horizontal="left" readingOrder="0" shrinkToFit="0" vertical="top" wrapText="1"/>
    </xf>
    <xf borderId="4" fillId="3" fontId="6" numFmtId="0" xfId="0" applyAlignment="1" applyBorder="1" applyFont="1">
      <alignment horizontal="left" readingOrder="0" shrinkToFit="0" wrapText="1"/>
    </xf>
    <xf borderId="14" fillId="4" fontId="3" numFmtId="0" xfId="0" applyAlignment="1" applyBorder="1" applyFont="1">
      <alignment readingOrder="0" shrinkToFit="0" wrapText="1"/>
    </xf>
    <xf borderId="10" fillId="7" fontId="7" numFmtId="0" xfId="0" applyAlignment="1" applyBorder="1" applyFont="1">
      <alignment horizontal="center" readingOrder="0" vertical="bottom"/>
    </xf>
    <xf borderId="1" fillId="7" fontId="7" numFmtId="0" xfId="0" applyAlignment="1" applyBorder="1" applyFont="1">
      <alignment horizontal="center" readingOrder="0" vertical="bottom"/>
    </xf>
    <xf borderId="2" fillId="7" fontId="2" numFmtId="0" xfId="0" applyBorder="1" applyFont="1"/>
    <xf borderId="3" fillId="7" fontId="2" numFmtId="0" xfId="0" applyBorder="1" applyFont="1"/>
    <xf borderId="0" fillId="0" fontId="14" numFmtId="0" xfId="0" applyAlignment="1" applyFont="1">
      <alignment readingOrder="0"/>
    </xf>
    <xf borderId="15" fillId="0" fontId="2" numFmtId="0" xfId="0" applyBorder="1" applyFont="1"/>
    <xf borderId="10" fillId="3" fontId="7" numFmtId="0" xfId="0" applyAlignment="1" applyBorder="1" applyFont="1">
      <alignment horizontal="center" readingOrder="0" shrinkToFit="0" vertical="bottom" wrapText="1"/>
    </xf>
    <xf borderId="10" fillId="3" fontId="7" numFmtId="0" xfId="0" applyAlignment="1" applyBorder="1" applyFont="1">
      <alignment readingOrder="0" shrinkToFit="0" vertical="bottom" wrapText="1"/>
    </xf>
    <xf borderId="11" fillId="0" fontId="2" numFmtId="0" xfId="0" applyBorder="1" applyFont="1"/>
    <xf borderId="10" fillId="7" fontId="7" numFmtId="0" xfId="0" applyAlignment="1" applyBorder="1" applyFont="1">
      <alignment horizontal="right" readingOrder="0" vertical="bottom"/>
    </xf>
    <xf borderId="10" fillId="7" fontId="8" numFmtId="0" xfId="0" applyAlignment="1" applyBorder="1" applyFont="1">
      <alignment horizontal="right" vertical="bottom"/>
    </xf>
    <xf borderId="10" fillId="7" fontId="19" numFmtId="0" xfId="0" applyAlignment="1" applyBorder="1" applyFont="1">
      <alignment horizontal="right" vertical="bottom"/>
    </xf>
    <xf borderId="10" fillId="7" fontId="8" numFmtId="3" xfId="0" applyAlignment="1" applyBorder="1" applyFont="1" applyNumberFormat="1">
      <alignment horizontal="right" vertical="bottom"/>
    </xf>
    <xf borderId="10" fillId="5" fontId="8" numFmtId="9" xfId="0" applyAlignment="1" applyBorder="1" applyFont="1" applyNumberFormat="1">
      <alignment horizontal="right" readingOrder="0" vertical="bottom"/>
    </xf>
    <xf borderId="0" fillId="3" fontId="19" numFmtId="0" xfId="0" applyAlignment="1" applyFont="1">
      <alignment horizontal="right" vertical="bottom"/>
    </xf>
    <xf borderId="12" fillId="3" fontId="6" numFmtId="0" xfId="0" applyAlignment="1" applyBorder="1" applyFont="1">
      <alignment horizontal="left" readingOrder="0" shrinkToFit="0" wrapText="1"/>
    </xf>
    <xf borderId="13" fillId="3" fontId="6" numFmtId="0" xfId="0" applyAlignment="1" applyBorder="1" applyFont="1">
      <alignment horizontal="left" readingOrder="0" shrinkToFit="0" wrapText="1"/>
    </xf>
    <xf borderId="10" fillId="3" fontId="7" numFmtId="0" xfId="0" applyAlignment="1" applyBorder="1" applyFont="1">
      <alignment horizontal="right" readingOrder="0" vertical="bottom"/>
    </xf>
    <xf borderId="10" fillId="3" fontId="8" numFmtId="3" xfId="0" applyAlignment="1" applyBorder="1" applyFont="1" applyNumberFormat="1">
      <alignment horizontal="right" vertical="bottom"/>
    </xf>
    <xf borderId="10" fillId="4" fontId="8" numFmtId="9" xfId="0" applyAlignment="1" applyBorder="1" applyFont="1" applyNumberFormat="1">
      <alignment horizontal="right" vertical="bottom"/>
    </xf>
    <xf borderId="0" fillId="0" fontId="8" numFmtId="0" xfId="0" applyAlignment="1" applyFont="1">
      <alignment horizontal="right" vertical="bottom"/>
    </xf>
    <xf borderId="14" fillId="3" fontId="6" numFmtId="0" xfId="0" applyAlignment="1" applyBorder="1" applyFont="1">
      <alignment horizontal="left" readingOrder="0" shrinkToFit="0" wrapText="1"/>
    </xf>
    <xf borderId="4" fillId="4" fontId="3" numFmtId="0" xfId="0" applyAlignment="1" applyBorder="1" applyFont="1">
      <alignment readingOrder="0" shrinkToFit="0" wrapText="1"/>
    </xf>
    <xf borderId="10" fillId="7" fontId="8" numFmtId="0" xfId="0" applyAlignment="1" applyBorder="1" applyFont="1">
      <alignment horizontal="right" readingOrder="0" vertical="bottom"/>
    </xf>
    <xf borderId="0" fillId="0" fontId="14" numFmtId="0" xfId="0" applyAlignment="1" applyFont="1">
      <alignment horizontal="right" readingOrder="0"/>
    </xf>
    <xf borderId="10" fillId="3" fontId="8" numFmtId="0" xfId="0" applyAlignment="1" applyBorder="1" applyFont="1">
      <alignment horizontal="right" readingOrder="0" vertical="bottom"/>
    </xf>
    <xf borderId="10" fillId="2" fontId="7" numFmtId="0" xfId="0" applyAlignment="1" applyBorder="1" applyFont="1">
      <alignment horizontal="center" readingOrder="0" shrinkToFit="0" vertical="bottom" wrapText="1"/>
    </xf>
    <xf borderId="10" fillId="2" fontId="7" numFmtId="0" xfId="0" applyAlignment="1" applyBorder="1" applyFont="1">
      <alignment readingOrder="0" shrinkToFit="0" vertical="bottom" wrapText="1"/>
    </xf>
    <xf borderId="10" fillId="0" fontId="7" numFmtId="0" xfId="0" applyAlignment="1" applyBorder="1" applyFont="1">
      <alignment horizontal="right" readingOrder="0" vertical="bottom"/>
    </xf>
    <xf borderId="10" fillId="3" fontId="19" numFmtId="0" xfId="0" applyAlignment="1" applyBorder="1" applyFont="1">
      <alignment horizontal="right" vertical="bottom"/>
    </xf>
    <xf borderId="10" fillId="0" fontId="8" numFmtId="3" xfId="0" applyAlignment="1" applyBorder="1" applyFont="1" applyNumberFormat="1">
      <alignment horizontal="right" vertical="bottom"/>
    </xf>
    <xf borderId="10" fillId="3" fontId="19" numFmtId="0" xfId="0" applyAlignment="1" applyBorder="1" applyFont="1">
      <alignment horizontal="right" readingOrder="0" vertical="bottom"/>
    </xf>
    <xf borderId="10" fillId="0" fontId="8" numFmtId="0" xfId="0" applyAlignment="1" applyBorder="1" applyFont="1">
      <alignment horizontal="right" readingOrder="0" vertical="bottom"/>
    </xf>
    <xf borderId="0" fillId="0" fontId="3" numFmtId="0" xfId="0" applyAlignment="1" applyFont="1">
      <alignment horizontal="right" readingOrder="0"/>
    </xf>
    <xf borderId="0" fillId="0" fontId="3" numFmtId="0" xfId="0" applyAlignment="1" applyFont="1">
      <alignment readingOrder="0"/>
    </xf>
    <xf borderId="14" fillId="4" fontId="8" numFmtId="0" xfId="0" applyAlignment="1" applyBorder="1" applyFont="1">
      <alignment horizontal="center" readingOrder="0" shrinkToFit="0" vertical="bottom" wrapText="1"/>
    </xf>
    <xf borderId="0" fillId="0" fontId="14" numFmtId="0" xfId="0" applyAlignment="1" applyFont="1">
      <alignment horizontal="center" readingOrder="0" shrinkToFit="0" wrapText="1"/>
    </xf>
    <xf borderId="1" fillId="0" fontId="14" numFmtId="0" xfId="0" applyAlignment="1" applyBorder="1" applyFont="1">
      <alignment readingOrder="0" shrinkToFit="0" wrapText="1"/>
    </xf>
    <xf borderId="0" fillId="0" fontId="3" numFmtId="0" xfId="0" applyAlignment="1" applyFont="1">
      <alignment shrinkToFit="0" wrapText="1"/>
    </xf>
    <xf borderId="10" fillId="5" fontId="7" numFmtId="9" xfId="0" applyAlignment="1" applyBorder="1" applyFont="1" applyNumberFormat="1">
      <alignment horizontal="right" readingOrder="0" vertical="bottom"/>
    </xf>
    <xf borderId="4" fillId="0" fontId="7" numFmtId="0" xfId="0" applyBorder="1" applyFont="1"/>
    <xf borderId="0" fillId="0" fontId="8" numFmtId="3" xfId="0" applyAlignment="1" applyFont="1" applyNumberFormat="1">
      <alignment horizontal="right" vertical="bottom"/>
    </xf>
    <xf borderId="0" fillId="0" fontId="8" numFmtId="9" xfId="0" applyAlignment="1" applyFont="1" applyNumberFormat="1">
      <alignment horizontal="right" vertical="bottom"/>
    </xf>
    <xf borderId="0" fillId="0" fontId="8" numFmtId="0" xfId="0" applyAlignment="1" applyFont="1">
      <alignment horizontal="right" readingOrder="0" vertical="bottom"/>
    </xf>
    <xf borderId="0" fillId="2" fontId="12" numFmtId="0" xfId="0" applyAlignment="1" applyFont="1">
      <alignment horizontal="center" readingOrder="0"/>
    </xf>
    <xf borderId="0" fillId="2" fontId="20" numFmtId="0" xfId="0" applyAlignment="1" applyFont="1">
      <alignment horizontal="center" readingOrder="0"/>
    </xf>
    <xf borderId="0" fillId="5" fontId="7" numFmtId="0" xfId="0" applyAlignment="1" applyFont="1">
      <alignment horizontal="left" readingOrder="0" shrinkToFit="0" vertical="top" wrapText="1"/>
    </xf>
    <xf borderId="0" fillId="5" fontId="5" numFmtId="0" xfId="0" applyAlignment="1" applyFont="1">
      <alignment horizontal="left" readingOrder="0" shrinkToFit="0" wrapText="1"/>
    </xf>
    <xf borderId="0" fillId="3" fontId="3" numFmtId="0" xfId="0" applyAlignment="1" applyFont="1">
      <alignment horizontal="left" readingOrder="0" shrinkToFit="0" wrapText="1"/>
    </xf>
    <xf borderId="1" fillId="0" fontId="3" numFmtId="0" xfId="0" applyAlignment="1" applyBorder="1" applyFont="1">
      <alignment readingOrder="0" shrinkToFit="0" wrapText="1"/>
    </xf>
    <xf borderId="0" fillId="5" fontId="14" numFmtId="0" xfId="0" applyAlignment="1" applyFont="1">
      <alignment horizontal="left" readingOrder="0"/>
    </xf>
    <xf borderId="0" fillId="2" fontId="14" numFmtId="0" xfId="0" applyAlignment="1" applyFont="1">
      <alignment horizontal="center" readingOrder="0"/>
    </xf>
    <xf borderId="0" fillId="5" fontId="8" numFmtId="0" xfId="0" applyAlignment="1" applyFont="1">
      <alignment horizontal="center" readingOrder="0" vertical="bottom"/>
    </xf>
    <xf borderId="0" fillId="4" fontId="8" numFmtId="0" xfId="0" applyAlignment="1" applyFont="1">
      <alignment horizontal="center" readingOrder="0" shrinkToFit="0" vertical="bottom" wrapText="1"/>
    </xf>
    <xf borderId="0" fillId="5" fontId="6" numFmtId="0" xfId="0" applyAlignment="1" applyFont="1">
      <alignment horizontal="left" readingOrder="0" shrinkToFit="0" wrapText="1"/>
    </xf>
    <xf borderId="0" fillId="5" fontId="8" numFmtId="0" xfId="0" applyAlignment="1" applyFont="1">
      <alignment horizontal="center" readingOrder="0" shrinkToFit="0" vertical="bottom" wrapText="1"/>
    </xf>
    <xf borderId="0" fillId="3" fontId="8" numFmtId="0" xfId="0" applyAlignment="1" applyFont="1">
      <alignment horizontal="center" readingOrder="0" shrinkToFit="0" vertical="bottom" wrapText="1"/>
    </xf>
    <xf borderId="0" fillId="0" fontId="21" numFmtId="0" xfId="0" applyFont="1"/>
    <xf borderId="0" fillId="9" fontId="14" numFmtId="0" xfId="0" applyAlignment="1" applyFill="1" applyFont="1">
      <alignment horizontal="left" readingOrder="0"/>
    </xf>
    <xf borderId="1" fillId="2" fontId="22" numFmtId="0" xfId="0" applyAlignment="1" applyBorder="1" applyFont="1">
      <alignment horizontal="center" readingOrder="0"/>
    </xf>
    <xf borderId="0" fillId="0" fontId="23" numFmtId="0" xfId="0" applyAlignment="1" applyFont="1">
      <alignment horizontal="center" readingOrder="0" vertical="center"/>
    </xf>
    <xf borderId="10" fillId="2" fontId="22" numFmtId="0" xfId="0" applyAlignment="1" applyBorder="1" applyFont="1">
      <alignment horizontal="center" readingOrder="0" shrinkToFit="0" vertical="bottom" wrapText="1"/>
    </xf>
    <xf borderId="1" fillId="2" fontId="22" numFmtId="0" xfId="0" applyAlignment="1" applyBorder="1" applyFont="1">
      <alignment horizontal="center" readingOrder="0" vertical="bottom"/>
    </xf>
    <xf borderId="14" fillId="2" fontId="23" numFmtId="0" xfId="0" applyAlignment="1" applyBorder="1" applyFont="1">
      <alignment horizontal="center" readingOrder="0" shrinkToFit="0" wrapText="1"/>
    </xf>
    <xf borderId="14" fillId="2" fontId="6" numFmtId="0" xfId="0" applyAlignment="1" applyBorder="1" applyFont="1">
      <alignment horizontal="center" readingOrder="0" shrinkToFit="0" wrapText="1"/>
    </xf>
    <xf borderId="10" fillId="10" fontId="22" numFmtId="0" xfId="0" applyAlignment="1" applyBorder="1" applyFill="1" applyFont="1">
      <alignment horizontal="center" vertical="bottom"/>
    </xf>
    <xf borderId="10" fillId="10" fontId="22" numFmtId="3" xfId="0" applyAlignment="1" applyBorder="1" applyFont="1" applyNumberFormat="1">
      <alignment horizontal="center" vertical="bottom"/>
    </xf>
    <xf borderId="10" fillId="10" fontId="22" numFmtId="1" xfId="0" applyAlignment="1" applyBorder="1" applyFont="1" applyNumberFormat="1">
      <alignment horizontal="center" vertical="bottom"/>
    </xf>
    <xf borderId="4" fillId="0" fontId="21" numFmtId="0" xfId="0" applyAlignment="1" applyBorder="1" applyFont="1">
      <alignment readingOrder="0"/>
    </xf>
    <xf borderId="10" fillId="10" fontId="24" numFmtId="0" xfId="0" applyAlignment="1" applyBorder="1" applyFont="1">
      <alignment horizontal="center" vertical="bottom"/>
    </xf>
    <xf borderId="10" fillId="10" fontId="24" numFmtId="3" xfId="0" applyAlignment="1" applyBorder="1" applyFont="1" applyNumberFormat="1">
      <alignment horizontal="center" readingOrder="0" vertical="bottom"/>
    </xf>
    <xf borderId="10" fillId="11" fontId="24" numFmtId="9" xfId="0" applyAlignment="1" applyBorder="1" applyFill="1" applyFont="1" applyNumberFormat="1">
      <alignment horizontal="center" vertical="bottom"/>
    </xf>
    <xf borderId="10" fillId="9" fontId="24" numFmtId="9" xfId="0" applyAlignment="1" applyBorder="1" applyFont="1" applyNumberFormat="1">
      <alignment horizontal="center" readingOrder="0" vertical="bottom"/>
    </xf>
    <xf borderId="10" fillId="12" fontId="24" numFmtId="9" xfId="0" applyAlignment="1" applyBorder="1" applyFill="1" applyFont="1" applyNumberFormat="1">
      <alignment horizontal="center" vertical="bottom"/>
    </xf>
    <xf borderId="10" fillId="13" fontId="24" numFmtId="9" xfId="0" applyAlignment="1" applyBorder="1" applyFill="1" applyFont="1" applyNumberFormat="1">
      <alignment horizontal="center" vertical="bottom"/>
    </xf>
    <xf borderId="10" fillId="9" fontId="21" numFmtId="1" xfId="0" applyAlignment="1" applyBorder="1" applyFont="1" applyNumberFormat="1">
      <alignment horizontal="center" readingOrder="0"/>
    </xf>
    <xf borderId="10" fillId="9" fontId="21" numFmtId="9" xfId="0" applyAlignment="1" applyBorder="1" applyFont="1" applyNumberFormat="1">
      <alignment horizontal="center" readingOrder="0"/>
    </xf>
    <xf borderId="10" fillId="14" fontId="24" numFmtId="9" xfId="0" applyAlignment="1" applyBorder="1" applyFill="1" applyFont="1" applyNumberFormat="1">
      <alignment horizontal="center" vertical="bottom"/>
    </xf>
    <xf borderId="10" fillId="4" fontId="21" numFmtId="10" xfId="0" applyAlignment="1" applyBorder="1" applyFont="1" applyNumberFormat="1">
      <alignment horizontal="center"/>
    </xf>
    <xf borderId="10" fillId="15" fontId="24" numFmtId="9" xfId="0" applyAlignment="1" applyBorder="1" applyFill="1" applyFont="1" applyNumberFormat="1">
      <alignment horizontal="center" vertical="bottom"/>
    </xf>
    <xf borderId="10" fillId="16" fontId="24" numFmtId="9" xfId="0" applyAlignment="1" applyBorder="1" applyFill="1" applyFont="1" applyNumberFormat="1">
      <alignment horizontal="center" vertical="bottom"/>
    </xf>
    <xf borderId="10" fillId="4" fontId="21" numFmtId="1" xfId="0" applyAlignment="1" applyBorder="1" applyFont="1" applyNumberFormat="1">
      <alignment horizontal="center"/>
    </xf>
    <xf borderId="10" fillId="4" fontId="21" numFmtId="9" xfId="0" applyAlignment="1" applyBorder="1" applyFont="1" applyNumberFormat="1">
      <alignment horizontal="center"/>
    </xf>
    <xf borderId="10" fillId="17" fontId="24" numFmtId="9" xfId="0" applyAlignment="1" applyBorder="1" applyFill="1" applyFont="1" applyNumberFormat="1">
      <alignment horizontal="center" vertical="bottom"/>
    </xf>
    <xf borderId="10" fillId="18" fontId="24" numFmtId="9" xfId="0" applyAlignment="1" applyBorder="1" applyFill="1" applyFont="1" applyNumberFormat="1">
      <alignment horizontal="center" vertical="bottom"/>
    </xf>
    <xf borderId="10" fillId="19" fontId="24" numFmtId="9" xfId="0" applyAlignment="1" applyBorder="1" applyFill="1" applyFont="1" applyNumberFormat="1">
      <alignment horizontal="center" vertical="bottom"/>
    </xf>
    <xf borderId="10" fillId="20" fontId="24" numFmtId="9" xfId="0" applyAlignment="1" applyBorder="1" applyFill="1" applyFont="1" applyNumberFormat="1">
      <alignment horizontal="center" vertical="bottom"/>
    </xf>
    <xf borderId="10" fillId="21" fontId="24" numFmtId="9" xfId="0" applyAlignment="1" applyBorder="1" applyFill="1" applyFont="1" applyNumberFormat="1">
      <alignment horizontal="center" vertical="bottom"/>
    </xf>
    <xf borderId="10" fillId="10" fontId="24" numFmtId="0" xfId="0" applyAlignment="1" applyBorder="1" applyFont="1">
      <alignment horizontal="center" readingOrder="0" vertical="bottom"/>
    </xf>
    <xf borderId="10" fillId="22" fontId="24" numFmtId="9" xfId="0" applyAlignment="1" applyBorder="1" applyFill="1" applyFont="1" applyNumberFormat="1">
      <alignment horizontal="center" vertical="bottom"/>
    </xf>
    <xf borderId="10" fillId="23" fontId="24" numFmtId="9" xfId="0" applyAlignment="1" applyBorder="1" applyFill="1" applyFont="1" applyNumberFormat="1">
      <alignment horizontal="center" vertical="bottom"/>
    </xf>
    <xf borderId="10" fillId="24" fontId="24" numFmtId="9" xfId="0" applyAlignment="1" applyBorder="1" applyFill="1" applyFont="1" applyNumberFormat="1">
      <alignment horizontal="center" vertical="bottom"/>
    </xf>
    <xf borderId="10" fillId="25" fontId="24" numFmtId="9" xfId="0" applyAlignment="1" applyBorder="1" applyFill="1" applyFont="1" applyNumberFormat="1">
      <alignment horizontal="center" vertical="bottom"/>
    </xf>
    <xf borderId="10" fillId="10" fontId="22" numFmtId="164" xfId="0" applyAlignment="1" applyBorder="1" applyFont="1" applyNumberFormat="1">
      <alignment horizontal="center" vertical="bottom"/>
    </xf>
    <xf borderId="10" fillId="10" fontId="25" numFmtId="3" xfId="0" applyAlignment="1" applyBorder="1" applyFont="1" applyNumberFormat="1">
      <alignment horizontal="center" vertical="bottom"/>
    </xf>
    <xf borderId="10" fillId="10" fontId="25" numFmtId="9" xfId="0" applyAlignment="1" applyBorder="1" applyFont="1" applyNumberFormat="1">
      <alignment horizontal="center" vertical="bottom"/>
    </xf>
    <xf borderId="4" fillId="2" fontId="14" numFmtId="0" xfId="0" applyAlignment="1" applyBorder="1" applyFont="1">
      <alignment horizontal="center" readingOrder="0" shrinkToFit="0" vertical="center" wrapText="1"/>
    </xf>
    <xf borderId="4" fillId="4" fontId="21" numFmtId="0" xfId="0" applyAlignment="1" applyBorder="1" applyFont="1">
      <alignment horizontal="left" readingOrder="0" shrinkToFit="0" vertical="top" wrapText="1"/>
    </xf>
    <xf borderId="10" fillId="2" fontId="22" numFmtId="0" xfId="0" applyAlignment="1" applyBorder="1" applyFont="1">
      <alignment horizontal="center" shrinkToFit="0" vertical="bottom" wrapText="1"/>
    </xf>
    <xf borderId="4" fillId="0" fontId="21" numFmtId="0" xfId="0" applyBorder="1" applyFont="1"/>
    <xf borderId="10" fillId="10" fontId="24" numFmtId="3" xfId="0" applyAlignment="1" applyBorder="1" applyFont="1" applyNumberFormat="1">
      <alignment horizontal="center" vertical="bottom"/>
    </xf>
    <xf borderId="10" fillId="10" fontId="22" numFmtId="0" xfId="0" applyAlignment="1" applyBorder="1" applyFont="1">
      <alignment horizontal="center" readingOrder="0"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Tab 8 - Segment Analysis-style">
      <tableStyleElement dxfId="1" type="headerRow"/>
      <tableStyleElement dxfId="2" type="firstRowStripe"/>
      <tableStyleElement dxfId="3" type="secondRowStripe"/>
    </tableStyle>
    <tableStyle count="3" pivot="0" name="Tab 8 - Segment Analysis-style 2">
      <tableStyleElement dxfId="1" type="headerRow"/>
      <tableStyleElement dxfId="2" type="firstRowStripe"/>
      <tableStyleElement dxfId="3" type="secondRowStripe"/>
    </tableStyle>
    <tableStyle count="3" pivot="0" name="Tab 8 - Segment Analysis-style 3">
      <tableStyleElement dxfId="1" type="headerRow"/>
      <tableStyleElement dxfId="2" type="firstRowStripe"/>
      <tableStyleElement dxfId="3" type="secondRowStripe"/>
    </tableStyle>
    <tableStyle count="3" pivot="0" name="Tab 8 - Segment Analysis-style 4">
      <tableStyleElement dxfId="1" type="headerRow"/>
      <tableStyleElement dxfId="2" type="firstRowStripe"/>
      <tableStyleElement dxfId="3" type="secondRowStripe"/>
    </tableStyle>
    <tableStyle count="3" pivot="0" name="Tab 8 - Segment Analysis-style 5">
      <tableStyleElement dxfId="1" type="headerRow"/>
      <tableStyleElement dxfId="2" type="firstRowStripe"/>
      <tableStyleElement dxfId="3" type="secondRowStripe"/>
    </tableStyle>
    <tableStyle count="3" pivot="0" name="Tab 8 - Segment Analysis-style 6">
      <tableStyleElement dxfId="1" type="headerRow"/>
      <tableStyleElement dxfId="2" type="firstRowStripe"/>
      <tableStyleElement dxfId="3" type="secondRowStripe"/>
    </tableStyle>
    <tableStyle count="3" pivot="0" name="Tab 8 - Segment Analysis-style 7">
      <tableStyleElement dxfId="1" type="headerRow"/>
      <tableStyleElement dxfId="2" type="firstRowStripe"/>
      <tableStyleElement dxfId="3" type="secondRowStripe"/>
    </tableStyle>
    <tableStyle count="3" pivot="0" name="Tab 8 - Segment Analysis-style 8">
      <tableStyleElement dxfId="1" type="headerRow"/>
      <tableStyleElement dxfId="2" type="firstRowStripe"/>
      <tableStyleElement dxfId="3" type="secondRowStripe"/>
    </tableStyle>
    <tableStyle count="3" pivot="0" name="Tab 8 - Segment Analysis-style 9">
      <tableStyleElement dxfId="1" type="headerRow"/>
      <tableStyleElement dxfId="2" type="firstRowStripe"/>
      <tableStyleElement dxfId="3" type="secondRowStripe"/>
    </tableStyle>
    <tableStyle count="3" pivot="0" name="Tab 8 - Segment Analysis-style 10">
      <tableStyleElement dxfId="1" type="headerRow"/>
      <tableStyleElement dxfId="2" type="firstRowStripe"/>
      <tableStyleElement dxfId="3" type="secondRowStripe"/>
    </tableStyle>
    <tableStyle count="3" pivot="0" name="Tab 8 - Segment Analysis-style 11">
      <tableStyleElement dxfId="1" type="headerRow"/>
      <tableStyleElement dxfId="2" type="firstRowStripe"/>
      <tableStyleElement dxfId="3" type="secondRowStripe"/>
    </tableStyle>
    <tableStyle count="3" pivot="0" name="Tab 8 - Segment Analysis-style 1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Overlap vs. (log-ins)</a:t>
            </a:r>
          </a:p>
        </c:rich>
      </c:tx>
      <c:overlay val="0"/>
    </c:title>
    <c:plotArea>
      <c:layout/>
      <c:barChart>
        <c:barDir val="bar"/>
        <c:ser>
          <c:idx val="0"/>
          <c:order val="0"/>
          <c:tx>
            <c:strRef>
              <c:f>'Tab 4 - Habit Moment and Metric'!$F$26:$F$29</c:f>
            </c:strRef>
          </c:tx>
          <c:spPr>
            <a:solidFill>
              <a:schemeClr val="accent1"/>
            </a:solidFill>
            <a:ln cmpd="sng">
              <a:solidFill>
                <a:srgbClr val="000000"/>
              </a:solidFill>
            </a:ln>
          </c:spPr>
          <c:cat>
            <c:strRef>
              <c:f>'Tab 4 - Habit Moment and Metric'!$A$30:$A$36</c:f>
            </c:strRef>
          </c:cat>
          <c:val>
            <c:numRef>
              <c:f>'Tab 4 - Habit Moment and Metric'!$F$30:$F$36</c:f>
              <c:numCache/>
            </c:numRef>
          </c:val>
        </c:ser>
        <c:axId val="413021417"/>
        <c:axId val="1761634347"/>
      </c:barChart>
      <c:catAx>
        <c:axId val="41302141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(log-ins)</a:t>
                </a:r>
              </a:p>
            </c:rich>
          </c:tx>
          <c:overlay val="0"/>
        </c:title>
        <c:numFmt formatCode="General" sourceLinked="1"/>
        <c:majorTickMark val="none"/>
        <c:minorTickMark val="none"/>
        <c:spPr/>
        <c:txPr>
          <a:bodyPr/>
          <a:lstStyle/>
          <a:p>
            <a:pPr lvl="0">
              <a:defRPr b="0">
                <a:solidFill>
                  <a:srgbClr val="000000"/>
                </a:solidFill>
                <a:latin typeface="+mn-lt"/>
              </a:defRPr>
            </a:pPr>
          </a:p>
        </c:txPr>
        <c:crossAx val="1761634347"/>
      </c:catAx>
      <c:valAx>
        <c:axId val="17616343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Overlap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3021417"/>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Overlap vs. Messages</a:t>
            </a:r>
          </a:p>
        </c:rich>
      </c:tx>
      <c:overlay val="0"/>
    </c:title>
    <c:plotArea>
      <c:layout/>
      <c:barChart>
        <c:barDir val="bar"/>
        <c:ser>
          <c:idx val="0"/>
          <c:order val="0"/>
          <c:tx>
            <c:strRef>
              <c:f>'Tab 4 - Habit Moment and Metric'!$F$38:$F$41</c:f>
            </c:strRef>
          </c:tx>
          <c:spPr>
            <a:solidFill>
              <a:schemeClr val="accent1"/>
            </a:solidFill>
            <a:ln cmpd="sng">
              <a:solidFill>
                <a:srgbClr val="000000"/>
              </a:solidFill>
            </a:ln>
          </c:spPr>
          <c:cat>
            <c:strRef>
              <c:f>'Tab 4 - Habit Moment and Metric'!$A$42:$A$48</c:f>
            </c:strRef>
          </c:cat>
          <c:val>
            <c:numRef>
              <c:f>'Tab 4 - Habit Moment and Metric'!$F$42:$F$48</c:f>
              <c:numCache/>
            </c:numRef>
          </c:val>
        </c:ser>
        <c:axId val="173537200"/>
        <c:axId val="1355661513"/>
      </c:barChart>
      <c:catAx>
        <c:axId val="17353720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Messages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355661513"/>
      </c:catAx>
      <c:valAx>
        <c:axId val="135566151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Overlap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537200"/>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Overlap vs. Days Taken</a:t>
            </a:r>
          </a:p>
        </c:rich>
      </c:tx>
      <c:overlay val="0"/>
    </c:title>
    <c:plotArea>
      <c:layout/>
      <c:barChart>
        <c:barDir val="bar"/>
        <c:ser>
          <c:idx val="0"/>
          <c:order val="0"/>
          <c:tx>
            <c:strRef>
              <c:f>'Tab 5 - Aha Moment and Metric A'!$F$16</c:f>
            </c:strRef>
          </c:tx>
          <c:spPr>
            <a:solidFill>
              <a:schemeClr val="accent1"/>
            </a:solidFill>
            <a:ln cmpd="sng">
              <a:solidFill>
                <a:srgbClr val="000000"/>
              </a:solidFill>
            </a:ln>
          </c:spPr>
          <c:cat>
            <c:strRef>
              <c:f>'Tab 5 - Aha Moment and Metric A'!$A$17:$A$23</c:f>
            </c:strRef>
          </c:cat>
          <c:val>
            <c:numRef>
              <c:f>'Tab 5 - Aha Moment and Metric A'!$F$17:$F$23</c:f>
              <c:numCache/>
            </c:numRef>
          </c:val>
        </c:ser>
        <c:axId val="514022406"/>
        <c:axId val="1292301108"/>
      </c:barChart>
      <c:catAx>
        <c:axId val="5140224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Days Taken</a:t>
                </a:r>
              </a:p>
            </c:rich>
          </c:tx>
          <c:overlay val="0"/>
        </c:title>
        <c:numFmt formatCode="General" sourceLinked="1"/>
        <c:majorTickMark val="none"/>
        <c:minorTickMark val="none"/>
        <c:spPr/>
        <c:txPr>
          <a:bodyPr/>
          <a:lstStyle/>
          <a:p>
            <a:pPr lvl="0">
              <a:defRPr b="0">
                <a:solidFill>
                  <a:srgbClr val="000000"/>
                </a:solidFill>
                <a:latin typeface="+mn-lt"/>
              </a:defRPr>
            </a:pPr>
          </a:p>
        </c:txPr>
        <c:crossAx val="1292301108"/>
      </c:catAx>
      <c:valAx>
        <c:axId val="12923011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Overlap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4022406"/>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Overlap vs. Days Taken</a:t>
            </a:r>
          </a:p>
        </c:rich>
      </c:tx>
      <c:overlay val="0"/>
    </c:title>
    <c:plotArea>
      <c:layout/>
      <c:barChart>
        <c:barDir val="bar"/>
        <c:ser>
          <c:idx val="0"/>
          <c:order val="0"/>
          <c:tx>
            <c:strRef>
              <c:f>'Tab 5 - Aha Moment and Metric A'!$F$25:$F$28</c:f>
            </c:strRef>
          </c:tx>
          <c:spPr>
            <a:solidFill>
              <a:schemeClr val="accent1"/>
            </a:solidFill>
            <a:ln cmpd="sng">
              <a:solidFill>
                <a:srgbClr val="000000"/>
              </a:solidFill>
            </a:ln>
          </c:spPr>
          <c:cat>
            <c:strRef>
              <c:f>'Tab 5 - Aha Moment and Metric A'!$A$29:$A$35</c:f>
            </c:strRef>
          </c:cat>
          <c:val>
            <c:numRef>
              <c:f>'Tab 5 - Aha Moment and Metric A'!$F$29:$F$35</c:f>
              <c:numCache/>
            </c:numRef>
          </c:val>
        </c:ser>
        <c:axId val="1403295665"/>
        <c:axId val="1209042295"/>
      </c:barChart>
      <c:catAx>
        <c:axId val="140329566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Days Taken</a:t>
                </a:r>
              </a:p>
            </c:rich>
          </c:tx>
          <c:overlay val="0"/>
        </c:title>
        <c:numFmt formatCode="General" sourceLinked="1"/>
        <c:majorTickMark val="none"/>
        <c:minorTickMark val="none"/>
        <c:spPr/>
        <c:txPr>
          <a:bodyPr/>
          <a:lstStyle/>
          <a:p>
            <a:pPr lvl="0">
              <a:defRPr b="0">
                <a:solidFill>
                  <a:srgbClr val="000000"/>
                </a:solidFill>
                <a:latin typeface="+mn-lt"/>
              </a:defRPr>
            </a:pPr>
          </a:p>
        </c:txPr>
        <c:crossAx val="1209042295"/>
      </c:catAx>
      <c:valAx>
        <c:axId val="12090422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Overlap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3295665"/>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Overlap vs. Days Taken</a:t>
            </a:r>
          </a:p>
        </c:rich>
      </c:tx>
      <c:overlay val="0"/>
    </c:title>
    <c:plotArea>
      <c:layout/>
      <c:barChart>
        <c:barDir val="bar"/>
        <c:ser>
          <c:idx val="0"/>
          <c:order val="0"/>
          <c:tx>
            <c:strRef>
              <c:f>'Tab 5 - Aha Moment and Metric A'!$F$37:$F$40</c:f>
            </c:strRef>
          </c:tx>
          <c:spPr>
            <a:solidFill>
              <a:schemeClr val="accent1"/>
            </a:solidFill>
            <a:ln cmpd="sng">
              <a:solidFill>
                <a:srgbClr val="000000"/>
              </a:solidFill>
            </a:ln>
          </c:spPr>
          <c:cat>
            <c:strRef>
              <c:f>'Tab 5 - Aha Moment and Metric A'!$A$41:$A$47</c:f>
            </c:strRef>
          </c:cat>
          <c:val>
            <c:numRef>
              <c:f>'Tab 5 - Aha Moment and Metric A'!$F$41:$F$47</c:f>
              <c:numCache/>
            </c:numRef>
          </c:val>
        </c:ser>
        <c:axId val="1865906934"/>
        <c:axId val="1645484622"/>
      </c:barChart>
      <c:catAx>
        <c:axId val="18659069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Days Taken</a:t>
                </a:r>
              </a:p>
            </c:rich>
          </c:tx>
          <c:overlay val="0"/>
        </c:title>
        <c:numFmt formatCode="General" sourceLinked="1"/>
        <c:majorTickMark val="none"/>
        <c:minorTickMark val="none"/>
        <c:spPr/>
        <c:txPr>
          <a:bodyPr/>
          <a:lstStyle/>
          <a:p>
            <a:pPr lvl="0">
              <a:defRPr b="0">
                <a:solidFill>
                  <a:srgbClr val="000000"/>
                </a:solidFill>
                <a:latin typeface="+mn-lt"/>
              </a:defRPr>
            </a:pPr>
          </a:p>
        </c:txPr>
        <c:crossAx val="1645484622"/>
      </c:catAx>
      <c:valAx>
        <c:axId val="164548462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Overlap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5906934"/>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'Tab 6 - Setup Moment and Metric'!$F$15</c:f>
            </c:strRef>
          </c:tx>
          <c:spPr>
            <a:solidFill>
              <a:schemeClr val="accent1"/>
            </a:solidFill>
            <a:ln cmpd="sng">
              <a:solidFill>
                <a:srgbClr val="000000"/>
              </a:solidFill>
            </a:ln>
          </c:spPr>
          <c:cat>
            <c:strRef>
              <c:f>'Tab 6 - Setup Moment and Metric'!$A$16:$A$22</c:f>
            </c:strRef>
          </c:cat>
          <c:val>
            <c:numRef>
              <c:f>'Tab 6 - Setup Moment and Metric'!$F$16:$F$22</c:f>
              <c:numCache/>
            </c:numRef>
          </c:val>
        </c:ser>
        <c:axId val="903012892"/>
        <c:axId val="1328488725"/>
      </c:barChart>
      <c:catAx>
        <c:axId val="90301289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28488725"/>
      </c:catAx>
      <c:valAx>
        <c:axId val="132848872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3012892"/>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Overlap vs. Days Taken</a:t>
            </a:r>
          </a:p>
        </c:rich>
      </c:tx>
      <c:overlay val="0"/>
    </c:title>
    <c:plotArea>
      <c:layout/>
      <c:barChart>
        <c:barDir val="bar"/>
        <c:ser>
          <c:idx val="0"/>
          <c:order val="0"/>
          <c:tx>
            <c:strRef>
              <c:f>'Tab 6 - Setup Moment and Metric'!$F$24:$F$27</c:f>
            </c:strRef>
          </c:tx>
          <c:spPr>
            <a:solidFill>
              <a:schemeClr val="accent1"/>
            </a:solidFill>
            <a:ln cmpd="sng">
              <a:solidFill>
                <a:srgbClr val="000000"/>
              </a:solidFill>
            </a:ln>
          </c:spPr>
          <c:cat>
            <c:strRef>
              <c:f>'Tab 6 - Setup Moment and Metric'!$A$28:$A$34</c:f>
            </c:strRef>
          </c:cat>
          <c:val>
            <c:numRef>
              <c:f>'Tab 6 - Setup Moment and Metric'!$F$28:$F$34</c:f>
              <c:numCache/>
            </c:numRef>
          </c:val>
        </c:ser>
        <c:axId val="1829035054"/>
        <c:axId val="794327805"/>
      </c:barChart>
      <c:catAx>
        <c:axId val="182903505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Days Taken</a:t>
                </a:r>
              </a:p>
            </c:rich>
          </c:tx>
          <c:overlay val="0"/>
        </c:title>
        <c:numFmt formatCode="General" sourceLinked="1"/>
        <c:majorTickMark val="none"/>
        <c:minorTickMark val="none"/>
        <c:spPr/>
        <c:txPr>
          <a:bodyPr/>
          <a:lstStyle/>
          <a:p>
            <a:pPr lvl="0">
              <a:defRPr b="0">
                <a:solidFill>
                  <a:srgbClr val="000000"/>
                </a:solidFill>
                <a:latin typeface="+mn-lt"/>
              </a:defRPr>
            </a:pPr>
          </a:p>
        </c:txPr>
        <c:crossAx val="794327805"/>
      </c:catAx>
      <c:valAx>
        <c:axId val="7943278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Overlap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29035054"/>
        <c:crosses val="max"/>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Overlap vs. Users Invited</a:t>
            </a:r>
          </a:p>
        </c:rich>
      </c:tx>
      <c:overlay val="0"/>
    </c:title>
    <c:plotArea>
      <c:layout/>
      <c:barChart>
        <c:barDir val="bar"/>
        <c:ser>
          <c:idx val="0"/>
          <c:order val="0"/>
          <c:tx>
            <c:strRef>
              <c:f>'Tab 6 - Setup Moment and Metric'!$F$39</c:f>
            </c:strRef>
          </c:tx>
          <c:spPr>
            <a:solidFill>
              <a:schemeClr val="accent1"/>
            </a:solidFill>
            <a:ln cmpd="sng">
              <a:solidFill>
                <a:srgbClr val="000000"/>
              </a:solidFill>
            </a:ln>
          </c:spPr>
          <c:cat>
            <c:strRef>
              <c:f>'Tab 6 - Setup Moment and Metric'!$A$40:$A$46</c:f>
            </c:strRef>
          </c:cat>
          <c:val>
            <c:numRef>
              <c:f>'Tab 6 - Setup Moment and Metric'!$F$40:$F$46</c:f>
              <c:numCache/>
            </c:numRef>
          </c:val>
        </c:ser>
        <c:axId val="1196047986"/>
        <c:axId val="1724026021"/>
      </c:barChart>
      <c:catAx>
        <c:axId val="119604798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Users Invited</a:t>
                </a:r>
              </a:p>
            </c:rich>
          </c:tx>
          <c:overlay val="0"/>
        </c:title>
        <c:numFmt formatCode="General" sourceLinked="1"/>
        <c:majorTickMark val="none"/>
        <c:minorTickMark val="none"/>
        <c:spPr/>
        <c:txPr>
          <a:bodyPr/>
          <a:lstStyle/>
          <a:p>
            <a:pPr lvl="0">
              <a:defRPr b="0">
                <a:solidFill>
                  <a:srgbClr val="000000"/>
                </a:solidFill>
                <a:latin typeface="+mn-lt"/>
              </a:defRPr>
            </a:pPr>
          </a:p>
        </c:txPr>
        <c:crossAx val="1724026021"/>
      </c:catAx>
      <c:valAx>
        <c:axId val="17240260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Overlap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6047986"/>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xdr:colOff>
      <xdr:row>25</xdr:row>
      <xdr:rowOff>9525</xdr:rowOff>
    </xdr:from>
    <xdr:ext cx="3733800" cy="2314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114300</xdr:colOff>
      <xdr:row>37</xdr:row>
      <xdr:rowOff>123825</xdr:rowOff>
    </xdr:from>
    <xdr:ext cx="3238500" cy="20002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942975</xdr:colOff>
      <xdr:row>11</xdr:row>
      <xdr:rowOff>190500</xdr:rowOff>
    </xdr:from>
    <xdr:ext cx="3848100" cy="23812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819150</xdr:colOff>
      <xdr:row>23</xdr:row>
      <xdr:rowOff>200025</xdr:rowOff>
    </xdr:from>
    <xdr:ext cx="3971925" cy="245745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942975</xdr:colOff>
      <xdr:row>36</xdr:row>
      <xdr:rowOff>9525</xdr:rowOff>
    </xdr:from>
    <xdr:ext cx="3848100" cy="2381250"/>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914400</xdr:colOff>
      <xdr:row>10</xdr:row>
      <xdr:rowOff>180975</xdr:rowOff>
    </xdr:from>
    <xdr:ext cx="3914775" cy="24288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914400</xdr:colOff>
      <xdr:row>22</xdr:row>
      <xdr:rowOff>190500</xdr:rowOff>
    </xdr:from>
    <xdr:ext cx="3914775" cy="24288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942975</xdr:colOff>
      <xdr:row>35</xdr:row>
      <xdr:rowOff>0</xdr:rowOff>
    </xdr:from>
    <xdr:ext cx="3848100" cy="2362200"/>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D63:D70" displayName="Table_1" id="1">
  <tableColumns count="1">
    <tableColumn name="Column1" id="1"/>
  </tableColumns>
  <tableStyleInfo name="Tab 8 - Segment Analysi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H41:H49" displayName="Table_10" id="10">
  <tableColumns count="1">
    <tableColumn name="Column1" id="1"/>
  </tableColumns>
  <tableStyleInfo name="Tab 8 - Segment Analysis-style 10"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D41:D49" displayName="Table_11" id="11">
  <tableColumns count="1">
    <tableColumn name="Column1" id="1"/>
  </tableColumns>
  <tableStyleInfo name="Tab 8 - Segment Analysis-style 11"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I63:I70" displayName="Table_12" id="12">
  <tableColumns count="1">
    <tableColumn name="Column1" id="1"/>
  </tableColumns>
  <tableStyleInfo name="Tab 8 - Segment Analysis-style 12"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D84:D89" displayName="Table_2" id="2">
  <tableColumns count="1">
    <tableColumn name="Column1" id="1"/>
  </tableColumns>
  <tableStyleInfo name="Tab 8 - Segment Analysis-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I84:I89" displayName="Table_3" id="3">
  <tableColumns count="1">
    <tableColumn name="Column1" id="1"/>
  </tableColumns>
  <tableStyleInfo name="Tab 8 - Segment Analysis-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H84:H89" displayName="Table_4" id="4">
  <tableColumns count="1">
    <tableColumn name="Column1" id="1"/>
  </tableColumns>
  <tableStyleInfo name="Tab 8 - Segment Analysis-style 4"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F84:F89" displayName="Table_5" id="5">
  <tableColumns count="1">
    <tableColumn name="Column1" id="1"/>
  </tableColumns>
  <tableStyleInfo name="Tab 8 - Segment Analysis-style 5"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H63:H70" displayName="Table_6" id="6">
  <tableColumns count="1">
    <tableColumn name="Column1" id="1"/>
  </tableColumns>
  <tableStyleInfo name="Tab 8 - Segment Analysis-style 6"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I41:I49" displayName="Table_7" id="7">
  <tableColumns count="1">
    <tableColumn name="Column1" id="1"/>
  </tableColumns>
  <tableStyleInfo name="Tab 8 - Segment Analysis-style 7"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F41:F49" displayName="Table_8" id="8">
  <tableColumns count="1">
    <tableColumn name="Column1" id="1"/>
  </tableColumns>
  <tableStyleInfo name="Tab 8 - Segment Analysis-style 8"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F63:F70" displayName="Table_9" id="9">
  <tableColumns count="1">
    <tableColumn name="Column1" id="1"/>
  </tableColumns>
  <tableStyleInfo name="Tab 8 - Segment Analysis-style 9"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nalitycs.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nalitycs.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table" Target="../tables/table7.xml"/><Relationship Id="rId22" Type="http://schemas.openxmlformats.org/officeDocument/2006/relationships/table" Target="../tables/table9.xml"/><Relationship Id="rId21" Type="http://schemas.openxmlformats.org/officeDocument/2006/relationships/table" Target="../tables/table8.xml"/><Relationship Id="rId24" Type="http://schemas.openxmlformats.org/officeDocument/2006/relationships/table" Target="../tables/table11.xml"/><Relationship Id="rId23" Type="http://schemas.openxmlformats.org/officeDocument/2006/relationships/table" Target="../tables/table10.xml"/><Relationship Id="rId1" Type="http://schemas.openxmlformats.org/officeDocument/2006/relationships/drawing" Target="../drawings/drawing9.xml"/><Relationship Id="rId15" Type="http://schemas.openxmlformats.org/officeDocument/2006/relationships/table" Target="../tables/table2.xml"/><Relationship Id="rId14" Type="http://schemas.openxmlformats.org/officeDocument/2006/relationships/table" Target="../tables/table1.xml"/><Relationship Id="rId25" Type="http://schemas.openxmlformats.org/officeDocument/2006/relationships/table" Target="../tables/table12.xml"/><Relationship Id="rId17" Type="http://schemas.openxmlformats.org/officeDocument/2006/relationships/table" Target="../tables/table4.xml"/><Relationship Id="rId16" Type="http://schemas.openxmlformats.org/officeDocument/2006/relationships/table" Target="../tables/table3.xml"/><Relationship Id="rId19" Type="http://schemas.openxmlformats.org/officeDocument/2006/relationships/table" Target="../tables/table6.xml"/><Relationship Id="rId18"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10.88"/>
    <col customWidth="1" min="3" max="3" width="42.88"/>
  </cols>
  <sheetData>
    <row r="1">
      <c r="A1" s="1" t="s">
        <v>0</v>
      </c>
      <c r="B1" s="2"/>
      <c r="C1" s="3"/>
    </row>
    <row r="2">
      <c r="A2" s="4" t="s">
        <v>1</v>
      </c>
      <c r="B2" s="5"/>
      <c r="C2" s="6"/>
    </row>
    <row r="3" ht="30.75" customHeight="1">
      <c r="A3" s="7"/>
      <c r="B3" s="8"/>
      <c r="C3" s="9"/>
    </row>
    <row r="4" ht="30.75" customHeight="1">
      <c r="A4" s="10" t="str">
        <f>HYPERLINK("https://app.productboard.com/register","Step 1: Complete Tabs 1 - 2 in order by signing up for the free trial of productboard: https://app.productboard.com/register. 
")</f>
        <v>Step 1: Complete Tabs 1 - 2 in order by signing up for the free trial of productboard: https://app.productboard.com/register. 
</v>
      </c>
      <c r="B4" s="2"/>
      <c r="C4" s="3"/>
    </row>
    <row r="5" ht="54.75" customHeight="1">
      <c r="A5" s="11" t="s">
        <v>2</v>
      </c>
      <c r="B5" s="8"/>
      <c r="C5" s="9"/>
    </row>
    <row r="6" ht="99.75" customHeight="1">
      <c r="A6" s="11" t="s">
        <v>3</v>
      </c>
      <c r="B6" s="8"/>
      <c r="C6" s="9"/>
    </row>
    <row r="7" ht="45.75" customHeight="1">
      <c r="A7" s="11" t="s">
        <v>4</v>
      </c>
      <c r="B7" s="8"/>
      <c r="C7" s="9"/>
    </row>
    <row r="8" ht="56.25" customHeight="1">
      <c r="A8" s="11" t="s">
        <v>5</v>
      </c>
      <c r="B8" s="8"/>
      <c r="C8" s="9"/>
    </row>
    <row r="9">
      <c r="A9" s="12" t="s">
        <v>6</v>
      </c>
      <c r="B9" s="2"/>
      <c r="C9" s="3"/>
    </row>
    <row r="10">
      <c r="A10" s="13" t="s">
        <v>7</v>
      </c>
      <c r="B10" s="2"/>
      <c r="C10" s="3"/>
    </row>
    <row r="11">
      <c r="A11" s="14"/>
      <c r="B11" s="15"/>
      <c r="C11" s="16"/>
    </row>
    <row r="12">
      <c r="A12" s="17" t="s">
        <v>8</v>
      </c>
      <c r="B12" s="18" t="s">
        <v>9</v>
      </c>
      <c r="C12" s="17" t="s">
        <v>10</v>
      </c>
    </row>
    <row r="13">
      <c r="A13" s="19"/>
      <c r="B13" s="20"/>
      <c r="C13" s="21" t="s">
        <v>11</v>
      </c>
    </row>
    <row r="14">
      <c r="A14" s="22">
        <v>1.0</v>
      </c>
      <c r="B14" s="23" t="b">
        <v>1</v>
      </c>
      <c r="C14" s="24" t="s">
        <v>12</v>
      </c>
    </row>
    <row r="15">
      <c r="A15" s="25">
        <v>2.0</v>
      </c>
      <c r="B15" s="23" t="b">
        <v>1</v>
      </c>
      <c r="C15" s="26" t="s">
        <v>13</v>
      </c>
    </row>
    <row r="16">
      <c r="A16" s="19"/>
      <c r="B16" s="19"/>
      <c r="C16" s="21" t="s">
        <v>14</v>
      </c>
    </row>
    <row r="17">
      <c r="A17" s="27">
        <v>3.0</v>
      </c>
      <c r="B17" s="23" t="b">
        <v>1</v>
      </c>
      <c r="C17" s="26" t="s">
        <v>15</v>
      </c>
    </row>
    <row r="18">
      <c r="A18" s="28"/>
      <c r="B18" s="19"/>
      <c r="C18" s="21" t="s">
        <v>16</v>
      </c>
    </row>
    <row r="19">
      <c r="A19" s="27">
        <v>4.0</v>
      </c>
      <c r="B19" s="23" t="b">
        <v>1</v>
      </c>
      <c r="C19" s="26" t="s">
        <v>17</v>
      </c>
    </row>
    <row r="20">
      <c r="A20" s="27">
        <v>5.0</v>
      </c>
      <c r="B20" s="23" t="b">
        <v>1</v>
      </c>
      <c r="C20" s="26" t="s">
        <v>18</v>
      </c>
    </row>
    <row r="21">
      <c r="A21" s="27">
        <v>6.0</v>
      </c>
      <c r="B21" s="23" t="b">
        <v>1</v>
      </c>
      <c r="C21" s="26" t="s">
        <v>19</v>
      </c>
    </row>
    <row r="22">
      <c r="A22" s="27">
        <v>7.0</v>
      </c>
      <c r="B22" s="23" t="b">
        <v>1</v>
      </c>
      <c r="C22" s="26" t="s">
        <v>20</v>
      </c>
    </row>
    <row r="23">
      <c r="A23" s="28"/>
      <c r="B23" s="19"/>
      <c r="C23" s="21" t="s">
        <v>21</v>
      </c>
    </row>
    <row r="24">
      <c r="A24" s="27">
        <v>8.0</v>
      </c>
      <c r="B24" s="23" t="b">
        <v>1</v>
      </c>
      <c r="C24" s="29" t="s">
        <v>22</v>
      </c>
    </row>
  </sheetData>
  <mergeCells count="9">
    <mergeCell ref="A9:C9"/>
    <mergeCell ref="A10:C10"/>
    <mergeCell ref="A1:C1"/>
    <mergeCell ref="A2:C3"/>
    <mergeCell ref="A4:C4"/>
    <mergeCell ref="A5:C5"/>
    <mergeCell ref="A6:C6"/>
    <mergeCell ref="A7:C7"/>
    <mergeCell ref="A8:C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9.38"/>
    <col customWidth="1" min="3" max="3" width="13.25"/>
    <col customWidth="1" min="12" max="12" width="25.38"/>
    <col customWidth="1" min="13" max="13" width="25.13"/>
    <col customWidth="1" min="14" max="15" width="25.5"/>
    <col customWidth="1" min="16" max="16" width="25.25"/>
    <col customWidth="1" min="17" max="17" width="25.0"/>
    <col customWidth="1" min="18" max="18" width="25.38"/>
    <col customWidth="1" min="19" max="19" width="25.63"/>
    <col customWidth="1" min="20" max="20" width="25.5"/>
    <col customWidth="1" min="21" max="21" width="28.13"/>
    <col customWidth="1" min="22" max="22" width="33.63"/>
    <col customWidth="1" min="23" max="23" width="47.13"/>
  </cols>
  <sheetData>
    <row r="1">
      <c r="A1" s="30" t="s">
        <v>12</v>
      </c>
      <c r="B1" s="5"/>
      <c r="C1" s="5"/>
      <c r="D1" s="5"/>
      <c r="E1" s="5"/>
      <c r="F1" s="5"/>
      <c r="G1" s="5"/>
      <c r="H1" s="5"/>
      <c r="I1" s="5"/>
      <c r="J1" s="5"/>
      <c r="K1" s="5"/>
      <c r="L1" s="5"/>
      <c r="M1" s="5"/>
      <c r="N1" s="5"/>
      <c r="O1" s="5"/>
      <c r="P1" s="5"/>
      <c r="Q1" s="5"/>
      <c r="R1" s="5"/>
      <c r="S1" s="5"/>
      <c r="T1" s="5"/>
      <c r="U1" s="5"/>
      <c r="V1" s="5"/>
      <c r="W1" s="6"/>
    </row>
    <row r="2">
      <c r="A2" s="7"/>
      <c r="B2" s="8"/>
      <c r="C2" s="8"/>
      <c r="D2" s="8"/>
      <c r="E2" s="8"/>
      <c r="F2" s="8"/>
      <c r="G2" s="8"/>
      <c r="H2" s="8"/>
      <c r="I2" s="8"/>
      <c r="J2" s="8"/>
      <c r="K2" s="8"/>
      <c r="L2" s="8"/>
      <c r="M2" s="8"/>
      <c r="N2" s="8"/>
      <c r="O2" s="8"/>
      <c r="P2" s="8"/>
      <c r="Q2" s="8"/>
      <c r="R2" s="8"/>
      <c r="S2" s="8"/>
      <c r="T2" s="8"/>
      <c r="U2" s="8"/>
      <c r="V2" s="8"/>
      <c r="W2" s="9"/>
    </row>
    <row r="3">
      <c r="A3" s="31" t="s">
        <v>23</v>
      </c>
      <c r="B3" s="5"/>
      <c r="C3" s="5"/>
      <c r="D3" s="5"/>
      <c r="E3" s="5"/>
      <c r="F3" s="6"/>
      <c r="G3" s="32"/>
      <c r="H3" s="32"/>
      <c r="I3" s="32"/>
      <c r="J3" s="33"/>
      <c r="K3" s="33"/>
      <c r="L3" s="33"/>
      <c r="S3" s="33"/>
      <c r="T3" s="33"/>
      <c r="U3" s="34"/>
      <c r="V3" s="34"/>
      <c r="W3" s="34"/>
    </row>
    <row r="4" ht="14.25" customHeight="1">
      <c r="A4" s="7"/>
      <c r="B4" s="8"/>
      <c r="C4" s="8"/>
      <c r="D4" s="8"/>
      <c r="E4" s="8"/>
      <c r="F4" s="9"/>
      <c r="G4" s="32"/>
      <c r="H4" s="32"/>
      <c r="I4" s="32"/>
      <c r="J4" s="32"/>
      <c r="K4" s="32"/>
      <c r="L4" s="32"/>
      <c r="S4" s="33"/>
      <c r="T4" s="33"/>
      <c r="U4" s="34"/>
      <c r="V4" s="34"/>
      <c r="W4" s="34"/>
    </row>
    <row r="5" ht="21.75" customHeight="1">
      <c r="A5" s="11" t="s">
        <v>24</v>
      </c>
      <c r="B5" s="8"/>
      <c r="C5" s="8"/>
      <c r="D5" s="8"/>
      <c r="E5" s="8"/>
      <c r="F5" s="9"/>
      <c r="G5" s="32"/>
      <c r="H5" s="32"/>
      <c r="I5" s="32"/>
      <c r="J5" s="32"/>
      <c r="K5" s="32"/>
      <c r="L5" s="32"/>
      <c r="S5" s="33"/>
      <c r="T5" s="33"/>
      <c r="U5" s="34"/>
      <c r="V5" s="34"/>
      <c r="W5" s="34"/>
    </row>
    <row r="6" ht="21.0" customHeight="1">
      <c r="A6" s="11" t="s">
        <v>25</v>
      </c>
      <c r="B6" s="8"/>
      <c r="C6" s="8"/>
      <c r="D6" s="8"/>
      <c r="E6" s="8"/>
      <c r="F6" s="9"/>
      <c r="G6" s="32"/>
      <c r="H6" s="32"/>
      <c r="I6" s="32"/>
      <c r="J6" s="32"/>
      <c r="K6" s="32"/>
      <c r="L6" s="32"/>
      <c r="S6" s="33"/>
      <c r="T6" s="33"/>
      <c r="U6" s="34"/>
      <c r="V6" s="34"/>
      <c r="W6" s="34"/>
    </row>
    <row r="7" ht="30.0" customHeight="1">
      <c r="A7" s="11" t="s">
        <v>26</v>
      </c>
      <c r="B7" s="8"/>
      <c r="C7" s="8"/>
      <c r="D7" s="8"/>
      <c r="E7" s="8"/>
      <c r="F7" s="9"/>
      <c r="G7" s="32"/>
      <c r="H7" s="32"/>
      <c r="I7" s="32"/>
      <c r="J7" s="32"/>
      <c r="K7" s="32"/>
      <c r="L7" s="32"/>
      <c r="S7" s="33"/>
      <c r="T7" s="33"/>
      <c r="U7" s="34"/>
      <c r="V7" s="34"/>
      <c r="W7" s="34"/>
    </row>
    <row r="8" ht="31.5" customHeight="1">
      <c r="A8" s="11" t="s">
        <v>27</v>
      </c>
      <c r="B8" s="8"/>
      <c r="C8" s="8"/>
      <c r="D8" s="8"/>
      <c r="E8" s="8"/>
      <c r="F8" s="9"/>
      <c r="G8" s="32"/>
      <c r="H8" s="32"/>
      <c r="I8" s="32"/>
      <c r="J8" s="32"/>
      <c r="K8" s="32"/>
      <c r="L8" s="32"/>
      <c r="S8" s="33"/>
      <c r="T8" s="33"/>
      <c r="U8" s="34"/>
      <c r="V8" s="34"/>
      <c r="W8" s="34"/>
    </row>
    <row r="9" ht="68.25" customHeight="1">
      <c r="A9" s="35" t="s">
        <v>28</v>
      </c>
      <c r="B9" s="2"/>
      <c r="C9" s="2"/>
      <c r="D9" s="2"/>
      <c r="E9" s="2"/>
      <c r="F9" s="3"/>
      <c r="G9" s="32"/>
      <c r="H9" s="32"/>
      <c r="I9" s="32"/>
      <c r="J9" s="32"/>
      <c r="K9" s="32"/>
      <c r="L9" s="32"/>
      <c r="S9" s="33"/>
      <c r="T9" s="33"/>
      <c r="U9" s="34"/>
      <c r="V9" s="34"/>
      <c r="W9" s="34"/>
    </row>
    <row r="10" ht="93.75" customHeight="1">
      <c r="A10" s="31" t="s">
        <v>29</v>
      </c>
      <c r="B10" s="5"/>
      <c r="C10" s="5"/>
      <c r="D10" s="5"/>
      <c r="E10" s="5"/>
      <c r="F10" s="6"/>
      <c r="G10" s="32"/>
      <c r="H10" s="32"/>
      <c r="I10" s="32"/>
      <c r="J10" s="32"/>
      <c r="K10" s="32"/>
      <c r="L10" s="32"/>
      <c r="S10" s="34"/>
      <c r="T10" s="34"/>
      <c r="U10" s="34"/>
      <c r="V10" s="34"/>
      <c r="W10" s="34"/>
    </row>
    <row r="11" ht="17.25" customHeight="1">
      <c r="A11" s="36" t="s">
        <v>30</v>
      </c>
      <c r="F11" s="37"/>
      <c r="G11" s="32"/>
      <c r="H11" s="32"/>
      <c r="I11" s="32"/>
      <c r="J11" s="32"/>
      <c r="K11" s="32"/>
      <c r="L11" s="32"/>
      <c r="S11" s="34"/>
      <c r="T11" s="34"/>
      <c r="U11" s="34"/>
      <c r="V11" s="34"/>
      <c r="W11" s="34"/>
    </row>
    <row r="12" ht="20.25" customHeight="1">
      <c r="A12" s="36" t="s">
        <v>31</v>
      </c>
      <c r="F12" s="37"/>
      <c r="G12" s="32"/>
      <c r="H12" s="32"/>
      <c r="I12" s="32"/>
      <c r="J12" s="32"/>
      <c r="K12" s="32"/>
      <c r="L12" s="32"/>
      <c r="S12" s="34"/>
      <c r="T12" s="34"/>
      <c r="U12" s="34"/>
      <c r="V12" s="34"/>
      <c r="W12" s="34"/>
    </row>
    <row r="13" ht="29.25" customHeight="1">
      <c r="A13" s="38" t="s">
        <v>32</v>
      </c>
      <c r="F13" s="37"/>
      <c r="G13" s="32"/>
      <c r="H13" s="32"/>
      <c r="I13" s="32"/>
      <c r="J13" s="32"/>
      <c r="K13" s="32"/>
      <c r="L13" s="32"/>
      <c r="S13" s="34"/>
      <c r="T13" s="34"/>
      <c r="U13" s="34"/>
      <c r="V13" s="34"/>
      <c r="W13" s="34"/>
    </row>
    <row r="14" ht="26.25" customHeight="1">
      <c r="A14" s="39" t="s">
        <v>33</v>
      </c>
      <c r="F14" s="37"/>
      <c r="G14" s="32"/>
      <c r="H14" s="32"/>
      <c r="I14" s="32"/>
      <c r="J14" s="32"/>
      <c r="K14" s="32"/>
      <c r="L14" s="32"/>
      <c r="S14" s="34"/>
      <c r="T14" s="34"/>
      <c r="U14" s="34"/>
      <c r="V14" s="34"/>
      <c r="W14" s="34"/>
    </row>
    <row r="15" ht="24.75" customHeight="1">
      <c r="A15" s="36" t="s">
        <v>34</v>
      </c>
      <c r="F15" s="37"/>
      <c r="G15" s="32"/>
      <c r="H15" s="32"/>
      <c r="I15" s="32"/>
      <c r="J15" s="32"/>
      <c r="K15" s="32"/>
      <c r="L15" s="32"/>
      <c r="S15" s="34"/>
      <c r="T15" s="34"/>
      <c r="U15" s="34"/>
      <c r="V15" s="34"/>
      <c r="W15" s="34"/>
    </row>
    <row r="16" ht="24.75" customHeight="1">
      <c r="A16" s="36" t="s">
        <v>35</v>
      </c>
      <c r="F16" s="37"/>
      <c r="G16" s="32"/>
      <c r="H16" s="32"/>
      <c r="I16" s="32"/>
      <c r="J16" s="32"/>
      <c r="K16" s="32"/>
      <c r="L16" s="32"/>
      <c r="S16" s="34"/>
      <c r="T16" s="34"/>
      <c r="U16" s="34"/>
      <c r="V16" s="34"/>
      <c r="W16" s="34"/>
    </row>
    <row r="17" ht="24.75" customHeight="1">
      <c r="A17" s="40" t="s">
        <v>36</v>
      </c>
      <c r="B17" s="8"/>
      <c r="C17" s="8"/>
      <c r="D17" s="8"/>
      <c r="E17" s="8"/>
      <c r="F17" s="9"/>
      <c r="G17" s="32"/>
      <c r="H17" s="32"/>
      <c r="I17" s="32"/>
      <c r="J17" s="32"/>
      <c r="K17" s="32"/>
      <c r="L17" s="32"/>
      <c r="S17" s="34"/>
      <c r="T17" s="34"/>
      <c r="U17" s="34"/>
      <c r="V17" s="34"/>
      <c r="W17" s="34"/>
    </row>
    <row r="18" ht="18.75" customHeight="1">
      <c r="A18" s="41" t="s">
        <v>37</v>
      </c>
      <c r="B18" s="42"/>
      <c r="C18" s="42"/>
      <c r="D18" s="42"/>
      <c r="E18" s="42"/>
      <c r="F18" s="43"/>
      <c r="G18" s="32"/>
      <c r="H18" s="32"/>
      <c r="I18" s="32"/>
      <c r="J18" s="32"/>
      <c r="K18" s="32"/>
      <c r="L18" s="32"/>
      <c r="S18" s="34"/>
      <c r="T18" s="34"/>
      <c r="U18" s="34"/>
      <c r="V18" s="34"/>
      <c r="W18" s="34"/>
    </row>
    <row r="19">
      <c r="A19" s="44" t="s">
        <v>38</v>
      </c>
      <c r="B19" s="44" t="s">
        <v>39</v>
      </c>
      <c r="C19" s="44" t="s">
        <v>40</v>
      </c>
      <c r="D19" s="44" t="s">
        <v>41</v>
      </c>
      <c r="E19" s="44" t="s">
        <v>42</v>
      </c>
      <c r="F19" s="44" t="s">
        <v>43</v>
      </c>
      <c r="G19" s="45" t="s">
        <v>44</v>
      </c>
      <c r="H19" s="45" t="s">
        <v>45</v>
      </c>
      <c r="I19" s="45" t="s">
        <v>46</v>
      </c>
      <c r="J19" s="45" t="s">
        <v>47</v>
      </c>
      <c r="K19" s="45" t="s">
        <v>48</v>
      </c>
      <c r="L19" s="45" t="s">
        <v>49</v>
      </c>
      <c r="M19" s="45" t="s">
        <v>50</v>
      </c>
      <c r="N19" s="45" t="s">
        <v>51</v>
      </c>
      <c r="O19" s="45" t="s">
        <v>52</v>
      </c>
      <c r="P19" s="45" t="s">
        <v>53</v>
      </c>
      <c r="Q19" s="45" t="s">
        <v>54</v>
      </c>
      <c r="R19" s="45" t="s">
        <v>55</v>
      </c>
      <c r="S19" s="45" t="s">
        <v>56</v>
      </c>
      <c r="T19" s="45" t="s">
        <v>57</v>
      </c>
      <c r="U19" s="45" t="s">
        <v>58</v>
      </c>
      <c r="V19" s="45" t="s">
        <v>59</v>
      </c>
      <c r="W19" s="45" t="s">
        <v>60</v>
      </c>
    </row>
    <row r="20">
      <c r="A20" s="46" t="s">
        <v>61</v>
      </c>
      <c r="B20" s="46" t="s">
        <v>62</v>
      </c>
      <c r="C20" s="46" t="s">
        <v>63</v>
      </c>
      <c r="D20" s="46" t="s">
        <v>64</v>
      </c>
      <c r="E20" s="46" t="s">
        <v>65</v>
      </c>
      <c r="F20" s="47" t="s">
        <v>66</v>
      </c>
      <c r="G20" s="47" t="s">
        <v>67</v>
      </c>
      <c r="H20" s="47" t="s">
        <v>68</v>
      </c>
      <c r="I20" s="48" t="s">
        <v>69</v>
      </c>
      <c r="J20" s="2"/>
      <c r="K20" s="2"/>
      <c r="L20" s="3"/>
      <c r="M20" s="46" t="s">
        <v>70</v>
      </c>
      <c r="N20" s="46" t="s">
        <v>71</v>
      </c>
      <c r="O20" s="46" t="s">
        <v>72</v>
      </c>
      <c r="P20" s="46" t="s">
        <v>73</v>
      </c>
      <c r="Q20" s="46" t="s">
        <v>74</v>
      </c>
      <c r="R20" s="46" t="s">
        <v>75</v>
      </c>
      <c r="S20" s="46" t="s">
        <v>76</v>
      </c>
      <c r="T20" s="46" t="s">
        <v>77</v>
      </c>
      <c r="U20" s="46" t="s">
        <v>78</v>
      </c>
      <c r="V20" s="46" t="s">
        <v>79</v>
      </c>
      <c r="W20" s="46" t="s">
        <v>80</v>
      </c>
    </row>
    <row r="21">
      <c r="A21" s="49">
        <v>1.0</v>
      </c>
      <c r="B21" s="50" t="s">
        <v>81</v>
      </c>
      <c r="C21" s="49">
        <f>3820*2</f>
        <v>7640</v>
      </c>
      <c r="D21" s="51">
        <v>0.1102</v>
      </c>
      <c r="E21" s="51">
        <v>0.8898</v>
      </c>
      <c r="F21" s="52" t="s">
        <v>82</v>
      </c>
      <c r="G21" s="53">
        <v>1.0</v>
      </c>
      <c r="H21" s="53">
        <v>0.0</v>
      </c>
      <c r="I21" s="54" t="s">
        <v>83</v>
      </c>
      <c r="J21" s="2"/>
      <c r="K21" s="2"/>
      <c r="L21" s="3"/>
      <c r="M21" s="55" t="s">
        <v>84</v>
      </c>
      <c r="N21" s="56" t="s">
        <v>85</v>
      </c>
      <c r="O21" s="56" t="s">
        <v>86</v>
      </c>
      <c r="P21" s="56" t="s">
        <v>87</v>
      </c>
      <c r="Q21" s="56" t="s">
        <v>87</v>
      </c>
      <c r="R21" s="56" t="s">
        <v>87</v>
      </c>
      <c r="S21" s="57" t="s">
        <v>88</v>
      </c>
      <c r="T21" s="58" t="s">
        <v>89</v>
      </c>
      <c r="U21" s="59"/>
      <c r="V21" s="59"/>
      <c r="W21" s="60" t="s">
        <v>90</v>
      </c>
    </row>
    <row r="22">
      <c r="A22" s="61">
        <v>2.0</v>
      </c>
      <c r="B22" s="62" t="s">
        <v>91</v>
      </c>
      <c r="C22" s="61">
        <f>421*2</f>
        <v>842</v>
      </c>
      <c r="D22" s="63">
        <f t="shared" ref="D22:D27" si="1">C22/C21</f>
        <v>0.1102094241</v>
      </c>
      <c r="E22" s="63">
        <f t="shared" ref="E22:E27" si="2">100%-D22</f>
        <v>0.8897905759</v>
      </c>
      <c r="F22" s="63">
        <f t="shared" ref="F22:F27" si="3">($C$22-C22)/$C$22</f>
        <v>0</v>
      </c>
      <c r="G22" s="64">
        <v>3.0</v>
      </c>
      <c r="H22" s="64">
        <v>2.0</v>
      </c>
      <c r="I22" s="65" t="s">
        <v>92</v>
      </c>
      <c r="J22" s="2"/>
      <c r="K22" s="2"/>
      <c r="L22" s="3"/>
      <c r="M22" s="66" t="s">
        <v>93</v>
      </c>
      <c r="N22" s="67" t="s">
        <v>94</v>
      </c>
      <c r="O22" s="67" t="s">
        <v>95</v>
      </c>
      <c r="P22" s="67" t="s">
        <v>87</v>
      </c>
      <c r="Q22" s="67" t="s">
        <v>87</v>
      </c>
      <c r="R22" s="67" t="s">
        <v>87</v>
      </c>
      <c r="S22" s="68" t="s">
        <v>88</v>
      </c>
      <c r="T22" s="69" t="s">
        <v>89</v>
      </c>
      <c r="U22" s="70" t="s">
        <v>96</v>
      </c>
      <c r="V22" s="69" t="s">
        <v>97</v>
      </c>
      <c r="W22" s="71" t="s">
        <v>98</v>
      </c>
    </row>
    <row r="23">
      <c r="A23" s="61">
        <v>3.0</v>
      </c>
      <c r="B23" s="62" t="s">
        <v>99</v>
      </c>
      <c r="C23" s="61">
        <f>394*2</f>
        <v>788</v>
      </c>
      <c r="D23" s="63">
        <f t="shared" si="1"/>
        <v>0.9358669834</v>
      </c>
      <c r="E23" s="63">
        <f t="shared" si="2"/>
        <v>0.06413301663</v>
      </c>
      <c r="F23" s="63">
        <f t="shared" si="3"/>
        <v>0.06413301663</v>
      </c>
      <c r="G23" s="64">
        <v>1.0</v>
      </c>
      <c r="H23" s="64">
        <v>0.0</v>
      </c>
      <c r="I23" s="72" t="s">
        <v>100</v>
      </c>
      <c r="J23" s="2"/>
      <c r="K23" s="2"/>
      <c r="L23" s="3"/>
      <c r="M23" s="66" t="s">
        <v>101</v>
      </c>
      <c r="N23" s="67" t="s">
        <v>102</v>
      </c>
      <c r="O23" s="67" t="s">
        <v>103</v>
      </c>
      <c r="P23" s="67" t="s">
        <v>87</v>
      </c>
      <c r="Q23" s="67" t="s">
        <v>104</v>
      </c>
      <c r="R23" s="67" t="s">
        <v>104</v>
      </c>
      <c r="S23" s="68" t="s">
        <v>105</v>
      </c>
      <c r="T23" s="69" t="s">
        <v>106</v>
      </c>
      <c r="U23" s="69" t="s">
        <v>107</v>
      </c>
      <c r="V23" s="70" t="s">
        <v>108</v>
      </c>
      <c r="W23" s="71" t="s">
        <v>109</v>
      </c>
    </row>
    <row r="24">
      <c r="A24" s="61">
        <v>4.0</v>
      </c>
      <c r="B24" s="62" t="s">
        <v>110</v>
      </c>
      <c r="C24" s="61">
        <f>383*2</f>
        <v>766</v>
      </c>
      <c r="D24" s="63">
        <f t="shared" si="1"/>
        <v>0.9720812183</v>
      </c>
      <c r="E24" s="63">
        <f t="shared" si="2"/>
        <v>0.02791878173</v>
      </c>
      <c r="F24" s="63">
        <f t="shared" si="3"/>
        <v>0.09026128266</v>
      </c>
      <c r="G24" s="73">
        <v>1.0</v>
      </c>
      <c r="H24" s="64">
        <v>0.0</v>
      </c>
      <c r="I24" s="72" t="s">
        <v>111</v>
      </c>
      <c r="J24" s="2"/>
      <c r="K24" s="2"/>
      <c r="L24" s="3"/>
      <c r="M24" s="74" t="s">
        <v>112</v>
      </c>
      <c r="N24" s="75" t="s">
        <v>113</v>
      </c>
      <c r="O24" s="75" t="s">
        <v>114</v>
      </c>
      <c r="P24" s="67" t="s">
        <v>87</v>
      </c>
      <c r="Q24" s="75" t="s">
        <v>104</v>
      </c>
      <c r="R24" s="75" t="s">
        <v>87</v>
      </c>
      <c r="S24" s="68" t="s">
        <v>88</v>
      </c>
      <c r="T24" s="69" t="s">
        <v>89</v>
      </c>
      <c r="U24" s="69" t="s">
        <v>96</v>
      </c>
      <c r="V24" s="70" t="s">
        <v>96</v>
      </c>
      <c r="W24" s="71" t="s">
        <v>96</v>
      </c>
    </row>
    <row r="25">
      <c r="A25" s="61">
        <v>5.0</v>
      </c>
      <c r="B25" s="62" t="s">
        <v>115</v>
      </c>
      <c r="C25" s="61">
        <f>371*2</f>
        <v>742</v>
      </c>
      <c r="D25" s="63">
        <f t="shared" si="1"/>
        <v>0.9686684073</v>
      </c>
      <c r="E25" s="63">
        <f t="shared" si="2"/>
        <v>0.03133159269</v>
      </c>
      <c r="F25" s="63">
        <f t="shared" si="3"/>
        <v>0.1187648456</v>
      </c>
      <c r="G25" s="76">
        <v>3.0</v>
      </c>
      <c r="H25" s="64">
        <v>2.0</v>
      </c>
      <c r="I25" s="72" t="s">
        <v>116</v>
      </c>
      <c r="J25" s="2"/>
      <c r="K25" s="2"/>
      <c r="L25" s="3"/>
      <c r="M25" s="74" t="s">
        <v>117</v>
      </c>
      <c r="N25" s="75" t="s">
        <v>118</v>
      </c>
      <c r="O25" s="75" t="s">
        <v>119</v>
      </c>
      <c r="P25" s="67" t="s">
        <v>87</v>
      </c>
      <c r="Q25" s="75" t="s">
        <v>120</v>
      </c>
      <c r="R25" s="75" t="s">
        <v>87</v>
      </c>
      <c r="S25" s="68" t="s">
        <v>88</v>
      </c>
      <c r="T25" s="70" t="s">
        <v>89</v>
      </c>
      <c r="U25" s="70" t="s">
        <v>121</v>
      </c>
      <c r="V25" s="69" t="s">
        <v>122</v>
      </c>
      <c r="W25" s="71" t="s">
        <v>96</v>
      </c>
    </row>
    <row r="26">
      <c r="A26" s="61">
        <v>6.0</v>
      </c>
      <c r="B26" s="62" t="s">
        <v>123</v>
      </c>
      <c r="C26" s="61">
        <f>367*2</f>
        <v>734</v>
      </c>
      <c r="D26" s="63">
        <f t="shared" si="1"/>
        <v>0.9892183288</v>
      </c>
      <c r="E26" s="63">
        <f t="shared" si="2"/>
        <v>0.01078167116</v>
      </c>
      <c r="F26" s="63">
        <f t="shared" si="3"/>
        <v>0.1282660333</v>
      </c>
      <c r="G26" s="64">
        <v>3.0</v>
      </c>
      <c r="H26" s="64">
        <v>2.0</v>
      </c>
      <c r="I26" s="72" t="s">
        <v>124</v>
      </c>
      <c r="J26" s="2"/>
      <c r="K26" s="2"/>
      <c r="L26" s="3"/>
      <c r="M26" s="74" t="s">
        <v>117</v>
      </c>
      <c r="N26" s="75" t="s">
        <v>125</v>
      </c>
      <c r="O26" s="75" t="s">
        <v>126</v>
      </c>
      <c r="P26" s="75" t="s">
        <v>127</v>
      </c>
      <c r="Q26" s="75" t="s">
        <v>104</v>
      </c>
      <c r="R26" s="75" t="s">
        <v>104</v>
      </c>
      <c r="S26" s="68" t="s">
        <v>105</v>
      </c>
      <c r="T26" s="70" t="s">
        <v>128</v>
      </c>
      <c r="U26" s="70" t="s">
        <v>129</v>
      </c>
      <c r="V26" s="69" t="s">
        <v>130</v>
      </c>
      <c r="W26" s="77" t="s">
        <v>131</v>
      </c>
    </row>
    <row r="27">
      <c r="A27" s="61">
        <v>7.0</v>
      </c>
      <c r="B27" s="62" t="s">
        <v>132</v>
      </c>
      <c r="C27" s="61">
        <f>317*2</f>
        <v>634</v>
      </c>
      <c r="D27" s="63">
        <f t="shared" si="1"/>
        <v>0.863760218</v>
      </c>
      <c r="E27" s="63">
        <f t="shared" si="2"/>
        <v>0.136239782</v>
      </c>
      <c r="F27" s="63">
        <f t="shared" si="3"/>
        <v>0.2470308789</v>
      </c>
      <c r="G27" s="64">
        <v>4.0</v>
      </c>
      <c r="H27" s="64">
        <v>3.0</v>
      </c>
      <c r="I27" s="72" t="s">
        <v>133</v>
      </c>
      <c r="J27" s="2"/>
      <c r="K27" s="2"/>
      <c r="L27" s="3"/>
      <c r="M27" s="74" t="s">
        <v>134</v>
      </c>
      <c r="N27" s="75" t="s">
        <v>135</v>
      </c>
      <c r="O27" s="75" t="s">
        <v>136</v>
      </c>
      <c r="P27" s="75" t="s">
        <v>87</v>
      </c>
      <c r="Q27" s="75" t="s">
        <v>137</v>
      </c>
      <c r="R27" s="75" t="s">
        <v>138</v>
      </c>
      <c r="S27" s="68" t="s">
        <v>139</v>
      </c>
      <c r="T27" s="70" t="s">
        <v>96</v>
      </c>
      <c r="U27" s="70" t="s">
        <v>96</v>
      </c>
      <c r="V27" s="69" t="s">
        <v>140</v>
      </c>
      <c r="W27" s="71" t="s">
        <v>141</v>
      </c>
    </row>
    <row r="28">
      <c r="A28" s="61">
        <v>8.0</v>
      </c>
      <c r="B28" s="62" t="s">
        <v>142</v>
      </c>
      <c r="C28" s="61">
        <f>307*2</f>
        <v>614</v>
      </c>
      <c r="D28" s="78" t="s">
        <v>143</v>
      </c>
      <c r="E28" s="2"/>
      <c r="F28" s="2"/>
      <c r="G28" s="2"/>
      <c r="H28" s="2"/>
      <c r="I28" s="2"/>
      <c r="J28" s="2"/>
      <c r="K28" s="2"/>
      <c r="L28" s="2"/>
      <c r="M28" s="79"/>
      <c r="N28" s="79"/>
      <c r="O28" s="79"/>
      <c r="P28" s="79"/>
      <c r="Q28" s="79"/>
      <c r="R28" s="79"/>
      <c r="S28" s="79"/>
      <c r="T28" s="79"/>
      <c r="U28" s="80"/>
      <c r="V28" s="81"/>
      <c r="W28" s="82"/>
    </row>
    <row r="29">
      <c r="A29" s="61">
        <v>9.0</v>
      </c>
      <c r="B29" s="62" t="s">
        <v>144</v>
      </c>
      <c r="C29" s="61">
        <f>283*2</f>
        <v>566</v>
      </c>
      <c r="D29" s="83">
        <f>C30/C29</f>
        <v>1</v>
      </c>
      <c r="E29" s="84">
        <f>1-D29</f>
        <v>0</v>
      </c>
      <c r="F29" s="63">
        <v>0.24703087885985747</v>
      </c>
      <c r="G29" s="64">
        <v>4.0</v>
      </c>
      <c r="H29" s="64">
        <v>3.0</v>
      </c>
      <c r="I29" s="72" t="s">
        <v>145</v>
      </c>
      <c r="J29" s="2"/>
      <c r="K29" s="2"/>
      <c r="L29" s="3"/>
      <c r="M29" s="74" t="s">
        <v>146</v>
      </c>
      <c r="N29" s="75" t="s">
        <v>147</v>
      </c>
      <c r="O29" s="75" t="s">
        <v>148</v>
      </c>
      <c r="P29" s="75" t="s">
        <v>87</v>
      </c>
      <c r="Q29" s="75" t="s">
        <v>87</v>
      </c>
      <c r="R29" s="75" t="s">
        <v>87</v>
      </c>
      <c r="S29" s="69" t="s">
        <v>88</v>
      </c>
      <c r="T29" s="69" t="s">
        <v>96</v>
      </c>
      <c r="U29" s="69" t="s">
        <v>96</v>
      </c>
      <c r="V29" s="69" t="s">
        <v>149</v>
      </c>
      <c r="W29" s="69" t="s">
        <v>96</v>
      </c>
    </row>
    <row r="30">
      <c r="A30" s="85">
        <v>10.0</v>
      </c>
      <c r="B30" s="86" t="s">
        <v>150</v>
      </c>
      <c r="C30" s="87">
        <f>C29</f>
        <v>566</v>
      </c>
      <c r="D30" s="34"/>
      <c r="E30" s="88"/>
      <c r="F30" s="89"/>
      <c r="G30" s="90"/>
      <c r="H30" s="90"/>
      <c r="I30" s="34"/>
      <c r="J30" s="34"/>
      <c r="K30" s="34"/>
      <c r="L30" s="34"/>
      <c r="M30" s="34"/>
      <c r="N30" s="34"/>
      <c r="O30" s="34"/>
      <c r="P30" s="34"/>
      <c r="Q30" s="34"/>
      <c r="R30" s="34"/>
      <c r="S30" s="34"/>
      <c r="T30" s="34"/>
      <c r="U30" s="34"/>
      <c r="V30" s="34"/>
      <c r="W30" s="34"/>
    </row>
    <row r="31">
      <c r="A31" s="34"/>
      <c r="B31" s="34"/>
      <c r="C31" s="34"/>
      <c r="D31" s="34"/>
      <c r="E31" s="91"/>
      <c r="F31" s="86" t="s">
        <v>151</v>
      </c>
      <c r="G31" s="86" t="s">
        <v>152</v>
      </c>
      <c r="H31" s="86" t="s">
        <v>152</v>
      </c>
      <c r="I31" s="34"/>
      <c r="J31" s="34"/>
      <c r="K31" s="34"/>
      <c r="L31" s="34"/>
      <c r="M31" s="34"/>
      <c r="N31" s="34"/>
      <c r="O31" s="34"/>
      <c r="P31" s="34"/>
      <c r="Q31" s="34"/>
      <c r="R31" s="34"/>
      <c r="S31" s="34"/>
      <c r="T31" s="34"/>
      <c r="U31" s="34"/>
      <c r="V31" s="34"/>
      <c r="W31" s="34"/>
    </row>
    <row r="32">
      <c r="A32" s="34"/>
      <c r="B32" s="34"/>
      <c r="C32" s="34"/>
      <c r="D32" s="34"/>
      <c r="E32" s="91"/>
      <c r="F32" s="92">
        <f>AVERAGE(E22:E27)</f>
        <v>0.1933659034</v>
      </c>
      <c r="G32" s="93">
        <f t="shared" ref="G32:H32" si="4">SUM(G21:G27,G29)</f>
        <v>20</v>
      </c>
      <c r="H32" s="93">
        <f t="shared" si="4"/>
        <v>12</v>
      </c>
      <c r="I32" s="34"/>
      <c r="J32" s="34"/>
      <c r="K32" s="34"/>
      <c r="L32" s="34"/>
      <c r="M32" s="34"/>
      <c r="N32" s="34"/>
      <c r="O32" s="34"/>
      <c r="P32" s="34"/>
      <c r="Q32" s="34"/>
      <c r="R32" s="34"/>
      <c r="S32" s="34"/>
      <c r="T32" s="34"/>
      <c r="U32" s="34"/>
      <c r="V32" s="34"/>
      <c r="W32" s="34"/>
    </row>
    <row r="33">
      <c r="A33" s="34"/>
      <c r="B33" s="34"/>
      <c r="C33" s="34"/>
      <c r="D33" s="34"/>
      <c r="E33" s="34"/>
      <c r="F33" s="34"/>
      <c r="G33" s="34"/>
      <c r="H33" s="34"/>
      <c r="I33" s="34"/>
      <c r="J33" s="34"/>
      <c r="K33" s="34"/>
      <c r="L33" s="34"/>
      <c r="M33" s="34"/>
      <c r="N33" s="34"/>
      <c r="O33" s="34"/>
      <c r="P33" s="34"/>
      <c r="Q33" s="34"/>
      <c r="R33" s="34"/>
      <c r="S33" s="34"/>
      <c r="T33" s="34"/>
      <c r="U33" s="34"/>
      <c r="V33" s="34"/>
      <c r="W33" s="34"/>
    </row>
  </sheetData>
  <mergeCells count="25">
    <mergeCell ref="A1:W2"/>
    <mergeCell ref="A3:F4"/>
    <mergeCell ref="A5:F5"/>
    <mergeCell ref="A6:F6"/>
    <mergeCell ref="A7:F7"/>
    <mergeCell ref="A8:F8"/>
    <mergeCell ref="A9:F9"/>
    <mergeCell ref="A10:F10"/>
    <mergeCell ref="A11:F11"/>
    <mergeCell ref="A12:F12"/>
    <mergeCell ref="A13:F13"/>
    <mergeCell ref="A14:F14"/>
    <mergeCell ref="A15:F15"/>
    <mergeCell ref="A16:F16"/>
    <mergeCell ref="I26:L26"/>
    <mergeCell ref="I27:L27"/>
    <mergeCell ref="D28:L28"/>
    <mergeCell ref="I29:L29"/>
    <mergeCell ref="A17:F17"/>
    <mergeCell ref="I20:L20"/>
    <mergeCell ref="I21:L21"/>
    <mergeCell ref="I22:L22"/>
    <mergeCell ref="I23:L23"/>
    <mergeCell ref="I24:L24"/>
    <mergeCell ref="I25:L25"/>
  </mergeCells>
  <hyperlinks>
    <hyperlink r:id="rId1" ref="W2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51.75"/>
    <col customWidth="1" min="3" max="3" width="19.0"/>
    <col customWidth="1" min="4" max="4" width="39.0"/>
    <col customWidth="1" min="5" max="5" width="38.25"/>
    <col customWidth="1" min="6" max="6" width="39.0"/>
    <col customWidth="1" min="7" max="7" width="37.88"/>
    <col customWidth="1" min="8" max="8" width="38.38"/>
    <col customWidth="1" min="9" max="9" width="25.75"/>
    <col customWidth="1" min="10" max="10" width="20.13"/>
    <col customWidth="1" min="11" max="11" width="24.88"/>
    <col customWidth="1" min="12" max="12" width="25.0"/>
    <col customWidth="1" min="13" max="13" width="14.13"/>
  </cols>
  <sheetData>
    <row r="1">
      <c r="A1" s="30" t="s">
        <v>12</v>
      </c>
      <c r="B1" s="5"/>
      <c r="C1" s="5"/>
      <c r="D1" s="5"/>
      <c r="E1" s="5"/>
      <c r="F1" s="5"/>
      <c r="G1" s="5"/>
      <c r="H1" s="5"/>
      <c r="I1" s="5"/>
      <c r="J1" s="5"/>
      <c r="K1" s="5"/>
      <c r="L1" s="5"/>
      <c r="M1" s="5"/>
      <c r="N1" s="5"/>
      <c r="O1" s="5"/>
      <c r="P1" s="6"/>
    </row>
    <row r="2">
      <c r="A2" s="7"/>
      <c r="B2" s="8"/>
      <c r="C2" s="8"/>
      <c r="D2" s="8"/>
      <c r="E2" s="8"/>
      <c r="F2" s="8"/>
      <c r="G2" s="8"/>
      <c r="H2" s="8"/>
      <c r="I2" s="8"/>
      <c r="J2" s="8"/>
      <c r="K2" s="8"/>
      <c r="L2" s="8"/>
      <c r="M2" s="8"/>
      <c r="N2" s="8"/>
      <c r="O2" s="8"/>
      <c r="P2" s="9"/>
    </row>
    <row r="3">
      <c r="A3" s="31" t="s">
        <v>153</v>
      </c>
      <c r="B3" s="5"/>
      <c r="C3" s="5"/>
      <c r="D3" s="5"/>
      <c r="E3" s="5"/>
      <c r="F3" s="6"/>
      <c r="K3" s="33"/>
      <c r="L3" s="33"/>
      <c r="M3" s="34"/>
      <c r="N3" s="34"/>
      <c r="O3" s="34"/>
      <c r="P3" s="34"/>
    </row>
    <row r="4">
      <c r="A4" s="31" t="s">
        <v>154</v>
      </c>
      <c r="B4" s="5"/>
      <c r="C4" s="5"/>
      <c r="D4" s="5"/>
      <c r="E4" s="5"/>
      <c r="F4" s="6"/>
      <c r="K4" s="33"/>
      <c r="L4" s="33"/>
      <c r="M4" s="32"/>
      <c r="N4" s="34"/>
      <c r="O4" s="34"/>
      <c r="P4" s="34"/>
    </row>
    <row r="5">
      <c r="A5" s="94" t="s">
        <v>155</v>
      </c>
      <c r="B5" s="5"/>
      <c r="C5" s="5"/>
      <c r="D5" s="5"/>
      <c r="E5" s="5"/>
      <c r="F5" s="6"/>
      <c r="K5" s="34"/>
      <c r="L5" s="34"/>
      <c r="M5" s="34"/>
      <c r="N5" s="34"/>
      <c r="O5" s="34"/>
      <c r="P5" s="34"/>
    </row>
    <row r="6" ht="15.0" customHeight="1">
      <c r="A6" s="95" t="s">
        <v>156</v>
      </c>
      <c r="F6" s="37"/>
      <c r="K6" s="34"/>
      <c r="L6" s="34"/>
      <c r="M6" s="34"/>
      <c r="N6" s="34"/>
      <c r="O6" s="34"/>
      <c r="P6" s="34"/>
    </row>
    <row r="7" ht="15.0" customHeight="1">
      <c r="A7" s="95" t="s">
        <v>157</v>
      </c>
      <c r="F7" s="37"/>
      <c r="K7" s="34"/>
      <c r="L7" s="34"/>
      <c r="M7" s="34"/>
      <c r="N7" s="34"/>
      <c r="O7" s="34"/>
      <c r="P7" s="34"/>
    </row>
    <row r="8" ht="15.0" customHeight="1">
      <c r="A8" s="95" t="s">
        <v>158</v>
      </c>
      <c r="F8" s="37"/>
      <c r="K8" s="34"/>
      <c r="L8" s="34"/>
      <c r="M8" s="34"/>
      <c r="N8" s="34"/>
      <c r="O8" s="34"/>
      <c r="P8" s="34"/>
    </row>
    <row r="9" ht="15.0" customHeight="1">
      <c r="A9" s="95" t="s">
        <v>159</v>
      </c>
      <c r="F9" s="37"/>
      <c r="K9" s="34"/>
      <c r="L9" s="34"/>
      <c r="M9" s="34"/>
      <c r="N9" s="34"/>
      <c r="O9" s="34"/>
      <c r="P9" s="34"/>
    </row>
    <row r="10" ht="15.0" customHeight="1">
      <c r="A10" s="95" t="s">
        <v>160</v>
      </c>
      <c r="F10" s="37"/>
      <c r="K10" s="34"/>
      <c r="L10" s="34"/>
      <c r="M10" s="34"/>
      <c r="N10" s="34"/>
      <c r="O10" s="34"/>
      <c r="P10" s="34"/>
    </row>
    <row r="11" ht="15.0" customHeight="1">
      <c r="A11" s="95" t="s">
        <v>161</v>
      </c>
      <c r="F11" s="37"/>
      <c r="K11" s="34"/>
      <c r="L11" s="34"/>
      <c r="M11" s="34"/>
      <c r="N11" s="34"/>
      <c r="O11" s="34"/>
      <c r="P11" s="34"/>
    </row>
    <row r="12" ht="15.0" customHeight="1">
      <c r="A12" s="95" t="s">
        <v>162</v>
      </c>
      <c r="F12" s="37"/>
      <c r="K12" s="34"/>
      <c r="L12" s="34"/>
      <c r="M12" s="34"/>
      <c r="N12" s="34"/>
      <c r="O12" s="34"/>
      <c r="P12" s="34"/>
    </row>
    <row r="13" ht="15.0" customHeight="1">
      <c r="A13" s="95" t="s">
        <v>163</v>
      </c>
      <c r="F13" s="37"/>
      <c r="K13" s="34"/>
      <c r="L13" s="34"/>
      <c r="M13" s="34"/>
      <c r="N13" s="34"/>
      <c r="O13" s="34"/>
      <c r="P13" s="34"/>
    </row>
    <row r="14" ht="15.0" customHeight="1">
      <c r="A14" s="95" t="s">
        <v>164</v>
      </c>
      <c r="F14" s="37"/>
      <c r="K14" s="34"/>
      <c r="L14" s="34"/>
      <c r="M14" s="34"/>
      <c r="N14" s="34"/>
      <c r="O14" s="34"/>
      <c r="P14" s="34"/>
    </row>
    <row r="15" ht="15.0" customHeight="1">
      <c r="A15" s="96" t="s">
        <v>165</v>
      </c>
      <c r="B15" s="97"/>
      <c r="C15" s="97"/>
      <c r="D15" s="97"/>
      <c r="E15" s="97"/>
      <c r="F15" s="98"/>
      <c r="K15" s="34"/>
      <c r="L15" s="34"/>
      <c r="M15" s="34"/>
      <c r="N15" s="34"/>
      <c r="O15" s="34"/>
      <c r="P15" s="34"/>
    </row>
    <row r="16" ht="15.0" customHeight="1">
      <c r="A16" s="41" t="s">
        <v>37</v>
      </c>
      <c r="B16" s="42"/>
      <c r="C16" s="42"/>
      <c r="D16" s="42"/>
      <c r="E16" s="42"/>
      <c r="F16" s="43"/>
      <c r="K16" s="34"/>
      <c r="L16" s="34"/>
      <c r="M16" s="34"/>
      <c r="N16" s="34"/>
      <c r="O16" s="34"/>
      <c r="P16" s="34"/>
    </row>
    <row r="17" ht="15.0" customHeight="1">
      <c r="A17" s="26" t="s">
        <v>38</v>
      </c>
      <c r="B17" s="26" t="s">
        <v>166</v>
      </c>
      <c r="C17" s="26" t="s">
        <v>167</v>
      </c>
      <c r="D17" s="26" t="s">
        <v>41</v>
      </c>
      <c r="E17" s="99" t="s">
        <v>42</v>
      </c>
      <c r="F17" s="99" t="s">
        <v>43</v>
      </c>
      <c r="G17" s="99" t="s">
        <v>44</v>
      </c>
      <c r="H17" s="99" t="s">
        <v>45</v>
      </c>
      <c r="I17" s="99" t="s">
        <v>46</v>
      </c>
      <c r="J17" s="99" t="s">
        <v>47</v>
      </c>
      <c r="K17" s="26" t="s">
        <v>48</v>
      </c>
      <c r="L17" s="26" t="s">
        <v>49</v>
      </c>
      <c r="M17" s="26" t="s">
        <v>50</v>
      </c>
      <c r="N17" s="26" t="s">
        <v>51</v>
      </c>
      <c r="O17" s="26" t="s">
        <v>52</v>
      </c>
      <c r="P17" s="26" t="s">
        <v>53</v>
      </c>
    </row>
    <row r="18">
      <c r="A18" s="100"/>
      <c r="B18" s="101" t="s">
        <v>168</v>
      </c>
      <c r="C18" s="102" t="s">
        <v>169</v>
      </c>
      <c r="D18" s="101" t="s">
        <v>170</v>
      </c>
      <c r="E18" s="101" t="s">
        <v>171</v>
      </c>
      <c r="F18" s="101" t="s">
        <v>172</v>
      </c>
      <c r="G18" s="102" t="s">
        <v>173</v>
      </c>
      <c r="H18" s="101" t="s">
        <v>174</v>
      </c>
      <c r="I18" s="101" t="s">
        <v>175</v>
      </c>
      <c r="J18" s="101" t="s">
        <v>176</v>
      </c>
      <c r="K18" s="101" t="s">
        <v>177</v>
      </c>
      <c r="L18" s="101" t="s">
        <v>178</v>
      </c>
      <c r="M18" s="102" t="s">
        <v>179</v>
      </c>
      <c r="N18" s="101" t="s">
        <v>180</v>
      </c>
      <c r="O18" s="101" t="s">
        <v>181</v>
      </c>
      <c r="P18" s="101" t="s">
        <v>182</v>
      </c>
    </row>
    <row r="19">
      <c r="A19" s="103">
        <v>1.0</v>
      </c>
      <c r="B19" s="104" t="s">
        <v>183</v>
      </c>
      <c r="C19" s="104" t="s">
        <v>184</v>
      </c>
      <c r="D19" s="104" t="s">
        <v>185</v>
      </c>
      <c r="E19" s="104" t="s">
        <v>186</v>
      </c>
      <c r="F19" s="105" t="s">
        <v>187</v>
      </c>
      <c r="G19" s="104" t="s">
        <v>188</v>
      </c>
      <c r="H19" s="104" t="s">
        <v>189</v>
      </c>
      <c r="I19" s="104" t="s">
        <v>190</v>
      </c>
      <c r="J19" s="104" t="s">
        <v>191</v>
      </c>
      <c r="K19" s="106">
        <v>0.2</v>
      </c>
      <c r="L19" s="105" t="s">
        <v>192</v>
      </c>
      <c r="M19" s="107">
        <v>9.0</v>
      </c>
      <c r="N19" s="107">
        <v>9.0</v>
      </c>
      <c r="O19" s="107">
        <v>10.0</v>
      </c>
      <c r="P19" s="108">
        <f t="shared" ref="P19:P23" si="1">average(M19:O19)</f>
        <v>9.333333333</v>
      </c>
    </row>
    <row r="20">
      <c r="A20" s="109">
        <v>2.0</v>
      </c>
      <c r="B20" s="71" t="s">
        <v>98</v>
      </c>
      <c r="C20" s="110" t="s">
        <v>193</v>
      </c>
      <c r="D20" s="110" t="s">
        <v>194</v>
      </c>
      <c r="E20" s="110" t="s">
        <v>195</v>
      </c>
      <c r="F20" s="110" t="s">
        <v>196</v>
      </c>
      <c r="G20" s="110" t="s">
        <v>197</v>
      </c>
      <c r="H20" s="110" t="s">
        <v>198</v>
      </c>
      <c r="I20" s="110" t="s">
        <v>199</v>
      </c>
      <c r="J20" s="110" t="s">
        <v>191</v>
      </c>
      <c r="K20" s="111">
        <v>0.2</v>
      </c>
      <c r="L20" s="110" t="s">
        <v>200</v>
      </c>
      <c r="M20" s="112">
        <v>9.0</v>
      </c>
      <c r="N20" s="112">
        <v>9.0</v>
      </c>
      <c r="O20" s="112">
        <v>9.0</v>
      </c>
      <c r="P20" s="112">
        <f t="shared" si="1"/>
        <v>9</v>
      </c>
    </row>
    <row r="21">
      <c r="A21" s="109">
        <v>3.0</v>
      </c>
      <c r="B21" s="71" t="s">
        <v>201</v>
      </c>
      <c r="C21" s="110" t="s">
        <v>202</v>
      </c>
      <c r="D21" s="110" t="s">
        <v>203</v>
      </c>
      <c r="E21" s="110" t="s">
        <v>204</v>
      </c>
      <c r="F21" s="110" t="s">
        <v>205</v>
      </c>
      <c r="G21" s="110" t="s">
        <v>206</v>
      </c>
      <c r="H21" s="110" t="s">
        <v>207</v>
      </c>
      <c r="I21" s="110" t="s">
        <v>208</v>
      </c>
      <c r="J21" s="110" t="s">
        <v>191</v>
      </c>
      <c r="K21" s="111">
        <v>0.2</v>
      </c>
      <c r="L21" s="110" t="s">
        <v>209</v>
      </c>
      <c r="M21" s="112">
        <v>9.0</v>
      </c>
      <c r="N21" s="112">
        <v>5.0</v>
      </c>
      <c r="O21" s="112">
        <v>10.0</v>
      </c>
      <c r="P21" s="112">
        <f t="shared" si="1"/>
        <v>8</v>
      </c>
    </row>
    <row r="22">
      <c r="A22" s="109">
        <v>4.0</v>
      </c>
      <c r="B22" s="77" t="s">
        <v>210</v>
      </c>
      <c r="C22" s="110" t="s">
        <v>211</v>
      </c>
      <c r="D22" s="110" t="s">
        <v>212</v>
      </c>
      <c r="E22" s="110" t="s">
        <v>213</v>
      </c>
      <c r="F22" s="110" t="s">
        <v>214</v>
      </c>
      <c r="G22" s="110" t="s">
        <v>215</v>
      </c>
      <c r="H22" s="110" t="s">
        <v>216</v>
      </c>
      <c r="I22" s="110" t="s">
        <v>217</v>
      </c>
      <c r="J22" s="110" t="s">
        <v>218</v>
      </c>
      <c r="K22" s="112" t="s">
        <v>219</v>
      </c>
      <c r="L22" s="110" t="s">
        <v>220</v>
      </c>
      <c r="M22" s="112">
        <v>6.0</v>
      </c>
      <c r="N22" s="112">
        <v>10.0</v>
      </c>
      <c r="O22" s="112">
        <v>10.0</v>
      </c>
      <c r="P22" s="113">
        <f t="shared" si="1"/>
        <v>8.666666667</v>
      </c>
    </row>
    <row r="23">
      <c r="A23" s="109">
        <v>5.0</v>
      </c>
      <c r="B23" s="71" t="s">
        <v>221</v>
      </c>
      <c r="C23" s="110" t="s">
        <v>222</v>
      </c>
      <c r="D23" s="110" t="s">
        <v>223</v>
      </c>
      <c r="E23" s="110" t="s">
        <v>224</v>
      </c>
      <c r="F23" s="110" t="s">
        <v>225</v>
      </c>
      <c r="G23" s="110" t="s">
        <v>226</v>
      </c>
      <c r="H23" s="110" t="s">
        <v>227</v>
      </c>
      <c r="I23" s="110" t="s">
        <v>228</v>
      </c>
      <c r="J23" s="110" t="s">
        <v>229</v>
      </c>
      <c r="K23" s="112" t="s">
        <v>230</v>
      </c>
      <c r="L23" s="110" t="s">
        <v>231</v>
      </c>
      <c r="M23" s="112">
        <v>4.0</v>
      </c>
      <c r="N23" s="112">
        <v>5.0</v>
      </c>
      <c r="O23" s="112">
        <v>6.0</v>
      </c>
      <c r="P23" s="112">
        <f t="shared" si="1"/>
        <v>5</v>
      </c>
    </row>
    <row r="24">
      <c r="A24" s="114">
        <v>6.0</v>
      </c>
      <c r="B24" s="60" t="s">
        <v>90</v>
      </c>
      <c r="C24" s="115" t="s">
        <v>232</v>
      </c>
      <c r="D24" s="116"/>
      <c r="E24" s="116"/>
      <c r="F24" s="115"/>
      <c r="G24" s="116"/>
      <c r="H24" s="116"/>
      <c r="I24" s="116"/>
      <c r="J24" s="116"/>
      <c r="K24" s="117"/>
      <c r="L24" s="116"/>
      <c r="M24" s="118"/>
      <c r="N24" s="118"/>
      <c r="O24" s="118"/>
      <c r="P24" s="119"/>
    </row>
  </sheetData>
  <mergeCells count="13">
    <mergeCell ref="A9:F9"/>
    <mergeCell ref="A10:F10"/>
    <mergeCell ref="A11:F11"/>
    <mergeCell ref="A12:F12"/>
    <mergeCell ref="A13:F13"/>
    <mergeCell ref="A14:F14"/>
    <mergeCell ref="A1:P2"/>
    <mergeCell ref="A3:F3"/>
    <mergeCell ref="A4:F4"/>
    <mergeCell ref="A5:F5"/>
    <mergeCell ref="A6:F6"/>
    <mergeCell ref="A7:F7"/>
    <mergeCell ref="A8:F8"/>
  </mergeCells>
  <hyperlinks>
    <hyperlink r:id="rId1" ref="B2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63"/>
    <col customWidth="1" min="2" max="2" width="78.13"/>
  </cols>
  <sheetData>
    <row r="1">
      <c r="A1" s="120" t="s">
        <v>15</v>
      </c>
      <c r="B1" s="3"/>
    </row>
    <row r="2" ht="44.25" customHeight="1">
      <c r="A2" s="121" t="s">
        <v>233</v>
      </c>
      <c r="B2" s="3"/>
    </row>
    <row r="3" ht="77.25" customHeight="1">
      <c r="A3" s="122" t="s">
        <v>234</v>
      </c>
      <c r="B3" s="3"/>
    </row>
    <row r="4" ht="66.0" customHeight="1">
      <c r="A4" s="122" t="s">
        <v>235</v>
      </c>
      <c r="B4" s="3"/>
    </row>
    <row r="5" ht="43.5" customHeight="1">
      <c r="A5" s="94" t="s">
        <v>236</v>
      </c>
      <c r="B5" s="6"/>
    </row>
    <row r="6" ht="21.75" customHeight="1">
      <c r="A6" s="123" t="str">
        <f>HYPERLINK("https://slack.com/get-started#/ ","Instructions: Signup for Slack at https://slack.com/get-started#/")</f>
        <v>Instructions: Signup for Slack at https://slack.com/get-started#/</v>
      </c>
      <c r="B6" s="6"/>
    </row>
    <row r="7">
      <c r="A7" s="124" t="s">
        <v>237</v>
      </c>
      <c r="B7" s="3"/>
    </row>
    <row r="8">
      <c r="A8" s="125" t="s">
        <v>238</v>
      </c>
      <c r="B8" s="37"/>
    </row>
    <row r="9">
      <c r="A9" s="122" t="s">
        <v>239</v>
      </c>
      <c r="B9" s="3"/>
    </row>
    <row r="10">
      <c r="A10" s="122" t="s">
        <v>240</v>
      </c>
      <c r="B10" s="3"/>
    </row>
    <row r="11">
      <c r="A11" s="126" t="s">
        <v>241</v>
      </c>
      <c r="B11" s="3"/>
    </row>
    <row r="12">
      <c r="A12" s="127" t="s">
        <v>242</v>
      </c>
      <c r="B12" s="37"/>
    </row>
    <row r="13">
      <c r="A13" s="127" t="s">
        <v>243</v>
      </c>
      <c r="B13" s="37"/>
    </row>
    <row r="14">
      <c r="A14" s="127" t="s">
        <v>244</v>
      </c>
      <c r="B14" s="37"/>
    </row>
    <row r="15">
      <c r="A15" s="26" t="s">
        <v>38</v>
      </c>
      <c r="B15" s="26" t="s">
        <v>166</v>
      </c>
    </row>
    <row r="16">
      <c r="A16" s="41" t="s">
        <v>37</v>
      </c>
      <c r="B16" s="128"/>
    </row>
    <row r="17">
      <c r="A17" s="129" t="s">
        <v>245</v>
      </c>
      <c r="B17" s="3"/>
    </row>
    <row r="18">
      <c r="A18" s="130">
        <v>1.0</v>
      </c>
      <c r="B18" s="131" t="s">
        <v>246</v>
      </c>
    </row>
    <row r="19">
      <c r="A19" s="130">
        <v>2.0</v>
      </c>
      <c r="B19" s="132" t="s">
        <v>247</v>
      </c>
    </row>
    <row r="20">
      <c r="A20" s="130">
        <v>3.0</v>
      </c>
      <c r="B20" s="132" t="s">
        <v>248</v>
      </c>
    </row>
    <row r="21">
      <c r="A21" s="130">
        <v>4.0</v>
      </c>
      <c r="B21" s="132" t="s">
        <v>249</v>
      </c>
    </row>
    <row r="22">
      <c r="A22" s="130">
        <v>5.0</v>
      </c>
      <c r="B22" s="132" t="s">
        <v>250</v>
      </c>
    </row>
    <row r="23">
      <c r="A23" s="129" t="s">
        <v>251</v>
      </c>
      <c r="B23" s="3"/>
    </row>
    <row r="24">
      <c r="A24" s="130">
        <v>1.0</v>
      </c>
      <c r="B24" s="131" t="s">
        <v>252</v>
      </c>
    </row>
    <row r="25">
      <c r="A25" s="130">
        <v>2.0</v>
      </c>
      <c r="B25" s="132" t="s">
        <v>253</v>
      </c>
    </row>
    <row r="26">
      <c r="A26" s="130">
        <v>3.0</v>
      </c>
      <c r="B26" s="132" t="s">
        <v>254</v>
      </c>
    </row>
    <row r="27">
      <c r="A27" s="130">
        <v>4.0</v>
      </c>
      <c r="B27" s="132" t="s">
        <v>255</v>
      </c>
    </row>
    <row r="28">
      <c r="A28" s="130">
        <v>5.0</v>
      </c>
      <c r="B28" s="132" t="s">
        <v>256</v>
      </c>
    </row>
    <row r="29">
      <c r="A29" s="129" t="s">
        <v>257</v>
      </c>
      <c r="B29" s="3"/>
    </row>
    <row r="30">
      <c r="A30" s="130">
        <v>1.0</v>
      </c>
      <c r="B30" s="131" t="s">
        <v>258</v>
      </c>
    </row>
    <row r="31">
      <c r="A31" s="130">
        <v>2.0</v>
      </c>
      <c r="B31" s="132" t="s">
        <v>259</v>
      </c>
    </row>
    <row r="32">
      <c r="A32" s="130">
        <v>3.0</v>
      </c>
      <c r="B32" s="132" t="s">
        <v>260</v>
      </c>
    </row>
    <row r="33">
      <c r="A33" s="130">
        <v>4.0</v>
      </c>
      <c r="B33" s="132" t="s">
        <v>261</v>
      </c>
    </row>
    <row r="34">
      <c r="A34" s="130">
        <v>5.0</v>
      </c>
      <c r="B34" s="132" t="s">
        <v>262</v>
      </c>
    </row>
  </sheetData>
  <mergeCells count="17">
    <mergeCell ref="A1:B1"/>
    <mergeCell ref="A2:B2"/>
    <mergeCell ref="A3:B3"/>
    <mergeCell ref="A4:B4"/>
    <mergeCell ref="A5:B5"/>
    <mergeCell ref="A6:B6"/>
    <mergeCell ref="A7:B7"/>
    <mergeCell ref="A17:B17"/>
    <mergeCell ref="A23:B23"/>
    <mergeCell ref="A29:B29"/>
    <mergeCell ref="A8:B8"/>
    <mergeCell ref="A9:B9"/>
    <mergeCell ref="A10:B10"/>
    <mergeCell ref="A11:B11"/>
    <mergeCell ref="A12:B12"/>
    <mergeCell ref="A13:B13"/>
    <mergeCell ref="A14:B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25"/>
    <col customWidth="1" min="2" max="2" width="14.88"/>
    <col customWidth="1" min="3" max="4" width="15.0"/>
    <col customWidth="1" min="5" max="5" width="10.25"/>
    <col customWidth="1" min="18" max="18" width="14.63"/>
    <col customWidth="1" min="19" max="19" width="17.38"/>
  </cols>
  <sheetData>
    <row r="1">
      <c r="A1" s="133" t="s">
        <v>17</v>
      </c>
      <c r="B1" s="2"/>
      <c r="C1" s="2"/>
      <c r="D1" s="2"/>
      <c r="E1" s="2"/>
      <c r="F1" s="2"/>
      <c r="G1" s="2"/>
      <c r="H1" s="2"/>
      <c r="I1" s="2"/>
      <c r="J1" s="2"/>
      <c r="K1" s="2"/>
      <c r="L1" s="2"/>
      <c r="M1" s="2"/>
      <c r="N1" s="2"/>
      <c r="O1" s="2"/>
      <c r="P1" s="2"/>
      <c r="Q1" s="2"/>
      <c r="R1" s="2"/>
      <c r="S1" s="3"/>
    </row>
    <row r="2">
      <c r="A2" s="121" t="s">
        <v>263</v>
      </c>
      <c r="B2" s="2"/>
      <c r="C2" s="2"/>
      <c r="D2" s="2"/>
      <c r="E2" s="2"/>
      <c r="F2" s="2"/>
      <c r="G2" s="2"/>
      <c r="H2" s="2"/>
      <c r="I2" s="3"/>
      <c r="J2" s="134"/>
      <c r="K2" s="134"/>
      <c r="L2" s="134"/>
      <c r="M2" s="134"/>
      <c r="N2" s="134"/>
      <c r="O2" s="135"/>
      <c r="Q2" s="136"/>
      <c r="R2" s="136"/>
    </row>
    <row r="3">
      <c r="A3" s="122" t="s">
        <v>264</v>
      </c>
      <c r="B3" s="2"/>
      <c r="C3" s="2"/>
      <c r="D3" s="2"/>
      <c r="E3" s="2"/>
      <c r="F3" s="2"/>
      <c r="G3" s="2"/>
      <c r="H3" s="2"/>
      <c r="I3" s="3"/>
      <c r="J3" s="134"/>
      <c r="K3" s="134"/>
      <c r="L3" s="134"/>
      <c r="M3" s="134"/>
      <c r="N3" s="134"/>
      <c r="O3" s="135"/>
      <c r="Q3" s="136"/>
      <c r="R3" s="136"/>
    </row>
    <row r="4">
      <c r="A4" s="11" t="s">
        <v>265</v>
      </c>
      <c r="B4" s="8"/>
      <c r="C4" s="8"/>
      <c r="D4" s="8"/>
      <c r="E4" s="8"/>
      <c r="F4" s="8"/>
      <c r="G4" s="8"/>
      <c r="H4" s="8"/>
      <c r="I4" s="9"/>
      <c r="J4" s="134"/>
      <c r="K4" s="134"/>
      <c r="L4" s="134"/>
      <c r="M4" s="134"/>
      <c r="N4" s="134"/>
      <c r="O4" s="135"/>
      <c r="Q4" s="136"/>
      <c r="R4" s="136"/>
    </row>
    <row r="5">
      <c r="A5" s="11" t="s">
        <v>266</v>
      </c>
      <c r="B5" s="8"/>
      <c r="C5" s="8"/>
      <c r="D5" s="8"/>
      <c r="E5" s="8"/>
      <c r="F5" s="8"/>
      <c r="G5" s="8"/>
      <c r="H5" s="8"/>
      <c r="I5" s="9"/>
      <c r="J5" s="134"/>
      <c r="K5" s="134"/>
      <c r="L5" s="134"/>
      <c r="M5" s="134"/>
      <c r="N5" s="134"/>
      <c r="O5" s="135"/>
      <c r="Q5" s="136"/>
      <c r="R5" s="136"/>
    </row>
    <row r="6">
      <c r="A6" s="40" t="s">
        <v>267</v>
      </c>
      <c r="B6" s="8"/>
      <c r="C6" s="8"/>
      <c r="D6" s="8"/>
      <c r="E6" s="8"/>
      <c r="F6" s="8"/>
      <c r="G6" s="8"/>
      <c r="H6" s="8"/>
      <c r="I6" s="9"/>
      <c r="J6" s="134"/>
      <c r="K6" s="134"/>
      <c r="L6" s="134"/>
      <c r="M6" s="134"/>
      <c r="N6" s="134"/>
      <c r="O6" s="135"/>
      <c r="Q6" s="136"/>
      <c r="R6" s="136"/>
    </row>
    <row r="7">
      <c r="A7" s="137" t="s">
        <v>268</v>
      </c>
      <c r="B7" s="5"/>
      <c r="C7" s="5"/>
      <c r="D7" s="5"/>
      <c r="E7" s="5"/>
      <c r="F7" s="5"/>
      <c r="G7" s="5"/>
      <c r="H7" s="5"/>
      <c r="I7" s="6"/>
      <c r="J7" s="138"/>
      <c r="K7" s="138"/>
      <c r="L7" s="138"/>
      <c r="M7" s="138"/>
      <c r="N7" s="138"/>
      <c r="O7" s="135"/>
      <c r="Q7" s="136"/>
      <c r="R7" s="136"/>
    </row>
    <row r="8">
      <c r="A8" s="139" t="s">
        <v>269</v>
      </c>
      <c r="I8" s="37"/>
      <c r="J8" s="138"/>
      <c r="K8" s="138"/>
      <c r="L8" s="138"/>
      <c r="M8" s="138"/>
      <c r="N8" s="138"/>
      <c r="O8" s="135"/>
      <c r="Q8" s="136"/>
      <c r="R8" s="136"/>
    </row>
    <row r="9">
      <c r="A9" s="139" t="s">
        <v>270</v>
      </c>
      <c r="I9" s="37"/>
      <c r="J9" s="138"/>
      <c r="K9" s="138"/>
      <c r="L9" s="138"/>
      <c r="M9" s="138"/>
      <c r="N9" s="138"/>
      <c r="O9" s="135"/>
      <c r="Q9" s="136"/>
      <c r="R9" s="136"/>
    </row>
    <row r="10">
      <c r="A10" s="139" t="s">
        <v>271</v>
      </c>
      <c r="I10" s="37"/>
      <c r="J10" s="138"/>
      <c r="K10" s="138"/>
      <c r="L10" s="138"/>
      <c r="M10" s="138"/>
      <c r="N10" s="138"/>
      <c r="O10" s="135"/>
      <c r="Q10" s="136"/>
      <c r="R10" s="136"/>
    </row>
    <row r="11">
      <c r="A11" s="140" t="s">
        <v>272</v>
      </c>
      <c r="B11" s="8"/>
      <c r="C11" s="8"/>
      <c r="D11" s="8"/>
      <c r="E11" s="8"/>
      <c r="F11" s="8"/>
      <c r="G11" s="8"/>
      <c r="H11" s="8"/>
      <c r="I11" s="9"/>
      <c r="J11" s="138"/>
      <c r="K11" s="138"/>
      <c r="L11" s="138"/>
      <c r="M11" s="138"/>
      <c r="N11" s="138"/>
      <c r="O11" s="135"/>
      <c r="Q11" s="136"/>
      <c r="R11" s="136"/>
    </row>
    <row r="12">
      <c r="A12" s="141" t="s">
        <v>37</v>
      </c>
      <c r="J12" s="138"/>
      <c r="K12" s="138"/>
      <c r="L12" s="138"/>
      <c r="M12" s="138"/>
      <c r="N12" s="138"/>
      <c r="O12" s="135"/>
      <c r="Q12" s="136"/>
      <c r="R12" s="136"/>
    </row>
    <row r="13">
      <c r="A13" s="142"/>
      <c r="B13" s="142"/>
      <c r="C13" s="142"/>
      <c r="D13" s="142"/>
      <c r="E13" s="142"/>
      <c r="F13" s="142"/>
      <c r="G13" s="142"/>
      <c r="H13" s="142"/>
      <c r="I13" s="142"/>
      <c r="J13" s="142"/>
      <c r="K13" s="142"/>
      <c r="L13" s="142"/>
      <c r="M13" s="143"/>
      <c r="N13" s="143"/>
      <c r="O13" s="143"/>
      <c r="P13" s="144"/>
      <c r="Q13" s="145"/>
      <c r="R13" s="145"/>
      <c r="S13" s="144"/>
    </row>
    <row r="14">
      <c r="A14" s="146" t="s">
        <v>273</v>
      </c>
      <c r="B14" s="147"/>
      <c r="C14" s="147"/>
      <c r="D14" s="147"/>
      <c r="E14" s="147"/>
      <c r="F14" s="148"/>
      <c r="G14" s="149"/>
      <c r="H14" s="150"/>
      <c r="I14" s="5"/>
      <c r="J14" s="5"/>
      <c r="K14" s="6"/>
      <c r="L14" s="149"/>
      <c r="M14" s="135"/>
      <c r="N14" s="135"/>
      <c r="O14" s="135"/>
      <c r="Q14" s="136"/>
      <c r="R14" s="136"/>
    </row>
    <row r="15">
      <c r="A15" s="151" t="s">
        <v>274</v>
      </c>
      <c r="B15" s="152"/>
      <c r="C15" s="152"/>
      <c r="D15" s="152"/>
      <c r="E15" s="152"/>
      <c r="F15" s="153"/>
      <c r="G15" s="149"/>
      <c r="H15" s="154"/>
      <c r="K15" s="37"/>
      <c r="L15" s="149"/>
      <c r="M15" s="155" t="s">
        <v>275</v>
      </c>
      <c r="N15" s="5"/>
      <c r="O15" s="6"/>
      <c r="Q15" s="156" t="s">
        <v>276</v>
      </c>
      <c r="R15" s="6"/>
      <c r="S15" s="157" t="s">
        <v>277</v>
      </c>
    </row>
    <row r="16">
      <c r="A16" s="158" t="s">
        <v>278</v>
      </c>
      <c r="B16" s="159" t="s">
        <v>279</v>
      </c>
      <c r="C16" s="160"/>
      <c r="D16" s="160"/>
      <c r="E16" s="160"/>
      <c r="F16" s="161"/>
      <c r="G16" s="162"/>
      <c r="H16" s="154"/>
      <c r="K16" s="37"/>
      <c r="L16" s="162"/>
      <c r="M16" s="154"/>
      <c r="O16" s="37"/>
      <c r="Q16" s="154"/>
      <c r="R16" s="37"/>
      <c r="S16" s="163"/>
    </row>
    <row r="17">
      <c r="A17" s="164" t="s">
        <v>280</v>
      </c>
      <c r="B17" s="165" t="s">
        <v>281</v>
      </c>
      <c r="C17" s="165" t="s">
        <v>282</v>
      </c>
      <c r="D17" s="165" t="s">
        <v>283</v>
      </c>
      <c r="E17" s="165" t="s">
        <v>284</v>
      </c>
      <c r="F17" s="165" t="s">
        <v>285</v>
      </c>
      <c r="G17" s="162"/>
      <c r="H17" s="154"/>
      <c r="K17" s="37"/>
      <c r="L17" s="162"/>
      <c r="M17" s="154"/>
      <c r="O17" s="37"/>
      <c r="Q17" s="7"/>
      <c r="R17" s="9"/>
      <c r="S17" s="166"/>
    </row>
    <row r="18">
      <c r="A18" s="167">
        <v>100.0</v>
      </c>
      <c r="B18" s="168">
        <f>997-200</f>
        <v>797</v>
      </c>
      <c r="C18" s="168">
        <f>139+0</f>
        <v>139</v>
      </c>
      <c r="D18" s="169">
        <f>358</f>
        <v>358</v>
      </c>
      <c r="E18" s="170">
        <f t="shared" ref="E18:E24" si="1">B18+C18</f>
        <v>936</v>
      </c>
      <c r="F18" s="171">
        <v>0.38</v>
      </c>
      <c r="G18" s="172"/>
      <c r="H18" s="154"/>
      <c r="K18" s="37"/>
      <c r="L18" s="172"/>
      <c r="M18" s="154"/>
      <c r="O18" s="37"/>
      <c r="Q18" s="173"/>
      <c r="R18" s="136"/>
      <c r="S18" s="174"/>
    </row>
    <row r="19">
      <c r="A19" s="175">
        <v>500.0</v>
      </c>
      <c r="B19" s="49">
        <f>620-200</f>
        <v>420</v>
      </c>
      <c r="C19" s="49">
        <v>146.0</v>
      </c>
      <c r="D19" s="49">
        <v>282.0</v>
      </c>
      <c r="E19" s="176">
        <f t="shared" si="1"/>
        <v>566</v>
      </c>
      <c r="F19" s="177">
        <f t="shared" ref="F19:F24" si="2">D19/E19</f>
        <v>0.4982332155</v>
      </c>
      <c r="G19" s="178"/>
      <c r="H19" s="154"/>
      <c r="K19" s="37"/>
      <c r="L19" s="178"/>
      <c r="M19" s="154"/>
      <c r="O19" s="37"/>
      <c r="Q19" s="179" t="s">
        <v>286</v>
      </c>
      <c r="R19" s="180" t="s">
        <v>287</v>
      </c>
      <c r="S19" s="6"/>
    </row>
    <row r="20">
      <c r="A20" s="167">
        <v>1000.0</v>
      </c>
      <c r="B20" s="168">
        <f>565-200</f>
        <v>365</v>
      </c>
      <c r="C20" s="168">
        <v>158.0</v>
      </c>
      <c r="D20" s="168">
        <v>249.0</v>
      </c>
      <c r="E20" s="170">
        <f t="shared" si="1"/>
        <v>523</v>
      </c>
      <c r="F20" s="177">
        <f t="shared" si="2"/>
        <v>0.4760994264</v>
      </c>
      <c r="G20" s="178"/>
      <c r="H20" s="154"/>
      <c r="K20" s="37"/>
      <c r="L20" s="178"/>
      <c r="M20" s="154"/>
      <c r="O20" s="37"/>
      <c r="Q20" s="163"/>
      <c r="R20" s="154"/>
      <c r="S20" s="37"/>
    </row>
    <row r="21">
      <c r="A21" s="175">
        <v>2000.0</v>
      </c>
      <c r="B21" s="49">
        <f>432-200</f>
        <v>232</v>
      </c>
      <c r="C21" s="49">
        <v>171.0</v>
      </c>
      <c r="D21" s="49">
        <v>222.0</v>
      </c>
      <c r="E21" s="176">
        <f t="shared" si="1"/>
        <v>403</v>
      </c>
      <c r="F21" s="177">
        <f t="shared" si="2"/>
        <v>0.5508684864</v>
      </c>
      <c r="G21" s="178"/>
      <c r="H21" s="154"/>
      <c r="K21" s="37"/>
      <c r="L21" s="178"/>
      <c r="M21" s="154"/>
      <c r="O21" s="37"/>
      <c r="Q21" s="163"/>
      <c r="R21" s="154"/>
      <c r="S21" s="37"/>
    </row>
    <row r="22">
      <c r="A22" s="167">
        <v>5000.0</v>
      </c>
      <c r="B22" s="181">
        <v>185.0</v>
      </c>
      <c r="C22" s="181">
        <v>190.0</v>
      </c>
      <c r="D22" s="181">
        <v>210.0</v>
      </c>
      <c r="E22" s="170">
        <f t="shared" si="1"/>
        <v>375</v>
      </c>
      <c r="F22" s="177">
        <f t="shared" si="2"/>
        <v>0.56</v>
      </c>
      <c r="G22" s="178"/>
      <c r="H22" s="154"/>
      <c r="K22" s="37"/>
      <c r="L22" s="178"/>
      <c r="M22" s="154"/>
      <c r="O22" s="37"/>
      <c r="P22" s="182"/>
      <c r="Q22" s="163"/>
      <c r="R22" s="154"/>
      <c r="S22" s="37"/>
    </row>
    <row r="23">
      <c r="A23" s="175">
        <v>10000.0</v>
      </c>
      <c r="B23" s="183">
        <v>150.0</v>
      </c>
      <c r="C23" s="183">
        <v>200.0</v>
      </c>
      <c r="D23" s="183">
        <v>200.0</v>
      </c>
      <c r="E23" s="176">
        <f t="shared" si="1"/>
        <v>350</v>
      </c>
      <c r="F23" s="177">
        <f t="shared" si="2"/>
        <v>0.5714285714</v>
      </c>
      <c r="G23" s="178"/>
      <c r="H23" s="154"/>
      <c r="K23" s="37"/>
      <c r="L23" s="178"/>
      <c r="M23" s="154"/>
      <c r="O23" s="37"/>
      <c r="P23" s="182"/>
      <c r="Q23" s="163"/>
      <c r="R23" s="154"/>
      <c r="S23" s="37"/>
    </row>
    <row r="24">
      <c r="A24" s="167">
        <v>20000.0</v>
      </c>
      <c r="B24" s="181">
        <v>120.0</v>
      </c>
      <c r="C24" s="181">
        <v>210.0</v>
      </c>
      <c r="D24" s="181">
        <v>190.0</v>
      </c>
      <c r="E24" s="170">
        <f t="shared" si="1"/>
        <v>330</v>
      </c>
      <c r="F24" s="177">
        <f t="shared" si="2"/>
        <v>0.5757575758</v>
      </c>
      <c r="G24" s="178"/>
      <c r="H24" s="7"/>
      <c r="I24" s="8"/>
      <c r="J24" s="8"/>
      <c r="K24" s="9"/>
      <c r="L24" s="178"/>
      <c r="M24" s="7"/>
      <c r="N24" s="8"/>
      <c r="O24" s="9"/>
      <c r="P24" s="182"/>
      <c r="Q24" s="166"/>
      <c r="R24" s="7"/>
      <c r="S24" s="9"/>
    </row>
    <row r="25">
      <c r="A25" s="142"/>
      <c r="B25" s="142"/>
      <c r="C25" s="142"/>
      <c r="D25" s="142"/>
      <c r="E25" s="142"/>
      <c r="F25" s="142"/>
      <c r="G25" s="142"/>
      <c r="H25" s="142"/>
      <c r="I25" s="142"/>
      <c r="J25" s="142"/>
      <c r="K25" s="142"/>
      <c r="L25" s="142"/>
      <c r="M25" s="143"/>
      <c r="N25" s="143"/>
      <c r="O25" s="143"/>
      <c r="P25" s="144"/>
      <c r="Q25" s="145"/>
      <c r="R25" s="145"/>
      <c r="S25" s="144"/>
    </row>
    <row r="26">
      <c r="A26" s="146" t="s">
        <v>288</v>
      </c>
      <c r="B26" s="2"/>
      <c r="C26" s="2"/>
      <c r="D26" s="2"/>
      <c r="E26" s="2"/>
      <c r="F26" s="3"/>
      <c r="H26" s="150"/>
      <c r="I26" s="5"/>
      <c r="J26" s="5"/>
      <c r="K26" s="6"/>
      <c r="M26" s="135"/>
      <c r="N26" s="135"/>
      <c r="O26" s="135"/>
      <c r="Q26" s="136"/>
      <c r="R26" s="136"/>
      <c r="S26" s="136"/>
    </row>
    <row r="27">
      <c r="A27" s="146" t="s">
        <v>289</v>
      </c>
      <c r="B27" s="2"/>
      <c r="C27" s="2"/>
      <c r="D27" s="2"/>
      <c r="E27" s="2"/>
      <c r="F27" s="3"/>
      <c r="H27" s="154"/>
      <c r="K27" s="37"/>
      <c r="M27" s="155" t="s">
        <v>290</v>
      </c>
      <c r="N27" s="5"/>
      <c r="O27" s="6"/>
      <c r="Q27" s="156" t="s">
        <v>276</v>
      </c>
      <c r="R27" s="6"/>
      <c r="S27" s="157" t="s">
        <v>291</v>
      </c>
    </row>
    <row r="28">
      <c r="A28" s="21" t="s">
        <v>292</v>
      </c>
      <c r="B28" s="146" t="s">
        <v>279</v>
      </c>
      <c r="C28" s="2"/>
      <c r="D28" s="2"/>
      <c r="E28" s="2"/>
      <c r="F28" s="3"/>
      <c r="G28" s="162"/>
      <c r="H28" s="154"/>
      <c r="K28" s="37"/>
      <c r="L28" s="162"/>
      <c r="M28" s="154"/>
      <c r="O28" s="37"/>
      <c r="Q28" s="154"/>
      <c r="R28" s="37"/>
      <c r="S28" s="163"/>
    </row>
    <row r="29">
      <c r="A29" s="184" t="s">
        <v>293</v>
      </c>
      <c r="B29" s="185" t="s">
        <v>281</v>
      </c>
      <c r="C29" s="185" t="s">
        <v>282</v>
      </c>
      <c r="D29" s="185" t="s">
        <v>283</v>
      </c>
      <c r="E29" s="185" t="s">
        <v>284</v>
      </c>
      <c r="F29" s="185" t="s">
        <v>285</v>
      </c>
      <c r="H29" s="154"/>
      <c r="K29" s="37"/>
      <c r="M29" s="154"/>
      <c r="O29" s="37"/>
      <c r="Q29" s="7"/>
      <c r="R29" s="9"/>
      <c r="S29" s="166"/>
    </row>
    <row r="30">
      <c r="A30" s="186" t="s">
        <v>294</v>
      </c>
      <c r="B30" s="61">
        <f>954+150</f>
        <v>1104</v>
      </c>
      <c r="C30" s="61">
        <f>192</f>
        <v>192</v>
      </c>
      <c r="D30" s="187">
        <f>303+150</f>
        <v>453</v>
      </c>
      <c r="E30" s="188">
        <f t="shared" ref="E30:E36" si="3">B30+C30</f>
        <v>1296</v>
      </c>
      <c r="F30" s="177">
        <f t="shared" ref="F30:F36" si="4">D30/E30</f>
        <v>0.349537037</v>
      </c>
      <c r="H30" s="154"/>
      <c r="K30" s="37"/>
      <c r="M30" s="154"/>
      <c r="O30" s="37"/>
      <c r="Q30" s="173"/>
      <c r="R30" s="136"/>
      <c r="S30" s="174"/>
    </row>
    <row r="31">
      <c r="A31" s="186" t="s">
        <v>295</v>
      </c>
      <c r="B31" s="61">
        <f>540+150</f>
        <v>690</v>
      </c>
      <c r="C31" s="61">
        <f>223+150</f>
        <v>373</v>
      </c>
      <c r="D31" s="61">
        <f>277+150</f>
        <v>427</v>
      </c>
      <c r="E31" s="188">
        <f t="shared" si="3"/>
        <v>1063</v>
      </c>
      <c r="F31" s="177">
        <f t="shared" si="4"/>
        <v>0.4016933208</v>
      </c>
      <c r="H31" s="154"/>
      <c r="K31" s="37"/>
      <c r="M31" s="154"/>
      <c r="O31" s="37"/>
      <c r="Q31" s="179" t="s">
        <v>286</v>
      </c>
      <c r="R31" s="180" t="s">
        <v>296</v>
      </c>
      <c r="S31" s="6"/>
    </row>
    <row r="32">
      <c r="A32" s="186" t="s">
        <v>297</v>
      </c>
      <c r="B32" s="61">
        <f>402+150</f>
        <v>552</v>
      </c>
      <c r="C32" s="61">
        <f>238+120</f>
        <v>358</v>
      </c>
      <c r="D32" s="61">
        <f>262+150</f>
        <v>412</v>
      </c>
      <c r="E32" s="188">
        <f t="shared" si="3"/>
        <v>910</v>
      </c>
      <c r="F32" s="177">
        <f t="shared" si="4"/>
        <v>0.4527472527</v>
      </c>
      <c r="H32" s="154"/>
      <c r="K32" s="37"/>
      <c r="M32" s="154"/>
      <c r="O32" s="37"/>
      <c r="Q32" s="163"/>
      <c r="R32" s="154"/>
      <c r="S32" s="37"/>
    </row>
    <row r="33">
      <c r="A33" s="186" t="s">
        <v>298</v>
      </c>
      <c r="B33" s="61">
        <f>310+150</f>
        <v>460</v>
      </c>
      <c r="C33" s="61">
        <f>272+100</f>
        <v>372</v>
      </c>
      <c r="D33" s="61">
        <f>228+150</f>
        <v>378</v>
      </c>
      <c r="E33" s="188">
        <f t="shared" si="3"/>
        <v>832</v>
      </c>
      <c r="F33" s="177">
        <f t="shared" si="4"/>
        <v>0.4543269231</v>
      </c>
      <c r="H33" s="154"/>
      <c r="K33" s="37"/>
      <c r="M33" s="154"/>
      <c r="O33" s="37"/>
      <c r="Q33" s="163"/>
      <c r="R33" s="154"/>
      <c r="S33" s="37"/>
    </row>
    <row r="34">
      <c r="A34" s="186" t="s">
        <v>299</v>
      </c>
      <c r="B34" s="61">
        <f>278+150</f>
        <v>428</v>
      </c>
      <c r="C34" s="61">
        <f>291+100</f>
        <v>391</v>
      </c>
      <c r="D34" s="61">
        <f>209+150</f>
        <v>359</v>
      </c>
      <c r="E34" s="188">
        <f t="shared" si="3"/>
        <v>819</v>
      </c>
      <c r="F34" s="177">
        <f t="shared" si="4"/>
        <v>0.4383394383</v>
      </c>
      <c r="H34" s="154"/>
      <c r="K34" s="37"/>
      <c r="M34" s="154"/>
      <c r="O34" s="37"/>
      <c r="P34" s="182"/>
      <c r="Q34" s="163"/>
      <c r="R34" s="154"/>
      <c r="S34" s="37"/>
    </row>
    <row r="35">
      <c r="A35" s="186" t="s">
        <v>300</v>
      </c>
      <c r="B35" s="61">
        <f>202+150</f>
        <v>352</v>
      </c>
      <c r="C35" s="61">
        <f>334</f>
        <v>334</v>
      </c>
      <c r="D35" s="61">
        <f>156+150</f>
        <v>306</v>
      </c>
      <c r="E35" s="188">
        <f t="shared" si="3"/>
        <v>686</v>
      </c>
      <c r="F35" s="177">
        <f t="shared" si="4"/>
        <v>0.4460641399</v>
      </c>
      <c r="H35" s="154"/>
      <c r="K35" s="37"/>
      <c r="M35" s="154"/>
      <c r="O35" s="37"/>
      <c r="P35" s="182"/>
      <c r="Q35" s="163"/>
      <c r="R35" s="154"/>
      <c r="S35" s="37"/>
    </row>
    <row r="36">
      <c r="A36" s="186" t="s">
        <v>301</v>
      </c>
      <c r="B36" s="61">
        <f>160+150</f>
        <v>310</v>
      </c>
      <c r="C36" s="61">
        <f>363</f>
        <v>363</v>
      </c>
      <c r="D36" s="61">
        <f>137+150</f>
        <v>287</v>
      </c>
      <c r="E36" s="188">
        <f t="shared" si="3"/>
        <v>673</v>
      </c>
      <c r="F36" s="177">
        <f t="shared" si="4"/>
        <v>0.426448737</v>
      </c>
      <c r="H36" s="7"/>
      <c r="I36" s="8"/>
      <c r="J36" s="8"/>
      <c r="K36" s="9"/>
      <c r="M36" s="7"/>
      <c r="N36" s="8"/>
      <c r="O36" s="9"/>
      <c r="P36" s="182"/>
      <c r="Q36" s="166"/>
      <c r="R36" s="7"/>
      <c r="S36" s="9"/>
    </row>
    <row r="37">
      <c r="A37" s="142"/>
      <c r="B37" s="142"/>
      <c r="C37" s="142"/>
      <c r="D37" s="142"/>
      <c r="E37" s="142"/>
      <c r="F37" s="142"/>
      <c r="G37" s="142"/>
      <c r="H37" s="142"/>
      <c r="I37" s="142"/>
      <c r="J37" s="142"/>
      <c r="K37" s="142"/>
      <c r="L37" s="142"/>
      <c r="M37" s="143"/>
      <c r="N37" s="143"/>
      <c r="O37" s="143"/>
      <c r="P37" s="144"/>
      <c r="Q37" s="145"/>
      <c r="R37" s="145"/>
      <c r="S37" s="144"/>
    </row>
    <row r="38">
      <c r="A38" s="146" t="s">
        <v>302</v>
      </c>
      <c r="B38" s="2"/>
      <c r="C38" s="2"/>
      <c r="D38" s="2"/>
      <c r="E38" s="2"/>
      <c r="F38" s="3"/>
      <c r="H38" s="150"/>
      <c r="I38" s="5"/>
      <c r="J38" s="5"/>
      <c r="K38" s="6"/>
      <c r="M38" s="135"/>
      <c r="N38" s="135"/>
      <c r="O38" s="135"/>
      <c r="Q38" s="136"/>
      <c r="R38" s="136"/>
      <c r="S38" s="136"/>
    </row>
    <row r="39">
      <c r="A39" s="146" t="s">
        <v>303</v>
      </c>
      <c r="B39" s="2"/>
      <c r="C39" s="2"/>
      <c r="D39" s="2"/>
      <c r="E39" s="2"/>
      <c r="F39" s="3"/>
      <c r="H39" s="154"/>
      <c r="K39" s="37"/>
      <c r="M39" s="155" t="s">
        <v>304</v>
      </c>
      <c r="N39" s="5"/>
      <c r="O39" s="6"/>
      <c r="Q39" s="156" t="s">
        <v>276</v>
      </c>
      <c r="R39" s="6"/>
      <c r="S39" s="157" t="s">
        <v>305</v>
      </c>
    </row>
    <row r="40">
      <c r="A40" s="21" t="s">
        <v>278</v>
      </c>
      <c r="B40" s="146" t="s">
        <v>279</v>
      </c>
      <c r="C40" s="2"/>
      <c r="D40" s="2"/>
      <c r="E40" s="2"/>
      <c r="F40" s="3"/>
      <c r="G40" s="162"/>
      <c r="H40" s="154"/>
      <c r="K40" s="37"/>
      <c r="L40" s="162"/>
      <c r="M40" s="154"/>
      <c r="O40" s="37"/>
      <c r="Q40" s="154"/>
      <c r="R40" s="37"/>
      <c r="S40" s="163"/>
    </row>
    <row r="41">
      <c r="A41" s="184" t="s">
        <v>306</v>
      </c>
      <c r="B41" s="185" t="s">
        <v>281</v>
      </c>
      <c r="C41" s="185" t="s">
        <v>282</v>
      </c>
      <c r="D41" s="185" t="s">
        <v>283</v>
      </c>
      <c r="E41" s="185" t="s">
        <v>284</v>
      </c>
      <c r="F41" s="185" t="s">
        <v>285</v>
      </c>
      <c r="H41" s="154"/>
      <c r="K41" s="37"/>
      <c r="M41" s="154"/>
      <c r="O41" s="37"/>
      <c r="Q41" s="7"/>
      <c r="R41" s="9"/>
      <c r="S41" s="166"/>
    </row>
    <row r="42">
      <c r="A42" s="186" t="s">
        <v>294</v>
      </c>
      <c r="B42" s="61">
        <f>997-600</f>
        <v>397</v>
      </c>
      <c r="C42" s="61">
        <v>139.0</v>
      </c>
      <c r="D42" s="189">
        <v>250.0</v>
      </c>
      <c r="E42" s="188">
        <f t="shared" ref="E42:E48" si="5">B42+C42</f>
        <v>536</v>
      </c>
      <c r="F42" s="177">
        <f t="shared" ref="F42:F48" si="6">D42/E42</f>
        <v>0.4664179104</v>
      </c>
      <c r="H42" s="154"/>
      <c r="K42" s="37"/>
      <c r="M42" s="154"/>
      <c r="O42" s="37"/>
      <c r="Q42" s="173"/>
      <c r="R42" s="136"/>
      <c r="S42" s="174"/>
    </row>
    <row r="43">
      <c r="A43" s="186" t="s">
        <v>295</v>
      </c>
      <c r="B43" s="61">
        <f>620-350</f>
        <v>270</v>
      </c>
      <c r="C43" s="61">
        <v>146.0</v>
      </c>
      <c r="D43" s="190">
        <v>190.0</v>
      </c>
      <c r="E43" s="188">
        <f t="shared" si="5"/>
        <v>416</v>
      </c>
      <c r="F43" s="177">
        <f t="shared" si="6"/>
        <v>0.4567307692</v>
      </c>
      <c r="H43" s="154"/>
      <c r="K43" s="37"/>
      <c r="M43" s="154"/>
      <c r="O43" s="37"/>
      <c r="Q43" s="179" t="s">
        <v>286</v>
      </c>
      <c r="R43" s="180" t="s">
        <v>307</v>
      </c>
      <c r="S43" s="6"/>
    </row>
    <row r="44">
      <c r="A44" s="186" t="s">
        <v>297</v>
      </c>
      <c r="B44" s="61">
        <f>565-350</f>
        <v>215</v>
      </c>
      <c r="C44" s="61">
        <v>158.0</v>
      </c>
      <c r="D44" s="190">
        <v>170.0</v>
      </c>
      <c r="E44" s="188">
        <f t="shared" si="5"/>
        <v>373</v>
      </c>
      <c r="F44" s="177">
        <f t="shared" si="6"/>
        <v>0.4557640751</v>
      </c>
      <c r="H44" s="154"/>
      <c r="K44" s="37"/>
      <c r="M44" s="154"/>
      <c r="O44" s="37"/>
      <c r="Q44" s="163"/>
      <c r="R44" s="154"/>
      <c r="S44" s="37"/>
    </row>
    <row r="45">
      <c r="A45" s="186" t="s">
        <v>298</v>
      </c>
      <c r="B45" s="61">
        <f>432-280</f>
        <v>152</v>
      </c>
      <c r="C45" s="61">
        <v>171.0</v>
      </c>
      <c r="D45" s="190">
        <v>145.0</v>
      </c>
      <c r="E45" s="188">
        <f t="shared" si="5"/>
        <v>323</v>
      </c>
      <c r="F45" s="177">
        <f t="shared" si="6"/>
        <v>0.4489164087</v>
      </c>
      <c r="H45" s="154"/>
      <c r="K45" s="37"/>
      <c r="M45" s="154"/>
      <c r="O45" s="37"/>
      <c r="Q45" s="163"/>
      <c r="R45" s="154"/>
      <c r="S45" s="37"/>
    </row>
    <row r="46">
      <c r="A46" s="186" t="s">
        <v>299</v>
      </c>
      <c r="B46" s="61">
        <f>294-190</f>
        <v>104</v>
      </c>
      <c r="C46" s="61">
        <v>179.0</v>
      </c>
      <c r="D46" s="190">
        <v>122.0</v>
      </c>
      <c r="E46" s="188">
        <f t="shared" si="5"/>
        <v>283</v>
      </c>
      <c r="F46" s="177">
        <f t="shared" si="6"/>
        <v>0.4310954064</v>
      </c>
      <c r="H46" s="154"/>
      <c r="K46" s="37"/>
      <c r="M46" s="154"/>
      <c r="O46" s="37"/>
      <c r="P46" s="182"/>
      <c r="Q46" s="163"/>
      <c r="R46" s="154"/>
      <c r="S46" s="37"/>
    </row>
    <row r="47">
      <c r="A47" s="186" t="s">
        <v>300</v>
      </c>
      <c r="B47" s="61">
        <f>209-150</f>
        <v>59</v>
      </c>
      <c r="C47" s="61">
        <v>192.0</v>
      </c>
      <c r="D47" s="190">
        <v>109.0</v>
      </c>
      <c r="E47" s="188">
        <f t="shared" si="5"/>
        <v>251</v>
      </c>
      <c r="F47" s="177">
        <f t="shared" si="6"/>
        <v>0.4342629482</v>
      </c>
      <c r="H47" s="154"/>
      <c r="K47" s="37"/>
      <c r="M47" s="154"/>
      <c r="O47" s="37"/>
      <c r="P47" s="182"/>
      <c r="Q47" s="163"/>
      <c r="R47" s="154"/>
      <c r="S47" s="37"/>
    </row>
    <row r="48">
      <c r="A48" s="186" t="s">
        <v>301</v>
      </c>
      <c r="B48" s="61">
        <f>144-120</f>
        <v>24</v>
      </c>
      <c r="C48" s="61">
        <v>214.0</v>
      </c>
      <c r="D48" s="190">
        <v>102.0</v>
      </c>
      <c r="E48" s="188">
        <f t="shared" si="5"/>
        <v>238</v>
      </c>
      <c r="F48" s="177">
        <f t="shared" si="6"/>
        <v>0.4285714286</v>
      </c>
      <c r="H48" s="7"/>
      <c r="I48" s="8"/>
      <c r="J48" s="8"/>
      <c r="K48" s="9"/>
      <c r="M48" s="7"/>
      <c r="N48" s="8"/>
      <c r="O48" s="9"/>
      <c r="P48" s="182"/>
      <c r="Q48" s="166"/>
      <c r="R48" s="7"/>
      <c r="S48" s="9"/>
    </row>
    <row r="49">
      <c r="A49" s="142"/>
      <c r="B49" s="142"/>
      <c r="C49" s="142"/>
      <c r="D49" s="142"/>
      <c r="E49" s="142"/>
      <c r="F49" s="142"/>
      <c r="G49" s="142"/>
      <c r="H49" s="142"/>
      <c r="I49" s="142"/>
      <c r="J49" s="142"/>
      <c r="K49" s="142"/>
      <c r="L49" s="142"/>
      <c r="M49" s="143"/>
      <c r="N49" s="143"/>
      <c r="O49" s="143"/>
      <c r="P49" s="144"/>
      <c r="Q49" s="145"/>
      <c r="R49" s="145"/>
      <c r="S49" s="144"/>
    </row>
    <row r="50">
      <c r="D50" s="172"/>
      <c r="P50" s="182"/>
      <c r="Q50" s="191"/>
      <c r="R50" s="192" t="s">
        <v>308</v>
      </c>
      <c r="S50" s="192" t="s">
        <v>309</v>
      </c>
    </row>
    <row r="51">
      <c r="D51" s="178"/>
      <c r="P51" s="156" t="s">
        <v>310</v>
      </c>
      <c r="Q51" s="6"/>
      <c r="R51" s="193" t="s">
        <v>311</v>
      </c>
      <c r="S51" s="193" t="s">
        <v>312</v>
      </c>
    </row>
    <row r="52">
      <c r="D52" s="178"/>
      <c r="P52" s="154"/>
      <c r="Q52" s="37"/>
      <c r="R52" s="163"/>
      <c r="S52" s="163"/>
    </row>
    <row r="53">
      <c r="D53" s="178"/>
      <c r="P53" s="154"/>
      <c r="Q53" s="37"/>
      <c r="R53" s="163"/>
      <c r="S53" s="163"/>
    </row>
    <row r="54">
      <c r="D54" s="178"/>
      <c r="P54" s="154"/>
      <c r="Q54" s="37"/>
      <c r="R54" s="163"/>
      <c r="S54" s="163"/>
    </row>
    <row r="55">
      <c r="D55" s="178"/>
      <c r="P55" s="154"/>
      <c r="Q55" s="37"/>
      <c r="R55" s="163"/>
      <c r="S55" s="163"/>
    </row>
    <row r="56">
      <c r="D56" s="178"/>
      <c r="P56" s="7"/>
      <c r="Q56" s="9"/>
      <c r="R56" s="166"/>
      <c r="S56" s="166"/>
    </row>
    <row r="57">
      <c r="D57" s="178"/>
      <c r="Q57" s="136"/>
      <c r="R57" s="136"/>
      <c r="S57" s="136"/>
    </row>
    <row r="58">
      <c r="D58" s="178"/>
      <c r="Q58" s="136"/>
      <c r="R58" s="136"/>
      <c r="S58" s="136"/>
    </row>
    <row r="59">
      <c r="D59" s="178"/>
      <c r="Q59" s="179" t="s">
        <v>313</v>
      </c>
      <c r="R59" s="180" t="s">
        <v>314</v>
      </c>
      <c r="S59" s="6"/>
    </row>
    <row r="60">
      <c r="D60" s="178"/>
      <c r="Q60" s="163"/>
      <c r="R60" s="154"/>
      <c r="S60" s="37"/>
    </row>
    <row r="61">
      <c r="Q61" s="163"/>
      <c r="R61" s="154"/>
      <c r="S61" s="37"/>
    </row>
    <row r="62">
      <c r="Q62" s="163"/>
      <c r="R62" s="154"/>
      <c r="S62" s="37"/>
    </row>
    <row r="63">
      <c r="Q63" s="163"/>
      <c r="R63" s="154"/>
      <c r="S63" s="37"/>
    </row>
    <row r="64">
      <c r="Q64" s="166"/>
      <c r="R64" s="7"/>
      <c r="S64" s="9"/>
    </row>
    <row r="65">
      <c r="A65" s="142"/>
      <c r="B65" s="142"/>
      <c r="C65" s="142"/>
      <c r="D65" s="142"/>
      <c r="E65" s="142"/>
      <c r="F65" s="142"/>
      <c r="G65" s="142"/>
      <c r="H65" s="142"/>
      <c r="I65" s="142"/>
      <c r="J65" s="142"/>
      <c r="K65" s="142"/>
      <c r="L65" s="142"/>
      <c r="M65" s="143"/>
      <c r="N65" s="143"/>
      <c r="O65" s="143"/>
      <c r="P65" s="144"/>
      <c r="Q65" s="145"/>
      <c r="R65" s="145"/>
      <c r="S65" s="144"/>
    </row>
  </sheetData>
  <mergeCells count="44">
    <mergeCell ref="A1:S1"/>
    <mergeCell ref="A2:I2"/>
    <mergeCell ref="A3:I3"/>
    <mergeCell ref="A4:I4"/>
    <mergeCell ref="A5:I5"/>
    <mergeCell ref="A6:I6"/>
    <mergeCell ref="A7:I7"/>
    <mergeCell ref="B16:F16"/>
    <mergeCell ref="A26:F26"/>
    <mergeCell ref="A27:F27"/>
    <mergeCell ref="B28:F28"/>
    <mergeCell ref="A38:F38"/>
    <mergeCell ref="A39:F39"/>
    <mergeCell ref="B40:F40"/>
    <mergeCell ref="A8:I8"/>
    <mergeCell ref="A9:I9"/>
    <mergeCell ref="A10:I10"/>
    <mergeCell ref="A11:I11"/>
    <mergeCell ref="A12:I12"/>
    <mergeCell ref="A14:F14"/>
    <mergeCell ref="A15:F15"/>
    <mergeCell ref="Q19:Q24"/>
    <mergeCell ref="Q27:R29"/>
    <mergeCell ref="H26:K36"/>
    <mergeCell ref="H38:K48"/>
    <mergeCell ref="H14:K24"/>
    <mergeCell ref="M15:O24"/>
    <mergeCell ref="Q15:R17"/>
    <mergeCell ref="S15:S17"/>
    <mergeCell ref="R19:S24"/>
    <mergeCell ref="S27:S29"/>
    <mergeCell ref="R31:S36"/>
    <mergeCell ref="P51:Q56"/>
    <mergeCell ref="R51:R56"/>
    <mergeCell ref="S51:S56"/>
    <mergeCell ref="Q59:Q64"/>
    <mergeCell ref="R59:S64"/>
    <mergeCell ref="M27:O36"/>
    <mergeCell ref="Q31:Q36"/>
    <mergeCell ref="M39:O48"/>
    <mergeCell ref="Q39:R41"/>
    <mergeCell ref="S39:S41"/>
    <mergeCell ref="Q43:Q48"/>
    <mergeCell ref="R43:S4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0.13"/>
    <col customWidth="1" min="3" max="3" width="15.25"/>
    <col customWidth="1" min="4" max="4" width="15.75"/>
    <col customWidth="1" min="5" max="5" width="7.88"/>
    <col customWidth="1" min="6" max="6" width="10.0"/>
  </cols>
  <sheetData>
    <row r="1">
      <c r="A1" s="133" t="s">
        <v>18</v>
      </c>
      <c r="B1" s="2"/>
      <c r="C1" s="2"/>
      <c r="D1" s="2"/>
      <c r="E1" s="2"/>
      <c r="F1" s="2"/>
      <c r="G1" s="2"/>
      <c r="H1" s="2"/>
      <c r="I1" s="2"/>
      <c r="J1" s="2"/>
      <c r="K1" s="2"/>
      <c r="L1" s="2"/>
      <c r="M1" s="2"/>
      <c r="N1" s="2"/>
      <c r="O1" s="2"/>
      <c r="P1" s="2"/>
      <c r="Q1" s="2"/>
      <c r="R1" s="2"/>
      <c r="S1" s="3"/>
    </row>
    <row r="2">
      <c r="A2" s="121" t="s">
        <v>315</v>
      </c>
      <c r="B2" s="2"/>
      <c r="C2" s="2"/>
      <c r="D2" s="2"/>
      <c r="E2" s="2"/>
      <c r="F2" s="2"/>
      <c r="G2" s="2"/>
      <c r="H2" s="2"/>
      <c r="I2" s="3"/>
      <c r="O2" s="194"/>
      <c r="P2" s="135"/>
      <c r="R2" s="136"/>
      <c r="S2" s="136"/>
    </row>
    <row r="3">
      <c r="A3" s="122" t="s">
        <v>316</v>
      </c>
      <c r="B3" s="2"/>
      <c r="C3" s="2"/>
      <c r="D3" s="2"/>
      <c r="E3" s="2"/>
      <c r="F3" s="2"/>
      <c r="G3" s="2"/>
      <c r="H3" s="2"/>
      <c r="I3" s="3"/>
      <c r="O3" s="194"/>
      <c r="P3" s="135"/>
      <c r="R3" s="136"/>
      <c r="S3" s="136"/>
    </row>
    <row r="4">
      <c r="A4" s="11" t="s">
        <v>317</v>
      </c>
      <c r="B4" s="8"/>
      <c r="C4" s="8"/>
      <c r="D4" s="8"/>
      <c r="E4" s="8"/>
      <c r="F4" s="8"/>
      <c r="G4" s="8"/>
      <c r="H4" s="8"/>
      <c r="I4" s="9"/>
      <c r="O4" s="194"/>
      <c r="P4" s="135"/>
      <c r="R4" s="136"/>
      <c r="S4" s="136"/>
    </row>
    <row r="5">
      <c r="A5" s="121" t="s">
        <v>318</v>
      </c>
      <c r="B5" s="2"/>
      <c r="C5" s="2"/>
      <c r="D5" s="2"/>
      <c r="E5" s="2"/>
      <c r="F5" s="2"/>
      <c r="G5" s="2"/>
      <c r="H5" s="2"/>
      <c r="I5" s="3"/>
      <c r="O5" s="194"/>
      <c r="P5" s="135"/>
      <c r="R5" s="136"/>
      <c r="S5" s="136"/>
    </row>
    <row r="6">
      <c r="A6" s="195" t="s">
        <v>319</v>
      </c>
      <c r="B6" s="2"/>
      <c r="C6" s="2"/>
      <c r="D6" s="2"/>
      <c r="E6" s="2"/>
      <c r="F6" s="2"/>
      <c r="G6" s="2"/>
      <c r="H6" s="2"/>
      <c r="I6" s="3"/>
      <c r="O6" s="194"/>
      <c r="P6" s="135"/>
      <c r="R6" s="136"/>
      <c r="S6" s="136"/>
    </row>
    <row r="7">
      <c r="A7" s="195" t="s">
        <v>320</v>
      </c>
      <c r="B7" s="2"/>
      <c r="C7" s="2"/>
      <c r="D7" s="2"/>
      <c r="E7" s="2"/>
      <c r="F7" s="2"/>
      <c r="G7" s="2"/>
      <c r="H7" s="2"/>
      <c r="I7" s="3"/>
      <c r="O7" s="194"/>
      <c r="P7" s="135"/>
      <c r="R7" s="136"/>
      <c r="S7" s="136"/>
    </row>
    <row r="8">
      <c r="A8" s="195" t="s">
        <v>321</v>
      </c>
      <c r="B8" s="2"/>
      <c r="C8" s="2"/>
      <c r="D8" s="2"/>
      <c r="E8" s="2"/>
      <c r="F8" s="2"/>
      <c r="G8" s="2"/>
      <c r="H8" s="2"/>
      <c r="I8" s="3"/>
      <c r="O8" s="194"/>
      <c r="P8" s="135"/>
      <c r="R8" s="136"/>
      <c r="S8" s="136"/>
    </row>
    <row r="9">
      <c r="A9" s="195" t="s">
        <v>322</v>
      </c>
      <c r="B9" s="2"/>
      <c r="C9" s="2"/>
      <c r="D9" s="2"/>
      <c r="E9" s="2"/>
      <c r="F9" s="2"/>
      <c r="G9" s="2"/>
      <c r="H9" s="2"/>
      <c r="I9" s="3"/>
      <c r="O9" s="194"/>
      <c r="P9" s="135"/>
      <c r="R9" s="136"/>
      <c r="S9" s="136"/>
    </row>
    <row r="10">
      <c r="A10" s="195" t="s">
        <v>323</v>
      </c>
      <c r="B10" s="2"/>
      <c r="C10" s="2"/>
      <c r="D10" s="2"/>
      <c r="E10" s="2"/>
      <c r="F10" s="2"/>
      <c r="G10" s="2"/>
      <c r="H10" s="2"/>
      <c r="I10" s="3"/>
      <c r="O10" s="194"/>
      <c r="P10" s="135"/>
      <c r="R10" s="136"/>
      <c r="S10" s="136"/>
    </row>
    <row r="11">
      <c r="A11" s="141" t="s">
        <v>37</v>
      </c>
      <c r="J11" s="149"/>
      <c r="K11" s="149"/>
      <c r="L11" s="149"/>
      <c r="M11" s="149"/>
      <c r="N11" s="149"/>
      <c r="O11" s="149"/>
      <c r="P11" s="135"/>
      <c r="R11" s="136"/>
      <c r="S11" s="136"/>
    </row>
    <row r="12">
      <c r="A12" s="149"/>
      <c r="B12" s="149"/>
      <c r="C12" s="149"/>
      <c r="D12" s="149"/>
      <c r="E12" s="149"/>
      <c r="F12" s="149"/>
      <c r="G12" s="149"/>
      <c r="H12" s="149"/>
      <c r="I12" s="149"/>
      <c r="J12" s="149"/>
      <c r="K12" s="149"/>
      <c r="L12" s="149"/>
      <c r="M12" s="149"/>
      <c r="N12" s="149"/>
      <c r="O12" s="149"/>
      <c r="P12" s="135"/>
      <c r="R12" s="136"/>
      <c r="S12" s="136"/>
    </row>
    <row r="13">
      <c r="A13" s="146" t="s">
        <v>324</v>
      </c>
      <c r="B13" s="2"/>
      <c r="C13" s="2"/>
      <c r="D13" s="2"/>
      <c r="E13" s="2"/>
      <c r="F13" s="3"/>
      <c r="H13" s="150"/>
      <c r="I13" s="5"/>
      <c r="J13" s="5"/>
      <c r="K13" s="6"/>
      <c r="L13" s="135"/>
      <c r="M13" s="135"/>
      <c r="N13" s="135"/>
      <c r="O13" s="135"/>
    </row>
    <row r="14">
      <c r="A14" s="146" t="s">
        <v>325</v>
      </c>
      <c r="B14" s="2"/>
      <c r="C14" s="2"/>
      <c r="D14" s="2"/>
      <c r="E14" s="2"/>
      <c r="F14" s="3"/>
      <c r="H14" s="154"/>
      <c r="K14" s="37"/>
      <c r="L14" s="135"/>
      <c r="M14" s="155" t="s">
        <v>326</v>
      </c>
      <c r="N14" s="5"/>
      <c r="O14" s="6"/>
      <c r="Q14" s="156" t="s">
        <v>327</v>
      </c>
      <c r="R14" s="5"/>
      <c r="S14" s="157" t="s">
        <v>328</v>
      </c>
    </row>
    <row r="15">
      <c r="A15" s="21" t="s">
        <v>329</v>
      </c>
      <c r="B15" s="146" t="s">
        <v>279</v>
      </c>
      <c r="C15" s="2"/>
      <c r="D15" s="2"/>
      <c r="E15" s="2"/>
      <c r="F15" s="3"/>
      <c r="H15" s="154"/>
      <c r="K15" s="37"/>
      <c r="L15" s="135"/>
      <c r="M15" s="154"/>
      <c r="O15" s="37"/>
      <c r="Q15" s="154"/>
      <c r="S15" s="163"/>
    </row>
    <row r="16">
      <c r="A16" s="184" t="s">
        <v>330</v>
      </c>
      <c r="B16" s="185" t="s">
        <v>281</v>
      </c>
      <c r="C16" s="185" t="s">
        <v>282</v>
      </c>
      <c r="D16" s="185" t="s">
        <v>283</v>
      </c>
      <c r="E16" s="185" t="s">
        <v>284</v>
      </c>
      <c r="F16" s="185" t="s">
        <v>285</v>
      </c>
      <c r="G16" s="196"/>
      <c r="H16" s="154"/>
      <c r="K16" s="37"/>
      <c r="L16" s="135"/>
      <c r="M16" s="154"/>
      <c r="O16" s="37"/>
      <c r="Q16" s="154"/>
      <c r="S16" s="166"/>
    </row>
    <row r="17">
      <c r="A17" s="186" t="s">
        <v>294</v>
      </c>
      <c r="B17" s="61">
        <f>954-750</f>
        <v>204</v>
      </c>
      <c r="C17" s="61">
        <f>192+150</f>
        <v>342</v>
      </c>
      <c r="D17" s="187">
        <f>303+150</f>
        <v>453</v>
      </c>
      <c r="E17" s="188">
        <f t="shared" ref="E17:E23" si="1">B17+C17</f>
        <v>546</v>
      </c>
      <c r="F17" s="197">
        <v>0.83</v>
      </c>
      <c r="H17" s="154"/>
      <c r="K17" s="37"/>
      <c r="L17" s="135"/>
      <c r="M17" s="154"/>
      <c r="O17" s="37"/>
      <c r="Q17" s="173"/>
      <c r="R17" s="136"/>
      <c r="S17" s="174"/>
    </row>
    <row r="18">
      <c r="A18" s="186" t="s">
        <v>295</v>
      </c>
      <c r="B18" s="61">
        <f>540-370</f>
        <v>170</v>
      </c>
      <c r="C18" s="190">
        <v>360.0</v>
      </c>
      <c r="D18" s="61">
        <f>277+150</f>
        <v>427</v>
      </c>
      <c r="E18" s="188">
        <f t="shared" si="1"/>
        <v>530</v>
      </c>
      <c r="F18" s="177">
        <f t="shared" ref="F18:F23" si="2">D18/E18</f>
        <v>0.8056603774</v>
      </c>
      <c r="H18" s="154"/>
      <c r="K18" s="37"/>
      <c r="L18" s="135"/>
      <c r="M18" s="154"/>
      <c r="O18" s="37"/>
      <c r="Q18" s="179" t="s">
        <v>286</v>
      </c>
      <c r="R18" s="180" t="s">
        <v>331</v>
      </c>
      <c r="S18" s="6"/>
    </row>
    <row r="19">
      <c r="A19" s="186" t="s">
        <v>297</v>
      </c>
      <c r="B19" s="61">
        <f>402-250</f>
        <v>152</v>
      </c>
      <c r="C19" s="190">
        <v>370.0</v>
      </c>
      <c r="D19" s="61">
        <f>262+150</f>
        <v>412</v>
      </c>
      <c r="E19" s="188">
        <f t="shared" si="1"/>
        <v>522</v>
      </c>
      <c r="F19" s="177">
        <f t="shared" si="2"/>
        <v>0.7892720307</v>
      </c>
      <c r="H19" s="154"/>
      <c r="K19" s="37"/>
      <c r="L19" s="135"/>
      <c r="M19" s="154"/>
      <c r="O19" s="37"/>
      <c r="Q19" s="163"/>
      <c r="R19" s="154"/>
      <c r="S19" s="37"/>
    </row>
    <row r="20">
      <c r="A20" s="186" t="s">
        <v>298</v>
      </c>
      <c r="B20" s="61">
        <f>310-200</f>
        <v>110</v>
      </c>
      <c r="C20" s="190">
        <v>380.0</v>
      </c>
      <c r="D20" s="61">
        <f>228+150</f>
        <v>378</v>
      </c>
      <c r="E20" s="188">
        <f t="shared" si="1"/>
        <v>490</v>
      </c>
      <c r="F20" s="177">
        <f t="shared" si="2"/>
        <v>0.7714285714</v>
      </c>
      <c r="H20" s="154"/>
      <c r="K20" s="37"/>
      <c r="L20" s="135"/>
      <c r="M20" s="154"/>
      <c r="O20" s="37"/>
      <c r="Q20" s="163"/>
      <c r="R20" s="154"/>
      <c r="S20" s="37"/>
    </row>
    <row r="21">
      <c r="A21" s="186" t="s">
        <v>299</v>
      </c>
      <c r="B21" s="190">
        <v>90.0</v>
      </c>
      <c r="C21" s="190">
        <v>520.0</v>
      </c>
      <c r="D21" s="61">
        <f>209+150</f>
        <v>359</v>
      </c>
      <c r="E21" s="188">
        <f t="shared" si="1"/>
        <v>610</v>
      </c>
      <c r="F21" s="177">
        <f t="shared" si="2"/>
        <v>0.5885245902</v>
      </c>
      <c r="H21" s="154"/>
      <c r="K21" s="37"/>
      <c r="L21" s="135"/>
      <c r="M21" s="154"/>
      <c r="O21" s="37"/>
      <c r="P21" s="182"/>
      <c r="Q21" s="163"/>
      <c r="R21" s="154"/>
      <c r="S21" s="37"/>
    </row>
    <row r="22">
      <c r="A22" s="186" t="s">
        <v>300</v>
      </c>
      <c r="B22" s="190">
        <v>65.0</v>
      </c>
      <c r="C22" s="190">
        <v>650.0</v>
      </c>
      <c r="D22" s="61">
        <f>156+150</f>
        <v>306</v>
      </c>
      <c r="E22" s="188">
        <f t="shared" si="1"/>
        <v>715</v>
      </c>
      <c r="F22" s="177">
        <f t="shared" si="2"/>
        <v>0.427972028</v>
      </c>
      <c r="H22" s="154"/>
      <c r="K22" s="37"/>
      <c r="L22" s="135"/>
      <c r="M22" s="154"/>
      <c r="O22" s="37"/>
      <c r="P22" s="182"/>
      <c r="Q22" s="163"/>
      <c r="R22" s="154"/>
      <c r="S22" s="37"/>
    </row>
    <row r="23">
      <c r="A23" s="186" t="s">
        <v>301</v>
      </c>
      <c r="B23" s="190">
        <v>30.0</v>
      </c>
      <c r="C23" s="190">
        <v>874.0</v>
      </c>
      <c r="D23" s="61">
        <f>137+150</f>
        <v>287</v>
      </c>
      <c r="E23" s="188">
        <f t="shared" si="1"/>
        <v>904</v>
      </c>
      <c r="F23" s="177">
        <f t="shared" si="2"/>
        <v>0.3174778761</v>
      </c>
      <c r="H23" s="7"/>
      <c r="I23" s="8"/>
      <c r="J23" s="8"/>
      <c r="K23" s="9"/>
      <c r="L23" s="135"/>
      <c r="M23" s="7"/>
      <c r="N23" s="8"/>
      <c r="O23" s="9"/>
      <c r="P23" s="182"/>
      <c r="Q23" s="166"/>
      <c r="R23" s="7"/>
      <c r="S23" s="9"/>
    </row>
    <row r="24">
      <c r="A24" s="196"/>
      <c r="C24" s="178"/>
    </row>
    <row r="25">
      <c r="A25" s="146" t="s">
        <v>332</v>
      </c>
      <c r="B25" s="2"/>
      <c r="C25" s="2"/>
      <c r="D25" s="2"/>
      <c r="E25" s="2"/>
      <c r="F25" s="3"/>
      <c r="H25" s="150"/>
      <c r="I25" s="5"/>
      <c r="J25" s="5"/>
      <c r="K25" s="6"/>
      <c r="L25" s="135"/>
      <c r="M25" s="135"/>
      <c r="N25" s="135"/>
      <c r="O25" s="135"/>
    </row>
    <row r="26">
      <c r="A26" s="146" t="s">
        <v>333</v>
      </c>
      <c r="B26" s="2"/>
      <c r="C26" s="2"/>
      <c r="D26" s="2"/>
      <c r="E26" s="2"/>
      <c r="F26" s="3"/>
      <c r="H26" s="154"/>
      <c r="K26" s="37"/>
      <c r="L26" s="135"/>
      <c r="M26" s="155" t="s">
        <v>334</v>
      </c>
      <c r="N26" s="5"/>
      <c r="O26" s="6"/>
      <c r="Q26" s="156" t="s">
        <v>327</v>
      </c>
      <c r="R26" s="6"/>
      <c r="S26" s="157" t="s">
        <v>335</v>
      </c>
    </row>
    <row r="27">
      <c r="A27" s="21" t="s">
        <v>329</v>
      </c>
      <c r="B27" s="146" t="s">
        <v>279</v>
      </c>
      <c r="C27" s="2"/>
      <c r="D27" s="2"/>
      <c r="E27" s="2"/>
      <c r="F27" s="3"/>
      <c r="H27" s="154"/>
      <c r="K27" s="37"/>
      <c r="L27" s="135"/>
      <c r="M27" s="154"/>
      <c r="O27" s="37"/>
      <c r="Q27" s="154"/>
      <c r="R27" s="37"/>
      <c r="S27" s="163"/>
    </row>
    <row r="28">
      <c r="A28" s="184" t="s">
        <v>330</v>
      </c>
      <c r="B28" s="185" t="s">
        <v>281</v>
      </c>
      <c r="C28" s="185" t="s">
        <v>282</v>
      </c>
      <c r="D28" s="185" t="s">
        <v>283</v>
      </c>
      <c r="E28" s="185" t="s">
        <v>284</v>
      </c>
      <c r="F28" s="185" t="s">
        <v>285</v>
      </c>
      <c r="G28" s="196"/>
      <c r="H28" s="154"/>
      <c r="K28" s="37"/>
      <c r="L28" s="135"/>
      <c r="M28" s="154"/>
      <c r="O28" s="37"/>
      <c r="Q28" s="7"/>
      <c r="R28" s="9"/>
      <c r="S28" s="166"/>
    </row>
    <row r="29">
      <c r="A29" s="186" t="s">
        <v>294</v>
      </c>
      <c r="B29" s="61">
        <f>954+150</f>
        <v>1104</v>
      </c>
      <c r="C29" s="190">
        <v>200.0</v>
      </c>
      <c r="D29" s="189">
        <v>800.0</v>
      </c>
      <c r="E29" s="188">
        <f t="shared" ref="E29:E35" si="3">B29+C29</f>
        <v>1304</v>
      </c>
      <c r="F29" s="177">
        <f t="shared" ref="F29:F35" si="4">D29/E29</f>
        <v>0.6134969325</v>
      </c>
      <c r="H29" s="154"/>
      <c r="K29" s="37"/>
      <c r="L29" s="135"/>
      <c r="M29" s="154"/>
      <c r="O29" s="37"/>
      <c r="Q29" s="173"/>
      <c r="R29" s="136"/>
      <c r="S29" s="174"/>
    </row>
    <row r="30">
      <c r="A30" s="186" t="s">
        <v>295</v>
      </c>
      <c r="B30" s="61">
        <f>540+150</f>
        <v>690</v>
      </c>
      <c r="C30" s="61">
        <f>223+150</f>
        <v>373</v>
      </c>
      <c r="D30" s="61">
        <f>277+150+200</f>
        <v>627</v>
      </c>
      <c r="E30" s="188">
        <f t="shared" si="3"/>
        <v>1063</v>
      </c>
      <c r="F30" s="177">
        <f t="shared" si="4"/>
        <v>0.5898400753</v>
      </c>
      <c r="H30" s="154"/>
      <c r="K30" s="37"/>
      <c r="L30" s="135"/>
      <c r="M30" s="154"/>
      <c r="O30" s="37"/>
      <c r="Q30" s="179" t="s">
        <v>286</v>
      </c>
      <c r="R30" s="180" t="s">
        <v>336</v>
      </c>
      <c r="S30" s="6"/>
    </row>
    <row r="31">
      <c r="A31" s="186" t="s">
        <v>297</v>
      </c>
      <c r="B31" s="61">
        <f>402+150</f>
        <v>552</v>
      </c>
      <c r="C31" s="61">
        <f>238+150</f>
        <v>388</v>
      </c>
      <c r="D31" s="61">
        <f>262+150+120</f>
        <v>532</v>
      </c>
      <c r="E31" s="188">
        <f t="shared" si="3"/>
        <v>940</v>
      </c>
      <c r="F31" s="177">
        <f t="shared" si="4"/>
        <v>0.5659574468</v>
      </c>
      <c r="H31" s="154"/>
      <c r="K31" s="37"/>
      <c r="L31" s="135"/>
      <c r="M31" s="154"/>
      <c r="O31" s="37"/>
      <c r="Q31" s="163"/>
      <c r="R31" s="154"/>
      <c r="S31" s="37"/>
    </row>
    <row r="32">
      <c r="A32" s="186" t="s">
        <v>298</v>
      </c>
      <c r="B32" s="61">
        <f>310+150</f>
        <v>460</v>
      </c>
      <c r="C32" s="61">
        <f>272+150-50</f>
        <v>372</v>
      </c>
      <c r="D32" s="61">
        <f>228+150+80</f>
        <v>458</v>
      </c>
      <c r="E32" s="188">
        <f t="shared" si="3"/>
        <v>832</v>
      </c>
      <c r="F32" s="177">
        <f t="shared" si="4"/>
        <v>0.5504807692</v>
      </c>
      <c r="H32" s="154"/>
      <c r="K32" s="37"/>
      <c r="L32" s="135"/>
      <c r="M32" s="154"/>
      <c r="O32" s="37"/>
      <c r="Q32" s="163"/>
      <c r="R32" s="154"/>
      <c r="S32" s="37"/>
    </row>
    <row r="33">
      <c r="A33" s="186" t="s">
        <v>299</v>
      </c>
      <c r="B33" s="61">
        <f>278+150</f>
        <v>428</v>
      </c>
      <c r="C33" s="61">
        <f>291+150</f>
        <v>441</v>
      </c>
      <c r="D33" s="61">
        <f>209+150</f>
        <v>359</v>
      </c>
      <c r="E33" s="188">
        <f t="shared" si="3"/>
        <v>869</v>
      </c>
      <c r="F33" s="177">
        <f t="shared" si="4"/>
        <v>0.413118527</v>
      </c>
      <c r="H33" s="154"/>
      <c r="K33" s="37"/>
      <c r="L33" s="135"/>
      <c r="M33" s="154"/>
      <c r="O33" s="37"/>
      <c r="P33" s="182"/>
      <c r="Q33" s="163"/>
      <c r="R33" s="154"/>
      <c r="S33" s="37"/>
    </row>
    <row r="34">
      <c r="A34" s="186" t="s">
        <v>300</v>
      </c>
      <c r="B34" s="61">
        <f>202+150</f>
        <v>352</v>
      </c>
      <c r="C34" s="61">
        <f>334+150</f>
        <v>484</v>
      </c>
      <c r="D34" s="61">
        <f>156+150</f>
        <v>306</v>
      </c>
      <c r="E34" s="188">
        <f t="shared" si="3"/>
        <v>836</v>
      </c>
      <c r="F34" s="177">
        <f t="shared" si="4"/>
        <v>0.3660287081</v>
      </c>
      <c r="H34" s="154"/>
      <c r="K34" s="37"/>
      <c r="L34" s="135"/>
      <c r="M34" s="154"/>
      <c r="O34" s="37"/>
      <c r="P34" s="182"/>
      <c r="Q34" s="163"/>
      <c r="R34" s="154"/>
      <c r="S34" s="37"/>
    </row>
    <row r="35">
      <c r="A35" s="186" t="s">
        <v>301</v>
      </c>
      <c r="B35" s="61">
        <f>160+150</f>
        <v>310</v>
      </c>
      <c r="C35" s="61">
        <f>363+150</f>
        <v>513</v>
      </c>
      <c r="D35" s="61">
        <f>137+150-100</f>
        <v>187</v>
      </c>
      <c r="E35" s="188">
        <f t="shared" si="3"/>
        <v>823</v>
      </c>
      <c r="F35" s="177">
        <f t="shared" si="4"/>
        <v>0.227217497</v>
      </c>
      <c r="H35" s="7"/>
      <c r="I35" s="8"/>
      <c r="J35" s="8"/>
      <c r="K35" s="9"/>
      <c r="L35" s="135"/>
      <c r="M35" s="7"/>
      <c r="N35" s="8"/>
      <c r="O35" s="9"/>
      <c r="P35" s="182"/>
      <c r="Q35" s="166"/>
      <c r="R35" s="7"/>
      <c r="S35" s="9"/>
    </row>
    <row r="36">
      <c r="A36" s="196"/>
    </row>
    <row r="37">
      <c r="A37" s="146" t="s">
        <v>337</v>
      </c>
      <c r="B37" s="2"/>
      <c r="C37" s="2"/>
      <c r="D37" s="2"/>
      <c r="E37" s="2"/>
      <c r="F37" s="3"/>
      <c r="H37" s="150"/>
      <c r="I37" s="5"/>
      <c r="J37" s="5"/>
      <c r="K37" s="6"/>
      <c r="L37" s="135"/>
      <c r="M37" s="135"/>
      <c r="N37" s="135"/>
      <c r="O37" s="135"/>
    </row>
    <row r="38">
      <c r="A38" s="146" t="s">
        <v>338</v>
      </c>
      <c r="B38" s="2"/>
      <c r="C38" s="2"/>
      <c r="D38" s="2"/>
      <c r="E38" s="2"/>
      <c r="F38" s="3"/>
      <c r="H38" s="154"/>
      <c r="K38" s="37"/>
      <c r="L38" s="135"/>
      <c r="M38" s="155" t="s">
        <v>334</v>
      </c>
      <c r="N38" s="5"/>
      <c r="O38" s="6"/>
      <c r="Q38" s="156" t="s">
        <v>327</v>
      </c>
      <c r="R38" s="5"/>
      <c r="S38" s="157" t="s">
        <v>339</v>
      </c>
    </row>
    <row r="39">
      <c r="A39" s="21" t="s">
        <v>329</v>
      </c>
      <c r="B39" s="146" t="s">
        <v>279</v>
      </c>
      <c r="C39" s="2"/>
      <c r="D39" s="2"/>
      <c r="E39" s="2"/>
      <c r="F39" s="3"/>
      <c r="H39" s="154"/>
      <c r="K39" s="37"/>
      <c r="L39" s="135"/>
      <c r="M39" s="154"/>
      <c r="O39" s="37"/>
      <c r="Q39" s="154"/>
      <c r="S39" s="163"/>
    </row>
    <row r="40">
      <c r="A40" s="184" t="s">
        <v>330</v>
      </c>
      <c r="B40" s="185" t="s">
        <v>281</v>
      </c>
      <c r="C40" s="185" t="s">
        <v>282</v>
      </c>
      <c r="D40" s="185" t="s">
        <v>283</v>
      </c>
      <c r="E40" s="185" t="s">
        <v>284</v>
      </c>
      <c r="F40" s="185" t="s">
        <v>285</v>
      </c>
      <c r="G40" s="196"/>
      <c r="H40" s="154"/>
      <c r="K40" s="37"/>
      <c r="L40" s="135"/>
      <c r="M40" s="154"/>
      <c r="O40" s="37"/>
      <c r="Q40" s="154"/>
      <c r="S40" s="166"/>
    </row>
    <row r="41">
      <c r="A41" s="186" t="s">
        <v>294</v>
      </c>
      <c r="B41" s="61">
        <f>954+150</f>
        <v>1104</v>
      </c>
      <c r="C41" s="61">
        <f>192+150</f>
        <v>342</v>
      </c>
      <c r="D41" s="187">
        <f>303+300</f>
        <v>603</v>
      </c>
      <c r="E41" s="188">
        <f t="shared" ref="E41:E47" si="5">B41+C41</f>
        <v>1446</v>
      </c>
      <c r="F41" s="177">
        <f t="shared" ref="F41:F47" si="6">D41/E41</f>
        <v>0.4170124481</v>
      </c>
      <c r="H41" s="154"/>
      <c r="K41" s="37"/>
      <c r="L41" s="135"/>
      <c r="M41" s="154"/>
      <c r="O41" s="37"/>
      <c r="Q41" s="173"/>
      <c r="R41" s="136"/>
      <c r="S41" s="174"/>
    </row>
    <row r="42">
      <c r="A42" s="186" t="s">
        <v>295</v>
      </c>
      <c r="B42" s="61">
        <f>540+150</f>
        <v>690</v>
      </c>
      <c r="C42" s="61">
        <f>223+150</f>
        <v>373</v>
      </c>
      <c r="D42" s="61">
        <f>277+150</f>
        <v>427</v>
      </c>
      <c r="E42" s="188">
        <f t="shared" si="5"/>
        <v>1063</v>
      </c>
      <c r="F42" s="177">
        <f t="shared" si="6"/>
        <v>0.4016933208</v>
      </c>
      <c r="H42" s="154"/>
      <c r="K42" s="37"/>
      <c r="L42" s="135"/>
      <c r="M42" s="154"/>
      <c r="O42" s="37"/>
      <c r="Q42" s="179" t="s">
        <v>286</v>
      </c>
      <c r="R42" s="180" t="s">
        <v>340</v>
      </c>
      <c r="S42" s="6"/>
    </row>
    <row r="43">
      <c r="A43" s="186" t="s">
        <v>297</v>
      </c>
      <c r="B43" s="61">
        <f>402+150</f>
        <v>552</v>
      </c>
      <c r="C43" s="61">
        <f>238+150</f>
        <v>388</v>
      </c>
      <c r="D43" s="61">
        <f>262+150</f>
        <v>412</v>
      </c>
      <c r="E43" s="188">
        <f t="shared" si="5"/>
        <v>940</v>
      </c>
      <c r="F43" s="177">
        <f t="shared" si="6"/>
        <v>0.4382978723</v>
      </c>
      <c r="H43" s="154"/>
      <c r="K43" s="37"/>
      <c r="L43" s="135"/>
      <c r="M43" s="154"/>
      <c r="O43" s="37"/>
      <c r="Q43" s="163"/>
      <c r="R43" s="154"/>
      <c r="S43" s="37"/>
    </row>
    <row r="44">
      <c r="A44" s="186" t="s">
        <v>298</v>
      </c>
      <c r="B44" s="61">
        <f>310+150</f>
        <v>460</v>
      </c>
      <c r="C44" s="61">
        <f>272+150</f>
        <v>422</v>
      </c>
      <c r="D44" s="61">
        <f>228+150</f>
        <v>378</v>
      </c>
      <c r="E44" s="188">
        <f t="shared" si="5"/>
        <v>882</v>
      </c>
      <c r="F44" s="177">
        <f t="shared" si="6"/>
        <v>0.4285714286</v>
      </c>
      <c r="H44" s="154"/>
      <c r="K44" s="37"/>
      <c r="L44" s="135"/>
      <c r="M44" s="154"/>
      <c r="O44" s="37"/>
      <c r="Q44" s="163"/>
      <c r="R44" s="154"/>
      <c r="S44" s="37"/>
    </row>
    <row r="45">
      <c r="A45" s="186" t="s">
        <v>299</v>
      </c>
      <c r="B45" s="61">
        <f>278+150</f>
        <v>428</v>
      </c>
      <c r="C45" s="61">
        <f>291+150</f>
        <v>441</v>
      </c>
      <c r="D45" s="61">
        <f>209+150</f>
        <v>359</v>
      </c>
      <c r="E45" s="188">
        <f t="shared" si="5"/>
        <v>869</v>
      </c>
      <c r="F45" s="177">
        <f t="shared" si="6"/>
        <v>0.413118527</v>
      </c>
      <c r="H45" s="154"/>
      <c r="K45" s="37"/>
      <c r="L45" s="135"/>
      <c r="M45" s="154"/>
      <c r="O45" s="37"/>
      <c r="P45" s="182"/>
      <c r="Q45" s="163"/>
      <c r="R45" s="154"/>
      <c r="S45" s="37"/>
    </row>
    <row r="46">
      <c r="A46" s="186" t="s">
        <v>300</v>
      </c>
      <c r="B46" s="61">
        <f>202+150</f>
        <v>352</v>
      </c>
      <c r="C46" s="61">
        <f>334+150</f>
        <v>484</v>
      </c>
      <c r="D46" s="61">
        <f>156+150</f>
        <v>306</v>
      </c>
      <c r="E46" s="188">
        <f t="shared" si="5"/>
        <v>836</v>
      </c>
      <c r="F46" s="177">
        <f t="shared" si="6"/>
        <v>0.3660287081</v>
      </c>
      <c r="H46" s="154"/>
      <c r="K46" s="37"/>
      <c r="L46" s="135"/>
      <c r="M46" s="154"/>
      <c r="O46" s="37"/>
      <c r="P46" s="182"/>
      <c r="Q46" s="163"/>
      <c r="R46" s="154"/>
      <c r="S46" s="37"/>
    </row>
    <row r="47">
      <c r="A47" s="186" t="s">
        <v>301</v>
      </c>
      <c r="B47" s="61">
        <f>160+150</f>
        <v>310</v>
      </c>
      <c r="C47" s="61">
        <f>363+150</f>
        <v>513</v>
      </c>
      <c r="D47" s="61">
        <f>137+150</f>
        <v>287</v>
      </c>
      <c r="E47" s="188">
        <f t="shared" si="5"/>
        <v>823</v>
      </c>
      <c r="F47" s="177">
        <f t="shared" si="6"/>
        <v>0.3487241798</v>
      </c>
      <c r="H47" s="7"/>
      <c r="I47" s="8"/>
      <c r="J47" s="8"/>
      <c r="K47" s="9"/>
      <c r="L47" s="135"/>
      <c r="M47" s="7"/>
      <c r="N47" s="8"/>
      <c r="O47" s="9"/>
      <c r="P47" s="182"/>
      <c r="Q47" s="166"/>
      <c r="R47" s="7"/>
      <c r="S47" s="9"/>
    </row>
    <row r="48">
      <c r="A48" s="196"/>
    </row>
    <row r="49">
      <c r="A49" s="196"/>
      <c r="R49" s="162" t="s">
        <v>308</v>
      </c>
      <c r="S49" s="162" t="s">
        <v>309</v>
      </c>
    </row>
    <row r="50">
      <c r="A50" s="196"/>
      <c r="P50" s="156" t="s">
        <v>341</v>
      </c>
      <c r="Q50" s="6"/>
      <c r="R50" s="193" t="s">
        <v>342</v>
      </c>
      <c r="S50" s="193" t="s">
        <v>343</v>
      </c>
    </row>
    <row r="51">
      <c r="A51" s="196"/>
      <c r="P51" s="154"/>
      <c r="Q51" s="37"/>
      <c r="R51" s="163"/>
      <c r="S51" s="163"/>
    </row>
    <row r="52">
      <c r="A52" s="196"/>
      <c r="P52" s="154"/>
      <c r="Q52" s="37"/>
      <c r="R52" s="163"/>
      <c r="S52" s="163"/>
    </row>
    <row r="53">
      <c r="A53" s="196"/>
      <c r="P53" s="154"/>
      <c r="Q53" s="37"/>
      <c r="R53" s="163"/>
      <c r="S53" s="163"/>
    </row>
    <row r="54">
      <c r="A54" s="196"/>
      <c r="P54" s="154"/>
      <c r="Q54" s="37"/>
      <c r="R54" s="163"/>
      <c r="S54" s="163"/>
    </row>
    <row r="55">
      <c r="A55" s="196"/>
      <c r="P55" s="7"/>
      <c r="Q55" s="9"/>
      <c r="R55" s="166"/>
      <c r="S55" s="166"/>
    </row>
    <row r="56">
      <c r="A56" s="196"/>
      <c r="Q56" s="136"/>
      <c r="R56" s="136"/>
      <c r="S56" s="136"/>
    </row>
    <row r="57">
      <c r="A57" s="196"/>
      <c r="Q57" s="136"/>
      <c r="R57" s="136"/>
      <c r="S57" s="136"/>
    </row>
    <row r="58">
      <c r="A58" s="196"/>
      <c r="Q58" s="179" t="s">
        <v>344</v>
      </c>
      <c r="R58" s="180" t="s">
        <v>345</v>
      </c>
      <c r="S58" s="6"/>
    </row>
    <row r="59">
      <c r="A59" s="196"/>
      <c r="Q59" s="163"/>
      <c r="R59" s="154"/>
      <c r="S59" s="37"/>
    </row>
    <row r="60">
      <c r="A60" s="196"/>
      <c r="Q60" s="163"/>
      <c r="R60" s="154"/>
      <c r="S60" s="37"/>
    </row>
    <row r="61">
      <c r="A61" s="196"/>
      <c r="Q61" s="163"/>
      <c r="R61" s="154"/>
      <c r="S61" s="37"/>
    </row>
    <row r="62">
      <c r="A62" s="196"/>
      <c r="Q62" s="163"/>
      <c r="R62" s="154"/>
      <c r="S62" s="37"/>
    </row>
    <row r="63">
      <c r="A63" s="196"/>
      <c r="Q63" s="166"/>
      <c r="R63" s="7"/>
      <c r="S63" s="9"/>
    </row>
  </sheetData>
  <mergeCells count="43">
    <mergeCell ref="R50:R55"/>
    <mergeCell ref="S50:S55"/>
    <mergeCell ref="Q58:Q63"/>
    <mergeCell ref="R58:S63"/>
    <mergeCell ref="Q18:Q23"/>
    <mergeCell ref="Q30:Q35"/>
    <mergeCell ref="Q38:R40"/>
    <mergeCell ref="S38:S40"/>
    <mergeCell ref="Q42:Q47"/>
    <mergeCell ref="R42:S47"/>
    <mergeCell ref="P50:Q55"/>
    <mergeCell ref="A1:S1"/>
    <mergeCell ref="A2:I2"/>
    <mergeCell ref="A3:I3"/>
    <mergeCell ref="A4:I4"/>
    <mergeCell ref="A5:I5"/>
    <mergeCell ref="A6:I6"/>
    <mergeCell ref="A7:I7"/>
    <mergeCell ref="B15:F15"/>
    <mergeCell ref="A25:F25"/>
    <mergeCell ref="A14:F14"/>
    <mergeCell ref="A26:F26"/>
    <mergeCell ref="M14:O23"/>
    <mergeCell ref="Q14:R16"/>
    <mergeCell ref="S14:S16"/>
    <mergeCell ref="R18:S23"/>
    <mergeCell ref="M26:O35"/>
    <mergeCell ref="Q26:R28"/>
    <mergeCell ref="S26:S28"/>
    <mergeCell ref="R30:S35"/>
    <mergeCell ref="B27:F27"/>
    <mergeCell ref="A37:F37"/>
    <mergeCell ref="H37:K47"/>
    <mergeCell ref="A38:F38"/>
    <mergeCell ref="M38:O47"/>
    <mergeCell ref="B39:F39"/>
    <mergeCell ref="A8:I8"/>
    <mergeCell ref="A9:I9"/>
    <mergeCell ref="A10:I10"/>
    <mergeCell ref="A11:I11"/>
    <mergeCell ref="A13:F13"/>
    <mergeCell ref="H13:K23"/>
    <mergeCell ref="H25:K3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0.13"/>
    <col customWidth="1" min="3" max="3" width="15.25"/>
    <col customWidth="1" min="4" max="4" width="15.75"/>
    <col customWidth="1" min="5" max="5" width="7.88"/>
    <col customWidth="1" min="6" max="6" width="10.0"/>
    <col customWidth="1" min="19" max="19" width="23.63"/>
  </cols>
  <sheetData>
    <row r="1">
      <c r="A1" s="133" t="s">
        <v>19</v>
      </c>
      <c r="B1" s="2"/>
      <c r="C1" s="2"/>
      <c r="D1" s="2"/>
      <c r="E1" s="2"/>
      <c r="F1" s="2"/>
      <c r="G1" s="2"/>
      <c r="H1" s="2"/>
      <c r="I1" s="2"/>
      <c r="J1" s="2"/>
      <c r="K1" s="2"/>
      <c r="L1" s="2"/>
      <c r="M1" s="2"/>
      <c r="N1" s="2"/>
      <c r="O1" s="2"/>
      <c r="P1" s="2"/>
      <c r="Q1" s="2"/>
      <c r="R1" s="2"/>
      <c r="S1" s="3"/>
    </row>
    <row r="2">
      <c r="A2" s="121" t="s">
        <v>346</v>
      </c>
      <c r="B2" s="2"/>
      <c r="C2" s="2"/>
      <c r="D2" s="2"/>
      <c r="E2" s="2"/>
      <c r="F2" s="2"/>
      <c r="G2" s="2"/>
      <c r="H2" s="2"/>
      <c r="I2" s="2"/>
      <c r="J2" s="3"/>
      <c r="K2" s="134"/>
      <c r="L2" s="134"/>
      <c r="M2" s="134"/>
      <c r="N2" s="134"/>
      <c r="O2" s="134"/>
      <c r="P2" s="135"/>
      <c r="R2" s="136"/>
      <c r="S2" s="136"/>
    </row>
    <row r="3">
      <c r="A3" s="122" t="s">
        <v>347</v>
      </c>
      <c r="B3" s="2"/>
      <c r="C3" s="2"/>
      <c r="D3" s="2"/>
      <c r="E3" s="2"/>
      <c r="F3" s="2"/>
      <c r="G3" s="2"/>
      <c r="H3" s="2"/>
      <c r="I3" s="2"/>
      <c r="J3" s="3"/>
      <c r="K3" s="134"/>
      <c r="L3" s="134"/>
      <c r="M3" s="134"/>
      <c r="N3" s="134"/>
      <c r="O3" s="134"/>
      <c r="P3" s="135"/>
      <c r="R3" s="136"/>
      <c r="S3" s="136"/>
    </row>
    <row r="4">
      <c r="A4" s="11" t="s">
        <v>348</v>
      </c>
      <c r="B4" s="8"/>
      <c r="C4" s="8"/>
      <c r="D4" s="8"/>
      <c r="E4" s="8"/>
      <c r="F4" s="8"/>
      <c r="G4" s="8"/>
      <c r="H4" s="8"/>
      <c r="I4" s="8"/>
      <c r="J4" s="9"/>
      <c r="K4" s="134"/>
      <c r="L4" s="134"/>
      <c r="M4" s="134"/>
      <c r="N4" s="134"/>
      <c r="O4" s="134"/>
      <c r="P4" s="135"/>
      <c r="R4" s="136"/>
      <c r="S4" s="136"/>
    </row>
    <row r="5">
      <c r="A5" s="121" t="s">
        <v>349</v>
      </c>
      <c r="B5" s="2"/>
      <c r="C5" s="2"/>
      <c r="D5" s="2"/>
      <c r="E5" s="2"/>
      <c r="F5" s="2"/>
      <c r="G5" s="2"/>
      <c r="H5" s="2"/>
      <c r="I5" s="2"/>
      <c r="J5" s="3"/>
      <c r="K5" s="134"/>
      <c r="L5" s="134"/>
      <c r="M5" s="134"/>
      <c r="N5" s="134"/>
      <c r="O5" s="134"/>
      <c r="P5" s="135"/>
      <c r="R5" s="136"/>
      <c r="S5" s="136"/>
    </row>
    <row r="6">
      <c r="A6" s="195" t="s">
        <v>350</v>
      </c>
      <c r="B6" s="2"/>
      <c r="C6" s="2"/>
      <c r="D6" s="2"/>
      <c r="E6" s="2"/>
      <c r="F6" s="2"/>
      <c r="G6" s="2"/>
      <c r="H6" s="2"/>
      <c r="I6" s="2"/>
      <c r="J6" s="3"/>
      <c r="K6" s="138"/>
      <c r="L6" s="138"/>
      <c r="M6" s="138"/>
      <c r="N6" s="138"/>
      <c r="O6" s="138"/>
      <c r="P6" s="135"/>
      <c r="R6" s="136"/>
      <c r="S6" s="136"/>
    </row>
    <row r="7">
      <c r="A7" s="195" t="s">
        <v>351</v>
      </c>
      <c r="B7" s="2"/>
      <c r="C7" s="2"/>
      <c r="D7" s="2"/>
      <c r="E7" s="2"/>
      <c r="F7" s="2"/>
      <c r="G7" s="2"/>
      <c r="H7" s="2"/>
      <c r="I7" s="2"/>
      <c r="J7" s="3"/>
      <c r="K7" s="138"/>
      <c r="L7" s="138"/>
      <c r="M7" s="138"/>
      <c r="N7" s="138"/>
      <c r="O7" s="138"/>
      <c r="P7" s="135"/>
      <c r="R7" s="136"/>
      <c r="S7" s="136"/>
    </row>
    <row r="8">
      <c r="A8" s="195" t="s">
        <v>352</v>
      </c>
      <c r="B8" s="2"/>
      <c r="C8" s="2"/>
      <c r="D8" s="2"/>
      <c r="E8" s="2"/>
      <c r="F8" s="2"/>
      <c r="G8" s="2"/>
      <c r="H8" s="2"/>
      <c r="I8" s="2"/>
      <c r="J8" s="3"/>
      <c r="K8" s="138"/>
      <c r="L8" s="138"/>
      <c r="M8" s="138"/>
      <c r="N8" s="138"/>
      <c r="O8" s="138"/>
      <c r="P8" s="135"/>
      <c r="R8" s="136"/>
      <c r="S8" s="136"/>
    </row>
    <row r="9">
      <c r="A9" s="195" t="s">
        <v>353</v>
      </c>
      <c r="B9" s="2"/>
      <c r="C9" s="2"/>
      <c r="D9" s="2"/>
      <c r="E9" s="2"/>
      <c r="F9" s="2"/>
      <c r="G9" s="2"/>
      <c r="H9" s="2"/>
      <c r="I9" s="2"/>
      <c r="J9" s="3"/>
      <c r="K9" s="138"/>
      <c r="L9" s="138"/>
      <c r="M9" s="138"/>
      <c r="N9" s="138"/>
      <c r="O9" s="138"/>
      <c r="P9" s="135"/>
      <c r="R9" s="136"/>
      <c r="S9" s="136"/>
    </row>
    <row r="10">
      <c r="A10" s="195" t="s">
        <v>354</v>
      </c>
      <c r="B10" s="2"/>
      <c r="C10" s="2"/>
      <c r="D10" s="2"/>
      <c r="E10" s="2"/>
      <c r="F10" s="2"/>
      <c r="G10" s="2"/>
      <c r="H10" s="2"/>
      <c r="I10" s="2"/>
      <c r="J10" s="3"/>
      <c r="K10" s="138"/>
      <c r="L10" s="138"/>
      <c r="M10" s="138"/>
      <c r="N10" s="138"/>
      <c r="O10" s="138"/>
      <c r="P10" s="135"/>
    </row>
    <row r="11">
      <c r="A11" s="141" t="s">
        <v>37</v>
      </c>
      <c r="J11" s="149"/>
      <c r="K11" s="149"/>
      <c r="L11" s="149"/>
      <c r="M11" s="149"/>
      <c r="N11" s="149"/>
      <c r="O11" s="149"/>
      <c r="P11" s="135"/>
      <c r="R11" s="136"/>
      <c r="S11" s="136"/>
    </row>
    <row r="12">
      <c r="A12" s="146" t="s">
        <v>355</v>
      </c>
      <c r="B12" s="2"/>
      <c r="C12" s="2"/>
      <c r="D12" s="2"/>
      <c r="E12" s="2"/>
      <c r="F12" s="3"/>
      <c r="H12" s="198"/>
      <c r="I12" s="5"/>
      <c r="J12" s="5"/>
      <c r="K12" s="6"/>
      <c r="L12" s="135"/>
      <c r="M12" s="135"/>
      <c r="N12" s="135"/>
      <c r="O12" s="135"/>
    </row>
    <row r="13">
      <c r="A13" s="146" t="s">
        <v>356</v>
      </c>
      <c r="B13" s="2"/>
      <c r="C13" s="2"/>
      <c r="D13" s="2"/>
      <c r="E13" s="2"/>
      <c r="F13" s="3"/>
      <c r="H13" s="154"/>
      <c r="K13" s="37"/>
      <c r="L13" s="135"/>
      <c r="M13" s="155" t="s">
        <v>357</v>
      </c>
      <c r="N13" s="5"/>
      <c r="O13" s="6"/>
      <c r="Q13" s="156" t="s">
        <v>358</v>
      </c>
      <c r="R13" s="6"/>
      <c r="S13" s="157" t="s">
        <v>359</v>
      </c>
    </row>
    <row r="14">
      <c r="A14" s="21" t="s">
        <v>329</v>
      </c>
      <c r="B14" s="146" t="s">
        <v>279</v>
      </c>
      <c r="C14" s="2"/>
      <c r="D14" s="2"/>
      <c r="E14" s="2"/>
      <c r="F14" s="3"/>
      <c r="H14" s="154"/>
      <c r="K14" s="37"/>
      <c r="L14" s="135"/>
      <c r="M14" s="154"/>
      <c r="O14" s="37"/>
      <c r="Q14" s="154"/>
      <c r="R14" s="37"/>
      <c r="S14" s="163"/>
    </row>
    <row r="15">
      <c r="A15" s="184" t="s">
        <v>330</v>
      </c>
      <c r="B15" s="185" t="s">
        <v>281</v>
      </c>
      <c r="C15" s="185" t="s">
        <v>282</v>
      </c>
      <c r="D15" s="185" t="s">
        <v>283</v>
      </c>
      <c r="E15" s="185" t="s">
        <v>284</v>
      </c>
      <c r="F15" s="185" t="s">
        <v>285</v>
      </c>
      <c r="G15" s="196"/>
      <c r="H15" s="154"/>
      <c r="K15" s="37"/>
      <c r="L15" s="135"/>
      <c r="M15" s="154"/>
      <c r="O15" s="37"/>
      <c r="Q15" s="7"/>
      <c r="R15" s="9"/>
      <c r="S15" s="166"/>
    </row>
    <row r="16">
      <c r="A16" s="186" t="s">
        <v>294</v>
      </c>
      <c r="B16" s="61">
        <f>954+150+100</f>
        <v>1204</v>
      </c>
      <c r="C16" s="61">
        <f>192+150</f>
        <v>342</v>
      </c>
      <c r="D16" s="187">
        <f>303+300</f>
        <v>603</v>
      </c>
      <c r="E16" s="188">
        <f t="shared" ref="E16:E22" si="1">B16+C16</f>
        <v>1546</v>
      </c>
      <c r="F16" s="171">
        <v>0.39</v>
      </c>
      <c r="H16" s="154"/>
      <c r="K16" s="37"/>
      <c r="L16" s="135"/>
      <c r="M16" s="154"/>
      <c r="O16" s="37"/>
      <c r="Q16" s="173"/>
      <c r="R16" s="136"/>
      <c r="S16" s="174"/>
    </row>
    <row r="17">
      <c r="A17" s="186" t="s">
        <v>295</v>
      </c>
      <c r="B17" s="61">
        <f>540+150+100</f>
        <v>790</v>
      </c>
      <c r="C17" s="61">
        <f>223+150</f>
        <v>373</v>
      </c>
      <c r="D17" s="61">
        <f>277+150</f>
        <v>427</v>
      </c>
      <c r="E17" s="188">
        <f t="shared" si="1"/>
        <v>1163</v>
      </c>
      <c r="F17" s="177">
        <f t="shared" ref="F17:F22" si="2">D17/E17</f>
        <v>0.3671539123</v>
      </c>
      <c r="H17" s="154"/>
      <c r="K17" s="37"/>
      <c r="L17" s="135"/>
      <c r="M17" s="154"/>
      <c r="O17" s="37"/>
      <c r="Q17" s="179" t="s">
        <v>286</v>
      </c>
      <c r="R17" s="180" t="s">
        <v>360</v>
      </c>
      <c r="S17" s="6"/>
    </row>
    <row r="18">
      <c r="A18" s="186" t="s">
        <v>297</v>
      </c>
      <c r="B18" s="61">
        <f>402+150+100</f>
        <v>652</v>
      </c>
      <c r="C18" s="61">
        <f>238+150</f>
        <v>388</v>
      </c>
      <c r="D18" s="61">
        <f>262+150</f>
        <v>412</v>
      </c>
      <c r="E18" s="188">
        <f t="shared" si="1"/>
        <v>1040</v>
      </c>
      <c r="F18" s="177">
        <f t="shared" si="2"/>
        <v>0.3961538462</v>
      </c>
      <c r="H18" s="154"/>
      <c r="K18" s="37"/>
      <c r="L18" s="135"/>
      <c r="M18" s="154"/>
      <c r="O18" s="37"/>
      <c r="Q18" s="163"/>
      <c r="R18" s="154"/>
      <c r="S18" s="37"/>
    </row>
    <row r="19">
      <c r="A19" s="186" t="s">
        <v>298</v>
      </c>
      <c r="B19" s="61">
        <f>310+150+100</f>
        <v>560</v>
      </c>
      <c r="C19" s="61">
        <f>272+150</f>
        <v>422</v>
      </c>
      <c r="D19" s="61">
        <f>228+150</f>
        <v>378</v>
      </c>
      <c r="E19" s="188">
        <f t="shared" si="1"/>
        <v>982</v>
      </c>
      <c r="F19" s="177">
        <f t="shared" si="2"/>
        <v>0.3849287169</v>
      </c>
      <c r="H19" s="154"/>
      <c r="K19" s="37"/>
      <c r="L19" s="135"/>
      <c r="M19" s="154"/>
      <c r="O19" s="37"/>
      <c r="Q19" s="163"/>
      <c r="R19" s="154"/>
      <c r="S19" s="37"/>
    </row>
    <row r="20">
      <c r="A20" s="186" t="s">
        <v>299</v>
      </c>
      <c r="B20" s="61">
        <f>278+150+100</f>
        <v>528</v>
      </c>
      <c r="C20" s="61">
        <f>291+150</f>
        <v>441</v>
      </c>
      <c r="D20" s="61">
        <f>209+150</f>
        <v>359</v>
      </c>
      <c r="E20" s="188">
        <f t="shared" si="1"/>
        <v>969</v>
      </c>
      <c r="F20" s="177">
        <f t="shared" si="2"/>
        <v>0.3704850361</v>
      </c>
      <c r="H20" s="154"/>
      <c r="K20" s="37"/>
      <c r="L20" s="135"/>
      <c r="M20" s="154"/>
      <c r="O20" s="37"/>
      <c r="P20" s="182"/>
      <c r="Q20" s="163"/>
      <c r="R20" s="154"/>
      <c r="S20" s="37"/>
    </row>
    <row r="21">
      <c r="A21" s="186" t="s">
        <v>300</v>
      </c>
      <c r="B21" s="61">
        <f>202+150+100</f>
        <v>452</v>
      </c>
      <c r="C21" s="61">
        <f>334+150</f>
        <v>484</v>
      </c>
      <c r="D21" s="61">
        <f>156+150</f>
        <v>306</v>
      </c>
      <c r="E21" s="188">
        <f t="shared" si="1"/>
        <v>936</v>
      </c>
      <c r="F21" s="177">
        <f t="shared" si="2"/>
        <v>0.3269230769</v>
      </c>
      <c r="H21" s="154"/>
      <c r="K21" s="37"/>
      <c r="L21" s="135"/>
      <c r="M21" s="154"/>
      <c r="O21" s="37"/>
      <c r="P21" s="182"/>
      <c r="Q21" s="163"/>
      <c r="R21" s="154"/>
      <c r="S21" s="37"/>
    </row>
    <row r="22">
      <c r="A22" s="186" t="s">
        <v>301</v>
      </c>
      <c r="B22" s="61">
        <f>160+150+100</f>
        <v>410</v>
      </c>
      <c r="C22" s="61">
        <f>363+150</f>
        <v>513</v>
      </c>
      <c r="D22" s="61">
        <f>137+150</f>
        <v>287</v>
      </c>
      <c r="E22" s="188">
        <f t="shared" si="1"/>
        <v>923</v>
      </c>
      <c r="F22" s="177">
        <f t="shared" si="2"/>
        <v>0.3109425785</v>
      </c>
      <c r="H22" s="7"/>
      <c r="I22" s="8"/>
      <c r="J22" s="8"/>
      <c r="K22" s="9"/>
      <c r="L22" s="135"/>
      <c r="M22" s="7"/>
      <c r="N22" s="8"/>
      <c r="O22" s="9"/>
      <c r="P22" s="182"/>
      <c r="Q22" s="166"/>
      <c r="R22" s="7"/>
      <c r="S22" s="9"/>
    </row>
    <row r="23">
      <c r="A23" s="196"/>
      <c r="C23" s="178"/>
    </row>
    <row r="24">
      <c r="A24" s="146" t="s">
        <v>361</v>
      </c>
      <c r="B24" s="2"/>
      <c r="C24" s="2"/>
      <c r="D24" s="2"/>
      <c r="E24" s="2"/>
      <c r="F24" s="3"/>
      <c r="H24" s="198"/>
      <c r="I24" s="5"/>
      <c r="J24" s="5"/>
      <c r="K24" s="6"/>
      <c r="L24" s="135"/>
      <c r="M24" s="135"/>
      <c r="N24" s="135"/>
      <c r="O24" s="135"/>
    </row>
    <row r="25">
      <c r="A25" s="146" t="s">
        <v>362</v>
      </c>
      <c r="B25" s="2"/>
      <c r="C25" s="2"/>
      <c r="D25" s="2"/>
      <c r="E25" s="2"/>
      <c r="F25" s="3"/>
      <c r="H25" s="154"/>
      <c r="K25" s="37"/>
      <c r="L25" s="135"/>
      <c r="M25" s="155" t="s">
        <v>363</v>
      </c>
      <c r="N25" s="5"/>
      <c r="O25" s="6"/>
      <c r="Q25" s="156" t="s">
        <v>358</v>
      </c>
      <c r="R25" s="6"/>
      <c r="S25" s="157" t="s">
        <v>364</v>
      </c>
    </row>
    <row r="26">
      <c r="A26" s="21" t="s">
        <v>329</v>
      </c>
      <c r="B26" s="146" t="s">
        <v>279</v>
      </c>
      <c r="C26" s="2"/>
      <c r="D26" s="2"/>
      <c r="E26" s="2"/>
      <c r="F26" s="3"/>
      <c r="H26" s="154"/>
      <c r="K26" s="37"/>
      <c r="L26" s="135"/>
      <c r="M26" s="154"/>
      <c r="O26" s="37"/>
      <c r="Q26" s="154"/>
      <c r="R26" s="37"/>
      <c r="S26" s="163"/>
    </row>
    <row r="27">
      <c r="A27" s="184" t="s">
        <v>330</v>
      </c>
      <c r="B27" s="185" t="s">
        <v>281</v>
      </c>
      <c r="C27" s="185" t="s">
        <v>282</v>
      </c>
      <c r="D27" s="185" t="s">
        <v>283</v>
      </c>
      <c r="E27" s="185" t="s">
        <v>284</v>
      </c>
      <c r="F27" s="185" t="s">
        <v>285</v>
      </c>
      <c r="G27" s="196"/>
      <c r="H27" s="154"/>
      <c r="K27" s="37"/>
      <c r="L27" s="135"/>
      <c r="M27" s="154"/>
      <c r="O27" s="37"/>
      <c r="Q27" s="7"/>
      <c r="R27" s="9"/>
      <c r="S27" s="166"/>
    </row>
    <row r="28">
      <c r="A28" s="186" t="s">
        <v>294</v>
      </c>
      <c r="B28" s="61">
        <f>954+150+100</f>
        <v>1204</v>
      </c>
      <c r="C28" s="190">
        <v>200.0</v>
      </c>
      <c r="D28" s="189">
        <v>800.0</v>
      </c>
      <c r="E28" s="188">
        <f t="shared" ref="E28:E34" si="3">B28+C28</f>
        <v>1404</v>
      </c>
      <c r="F28" s="177">
        <f t="shared" ref="F28:F34" si="4">D28/E28</f>
        <v>0.5698005698</v>
      </c>
      <c r="H28" s="154"/>
      <c r="K28" s="37"/>
      <c r="L28" s="135"/>
      <c r="M28" s="154"/>
      <c r="O28" s="37"/>
      <c r="Q28" s="173"/>
      <c r="R28" s="136"/>
      <c r="S28" s="174"/>
    </row>
    <row r="29">
      <c r="A29" s="186" t="s">
        <v>295</v>
      </c>
      <c r="B29" s="61">
        <f>540+150+100</f>
        <v>790</v>
      </c>
      <c r="C29" s="61">
        <f>223+150</f>
        <v>373</v>
      </c>
      <c r="D29" s="61">
        <f>277+150+200</f>
        <v>627</v>
      </c>
      <c r="E29" s="188">
        <f t="shared" si="3"/>
        <v>1163</v>
      </c>
      <c r="F29" s="177">
        <f t="shared" si="4"/>
        <v>0.5391229579</v>
      </c>
      <c r="H29" s="154"/>
      <c r="K29" s="37"/>
      <c r="L29" s="135"/>
      <c r="M29" s="154"/>
      <c r="O29" s="37"/>
      <c r="Q29" s="179" t="s">
        <v>286</v>
      </c>
      <c r="R29" s="180" t="s">
        <v>365</v>
      </c>
      <c r="S29" s="6"/>
    </row>
    <row r="30">
      <c r="A30" s="186" t="s">
        <v>297</v>
      </c>
      <c r="B30" s="190">
        <v>620.0</v>
      </c>
      <c r="C30" s="61">
        <f>238+150</f>
        <v>388</v>
      </c>
      <c r="D30" s="61">
        <f>262+150+120</f>
        <v>532</v>
      </c>
      <c r="E30" s="188">
        <f t="shared" si="3"/>
        <v>1008</v>
      </c>
      <c r="F30" s="177">
        <f t="shared" si="4"/>
        <v>0.5277777778</v>
      </c>
      <c r="H30" s="154"/>
      <c r="K30" s="37"/>
      <c r="L30" s="135"/>
      <c r="M30" s="154"/>
      <c r="O30" s="37"/>
      <c r="Q30" s="163"/>
      <c r="R30" s="154"/>
      <c r="S30" s="37"/>
    </row>
    <row r="31">
      <c r="A31" s="186" t="s">
        <v>298</v>
      </c>
      <c r="B31" s="190">
        <v>510.0</v>
      </c>
      <c r="C31" s="61">
        <f>272+150-50</f>
        <v>372</v>
      </c>
      <c r="D31" s="61">
        <f>228+150+80</f>
        <v>458</v>
      </c>
      <c r="E31" s="188">
        <f t="shared" si="3"/>
        <v>882</v>
      </c>
      <c r="F31" s="177">
        <f t="shared" si="4"/>
        <v>0.5192743764</v>
      </c>
      <c r="H31" s="154"/>
      <c r="K31" s="37"/>
      <c r="L31" s="135"/>
      <c r="M31" s="154"/>
      <c r="O31" s="37"/>
      <c r="Q31" s="163"/>
      <c r="R31" s="154"/>
      <c r="S31" s="37"/>
    </row>
    <row r="32">
      <c r="A32" s="186" t="s">
        <v>299</v>
      </c>
      <c r="B32" s="190">
        <v>272.0</v>
      </c>
      <c r="C32" s="61">
        <f>291+150</f>
        <v>441</v>
      </c>
      <c r="D32" s="61">
        <f>209+150</f>
        <v>359</v>
      </c>
      <c r="E32" s="188">
        <f t="shared" si="3"/>
        <v>713</v>
      </c>
      <c r="F32" s="177">
        <f t="shared" si="4"/>
        <v>0.5035063114</v>
      </c>
      <c r="H32" s="154"/>
      <c r="K32" s="37"/>
      <c r="L32" s="135"/>
      <c r="M32" s="154"/>
      <c r="O32" s="37"/>
      <c r="P32" s="182"/>
      <c r="Q32" s="163"/>
      <c r="R32" s="154"/>
      <c r="S32" s="37"/>
    </row>
    <row r="33">
      <c r="A33" s="186" t="s">
        <v>300</v>
      </c>
      <c r="B33" s="190">
        <v>135.0</v>
      </c>
      <c r="C33" s="61">
        <f>334+150</f>
        <v>484</v>
      </c>
      <c r="D33" s="61">
        <f>156+150</f>
        <v>306</v>
      </c>
      <c r="E33" s="188">
        <f t="shared" si="3"/>
        <v>619</v>
      </c>
      <c r="F33" s="177">
        <f t="shared" si="4"/>
        <v>0.4943457189</v>
      </c>
      <c r="H33" s="154"/>
      <c r="K33" s="37"/>
      <c r="L33" s="135"/>
      <c r="M33" s="154"/>
      <c r="O33" s="37"/>
      <c r="P33" s="182"/>
      <c r="Q33" s="163"/>
      <c r="R33" s="154"/>
      <c r="S33" s="37"/>
    </row>
    <row r="34">
      <c r="A34" s="186" t="s">
        <v>301</v>
      </c>
      <c r="B34" s="190">
        <v>50.0</v>
      </c>
      <c r="C34" s="190">
        <v>590.0</v>
      </c>
      <c r="D34" s="190">
        <v>300.0</v>
      </c>
      <c r="E34" s="188">
        <f t="shared" si="3"/>
        <v>640</v>
      </c>
      <c r="F34" s="177">
        <f t="shared" si="4"/>
        <v>0.46875</v>
      </c>
      <c r="H34" s="7"/>
      <c r="I34" s="8"/>
      <c r="J34" s="8"/>
      <c r="K34" s="9"/>
      <c r="L34" s="135"/>
      <c r="M34" s="7"/>
      <c r="N34" s="8"/>
      <c r="O34" s="9"/>
      <c r="P34" s="182"/>
      <c r="Q34" s="166"/>
      <c r="R34" s="7"/>
      <c r="S34" s="9"/>
    </row>
    <row r="35">
      <c r="A35" s="196"/>
    </row>
    <row r="36">
      <c r="A36" s="146" t="s">
        <v>366</v>
      </c>
      <c r="B36" s="2"/>
      <c r="C36" s="2"/>
      <c r="D36" s="2"/>
      <c r="E36" s="2"/>
      <c r="F36" s="3"/>
      <c r="H36" s="198"/>
      <c r="I36" s="5"/>
      <c r="J36" s="5"/>
      <c r="K36" s="6"/>
      <c r="L36" s="135"/>
      <c r="M36" s="135"/>
      <c r="N36" s="135"/>
      <c r="O36" s="135"/>
    </row>
    <row r="37">
      <c r="A37" s="146" t="s">
        <v>367</v>
      </c>
      <c r="B37" s="2"/>
      <c r="C37" s="2"/>
      <c r="D37" s="2"/>
      <c r="E37" s="2"/>
      <c r="F37" s="3"/>
      <c r="H37" s="154"/>
      <c r="K37" s="37"/>
      <c r="L37" s="135"/>
      <c r="M37" s="155" t="s">
        <v>368</v>
      </c>
      <c r="N37" s="5"/>
      <c r="O37" s="6"/>
      <c r="Q37" s="156" t="s">
        <v>358</v>
      </c>
      <c r="R37" s="6"/>
      <c r="S37" s="157" t="s">
        <v>369</v>
      </c>
    </row>
    <row r="38">
      <c r="A38" s="21" t="s">
        <v>329</v>
      </c>
      <c r="B38" s="146" t="s">
        <v>279</v>
      </c>
      <c r="C38" s="2"/>
      <c r="D38" s="2"/>
      <c r="E38" s="2"/>
      <c r="F38" s="3"/>
      <c r="H38" s="154"/>
      <c r="K38" s="37"/>
      <c r="L38" s="135"/>
      <c r="M38" s="154"/>
      <c r="O38" s="37"/>
      <c r="Q38" s="154"/>
      <c r="R38" s="37"/>
      <c r="S38" s="163"/>
    </row>
    <row r="39">
      <c r="A39" s="184" t="s">
        <v>370</v>
      </c>
      <c r="B39" s="185" t="s">
        <v>281</v>
      </c>
      <c r="C39" s="185" t="s">
        <v>282</v>
      </c>
      <c r="D39" s="185" t="s">
        <v>283</v>
      </c>
      <c r="E39" s="185" t="s">
        <v>284</v>
      </c>
      <c r="F39" s="185" t="s">
        <v>285</v>
      </c>
      <c r="G39" s="196"/>
      <c r="H39" s="154"/>
      <c r="K39" s="37"/>
      <c r="L39" s="135"/>
      <c r="M39" s="154"/>
      <c r="O39" s="37"/>
      <c r="Q39" s="7"/>
      <c r="R39" s="9"/>
      <c r="S39" s="166"/>
    </row>
    <row r="40">
      <c r="A40" s="186" t="s">
        <v>294</v>
      </c>
      <c r="B40" s="61">
        <f>954-750+100</f>
        <v>304</v>
      </c>
      <c r="C40" s="61">
        <f>192+150</f>
        <v>342</v>
      </c>
      <c r="D40" s="187">
        <f>303+150</f>
        <v>453</v>
      </c>
      <c r="E40" s="188">
        <f t="shared" ref="E40:E46" si="5">B40+C40</f>
        <v>646</v>
      </c>
      <c r="F40" s="177">
        <f t="shared" ref="F40:F46" si="6">D40/E40</f>
        <v>0.7012383901</v>
      </c>
      <c r="H40" s="154"/>
      <c r="K40" s="37"/>
      <c r="L40" s="135"/>
      <c r="M40" s="154"/>
      <c r="O40" s="37"/>
      <c r="Q40" s="173"/>
      <c r="R40" s="136"/>
      <c r="S40" s="174"/>
    </row>
    <row r="41">
      <c r="A41" s="186" t="s">
        <v>295</v>
      </c>
      <c r="B41" s="61">
        <f>540-370+100</f>
        <v>270</v>
      </c>
      <c r="C41" s="190">
        <v>360.0</v>
      </c>
      <c r="D41" s="61">
        <f>277+150</f>
        <v>427</v>
      </c>
      <c r="E41" s="188">
        <f t="shared" si="5"/>
        <v>630</v>
      </c>
      <c r="F41" s="177">
        <f t="shared" si="6"/>
        <v>0.6777777778</v>
      </c>
      <c r="H41" s="154"/>
      <c r="K41" s="37"/>
      <c r="L41" s="135"/>
      <c r="M41" s="154"/>
      <c r="O41" s="37"/>
      <c r="Q41" s="179" t="s">
        <v>286</v>
      </c>
      <c r="R41" s="180" t="s">
        <v>371</v>
      </c>
      <c r="S41" s="6"/>
    </row>
    <row r="42">
      <c r="A42" s="186" t="s">
        <v>297</v>
      </c>
      <c r="B42" s="61">
        <f>402-250+100</f>
        <v>252</v>
      </c>
      <c r="C42" s="190">
        <v>370.0</v>
      </c>
      <c r="D42" s="61">
        <f>262+150</f>
        <v>412</v>
      </c>
      <c r="E42" s="188">
        <f t="shared" si="5"/>
        <v>622</v>
      </c>
      <c r="F42" s="177">
        <f t="shared" si="6"/>
        <v>0.6623794212</v>
      </c>
      <c r="H42" s="154"/>
      <c r="K42" s="37"/>
      <c r="L42" s="135"/>
      <c r="M42" s="154"/>
      <c r="O42" s="37"/>
      <c r="Q42" s="163"/>
      <c r="R42" s="154"/>
      <c r="S42" s="37"/>
    </row>
    <row r="43">
      <c r="A43" s="186" t="s">
        <v>298</v>
      </c>
      <c r="B43" s="61">
        <f>310-200+100</f>
        <v>210</v>
      </c>
      <c r="C43" s="190">
        <v>380.0</v>
      </c>
      <c r="D43" s="61">
        <f>228+150</f>
        <v>378</v>
      </c>
      <c r="E43" s="188">
        <f t="shared" si="5"/>
        <v>590</v>
      </c>
      <c r="F43" s="177">
        <f t="shared" si="6"/>
        <v>0.6406779661</v>
      </c>
      <c r="H43" s="154"/>
      <c r="K43" s="37"/>
      <c r="L43" s="135"/>
      <c r="M43" s="154"/>
      <c r="O43" s="37"/>
      <c r="Q43" s="163"/>
      <c r="R43" s="154"/>
      <c r="S43" s="37"/>
    </row>
    <row r="44">
      <c r="A44" s="186" t="s">
        <v>299</v>
      </c>
      <c r="B44" s="190">
        <f>90+100</f>
        <v>190</v>
      </c>
      <c r="C44" s="190">
        <v>520.0</v>
      </c>
      <c r="D44" s="61">
        <f>209+150</f>
        <v>359</v>
      </c>
      <c r="E44" s="188">
        <f t="shared" si="5"/>
        <v>710</v>
      </c>
      <c r="F44" s="177">
        <f t="shared" si="6"/>
        <v>0.5056338028</v>
      </c>
      <c r="H44" s="154"/>
      <c r="K44" s="37"/>
      <c r="L44" s="135"/>
      <c r="M44" s="154"/>
      <c r="O44" s="37"/>
      <c r="P44" s="182"/>
      <c r="Q44" s="163"/>
      <c r="R44" s="154"/>
      <c r="S44" s="37"/>
    </row>
    <row r="45">
      <c r="A45" s="186" t="s">
        <v>300</v>
      </c>
      <c r="B45" s="190">
        <f>65+100</f>
        <v>165</v>
      </c>
      <c r="C45" s="190">
        <v>650.0</v>
      </c>
      <c r="D45" s="61">
        <f>156+150</f>
        <v>306</v>
      </c>
      <c r="E45" s="188">
        <f t="shared" si="5"/>
        <v>815</v>
      </c>
      <c r="F45" s="177">
        <f t="shared" si="6"/>
        <v>0.3754601227</v>
      </c>
      <c r="H45" s="154"/>
      <c r="K45" s="37"/>
      <c r="L45" s="135"/>
      <c r="M45" s="154"/>
      <c r="O45" s="37"/>
      <c r="P45" s="182"/>
      <c r="Q45" s="163"/>
      <c r="R45" s="154"/>
      <c r="S45" s="37"/>
    </row>
    <row r="46">
      <c r="A46" s="186" t="s">
        <v>301</v>
      </c>
      <c r="B46" s="190">
        <f>30+100</f>
        <v>130</v>
      </c>
      <c r="C46" s="190">
        <v>874.0</v>
      </c>
      <c r="D46" s="61">
        <f>137+150</f>
        <v>287</v>
      </c>
      <c r="E46" s="188">
        <f t="shared" si="5"/>
        <v>1004</v>
      </c>
      <c r="F46" s="177">
        <f t="shared" si="6"/>
        <v>0.2858565737</v>
      </c>
      <c r="H46" s="7"/>
      <c r="I46" s="8"/>
      <c r="J46" s="8"/>
      <c r="K46" s="9"/>
      <c r="L46" s="135"/>
      <c r="M46" s="7"/>
      <c r="N46" s="8"/>
      <c r="O46" s="9"/>
      <c r="P46" s="182"/>
      <c r="Q46" s="166"/>
      <c r="R46" s="7"/>
      <c r="S46" s="9"/>
    </row>
    <row r="47">
      <c r="A47" s="196"/>
    </row>
    <row r="48">
      <c r="A48" s="196"/>
      <c r="R48" s="192" t="s">
        <v>308</v>
      </c>
      <c r="S48" s="192" t="s">
        <v>309</v>
      </c>
    </row>
    <row r="49">
      <c r="A49" s="196"/>
      <c r="B49" s="178"/>
      <c r="C49" s="178"/>
      <c r="D49" s="172"/>
      <c r="E49" s="199"/>
      <c r="F49" s="200"/>
      <c r="P49" s="156" t="s">
        <v>372</v>
      </c>
      <c r="Q49" s="6"/>
      <c r="R49" s="193" t="s">
        <v>373</v>
      </c>
      <c r="S49" s="193" t="s">
        <v>374</v>
      </c>
    </row>
    <row r="50">
      <c r="A50" s="196"/>
      <c r="B50" s="178"/>
      <c r="C50" s="201"/>
      <c r="D50" s="178"/>
      <c r="E50" s="199"/>
      <c r="F50" s="200"/>
      <c r="P50" s="154"/>
      <c r="Q50" s="37"/>
      <c r="R50" s="163"/>
      <c r="S50" s="163"/>
    </row>
    <row r="51">
      <c r="A51" s="196"/>
      <c r="B51" s="178"/>
      <c r="C51" s="201"/>
      <c r="D51" s="178"/>
      <c r="E51" s="199"/>
      <c r="F51" s="200"/>
      <c r="P51" s="154"/>
      <c r="Q51" s="37"/>
      <c r="R51" s="163"/>
      <c r="S51" s="163"/>
    </row>
    <row r="52">
      <c r="A52" s="196"/>
      <c r="B52" s="178"/>
      <c r="C52" s="201"/>
      <c r="D52" s="178"/>
      <c r="E52" s="199"/>
      <c r="F52" s="200"/>
      <c r="P52" s="154"/>
      <c r="Q52" s="37"/>
      <c r="R52" s="163"/>
      <c r="S52" s="163"/>
    </row>
    <row r="53">
      <c r="A53" s="196"/>
      <c r="B53" s="201"/>
      <c r="C53" s="201"/>
      <c r="D53" s="178"/>
      <c r="E53" s="199"/>
      <c r="F53" s="200"/>
      <c r="P53" s="154"/>
      <c r="Q53" s="37"/>
      <c r="R53" s="163"/>
      <c r="S53" s="163"/>
    </row>
    <row r="54">
      <c r="A54" s="196"/>
      <c r="B54" s="201"/>
      <c r="C54" s="201"/>
      <c r="D54" s="178"/>
      <c r="E54" s="199"/>
      <c r="F54" s="200"/>
      <c r="P54" s="7"/>
      <c r="Q54" s="9"/>
      <c r="R54" s="166"/>
      <c r="S54" s="166"/>
    </row>
    <row r="55">
      <c r="A55" s="196"/>
      <c r="B55" s="201"/>
      <c r="C55" s="201"/>
      <c r="D55" s="178"/>
      <c r="E55" s="199"/>
      <c r="F55" s="200"/>
      <c r="Q55" s="136"/>
      <c r="R55" s="136"/>
      <c r="S55" s="136"/>
    </row>
    <row r="56">
      <c r="A56" s="196"/>
      <c r="Q56" s="136"/>
      <c r="R56" s="136"/>
      <c r="S56" s="136"/>
    </row>
    <row r="57">
      <c r="A57" s="196"/>
      <c r="Q57" s="179" t="s">
        <v>375</v>
      </c>
      <c r="R57" s="180" t="s">
        <v>376</v>
      </c>
      <c r="S57" s="6"/>
    </row>
    <row r="58">
      <c r="A58" s="196"/>
      <c r="Q58" s="163"/>
      <c r="R58" s="154"/>
      <c r="S58" s="37"/>
    </row>
    <row r="59">
      <c r="A59" s="196"/>
      <c r="Q59" s="163"/>
      <c r="R59" s="154"/>
      <c r="S59" s="37"/>
    </row>
    <row r="60">
      <c r="A60" s="196"/>
      <c r="Q60" s="163"/>
      <c r="R60" s="154"/>
      <c r="S60" s="37"/>
    </row>
    <row r="61">
      <c r="A61" s="196"/>
      <c r="Q61" s="163"/>
      <c r="R61" s="154"/>
      <c r="S61" s="37"/>
    </row>
    <row r="62">
      <c r="A62" s="196"/>
      <c r="Q62" s="166"/>
      <c r="R62" s="7"/>
      <c r="S62" s="9"/>
    </row>
  </sheetData>
  <mergeCells count="43">
    <mergeCell ref="R49:R54"/>
    <mergeCell ref="S49:S54"/>
    <mergeCell ref="Q57:Q62"/>
    <mergeCell ref="R57:S62"/>
    <mergeCell ref="Q17:Q22"/>
    <mergeCell ref="Q29:Q34"/>
    <mergeCell ref="Q37:R39"/>
    <mergeCell ref="S37:S39"/>
    <mergeCell ref="Q41:Q46"/>
    <mergeCell ref="R41:S46"/>
    <mergeCell ref="P49:Q54"/>
    <mergeCell ref="A1:S1"/>
    <mergeCell ref="A2:J2"/>
    <mergeCell ref="A3:J3"/>
    <mergeCell ref="A4:J4"/>
    <mergeCell ref="A5:J5"/>
    <mergeCell ref="A6:J6"/>
    <mergeCell ref="A7:J7"/>
    <mergeCell ref="B14:F14"/>
    <mergeCell ref="A24:F24"/>
    <mergeCell ref="A13:F13"/>
    <mergeCell ref="A25:F25"/>
    <mergeCell ref="M13:O22"/>
    <mergeCell ref="Q13:R15"/>
    <mergeCell ref="S13:S15"/>
    <mergeCell ref="R17:S22"/>
    <mergeCell ref="M25:O34"/>
    <mergeCell ref="Q25:R27"/>
    <mergeCell ref="S25:S27"/>
    <mergeCell ref="R29:S34"/>
    <mergeCell ref="B26:F26"/>
    <mergeCell ref="A36:F36"/>
    <mergeCell ref="H36:K46"/>
    <mergeCell ref="A37:F37"/>
    <mergeCell ref="M37:O46"/>
    <mergeCell ref="B38:F38"/>
    <mergeCell ref="A8:J8"/>
    <mergeCell ref="A9:J9"/>
    <mergeCell ref="A10:J10"/>
    <mergeCell ref="A11:I11"/>
    <mergeCell ref="A12:F12"/>
    <mergeCell ref="H12:K22"/>
    <mergeCell ref="H24:K3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8"/>
    <col customWidth="1" min="2" max="3" width="49.63"/>
    <col customWidth="1" min="4" max="4" width="69.75"/>
  </cols>
  <sheetData>
    <row r="1">
      <c r="A1" s="120" t="s">
        <v>20</v>
      </c>
      <c r="B1" s="3"/>
      <c r="C1" s="202"/>
      <c r="D1" s="203" t="s">
        <v>377</v>
      </c>
    </row>
    <row r="2">
      <c r="A2" s="121" t="s">
        <v>378</v>
      </c>
      <c r="B2" s="3"/>
      <c r="C2" s="134"/>
      <c r="D2" s="204" t="str">
        <f>'Tab 3 - Activation Hypothesis'!A17</f>
        <v>Moment that lead to Habit:</v>
      </c>
    </row>
    <row r="3">
      <c r="A3" s="125" t="s">
        <v>379</v>
      </c>
      <c r="B3" s="37"/>
      <c r="C3" s="125"/>
      <c r="D3" s="205" t="str">
        <f>CONCATENATE('Tab 3 - Activation Hypothesis'!A18," ",'Tab 3 - Activation Hypothesis'!B18)</f>
        <v>1 Only use Slack, not email, for internal messages</v>
      </c>
    </row>
    <row r="4">
      <c r="A4" s="134"/>
      <c r="B4" s="134"/>
      <c r="C4" s="134"/>
      <c r="D4" s="205" t="str">
        <f>CONCATENATE('Tab 3 - Activation Hypothesis'!A19," ",'Tab 3 - Activation Hypothesis'!B19)</f>
        <v>2 Visualization of Acumulated notification number sent on your desktop program or mobile app </v>
      </c>
    </row>
    <row r="5">
      <c r="A5" s="40" t="s">
        <v>380</v>
      </c>
      <c r="B5" s="9"/>
      <c r="C5" s="134"/>
      <c r="D5" s="205" t="str">
        <f>CONCATENATE('Tab 3 - Activation Hypothesis'!A20," ",'Tab 3 - Activation Hypothesis'!B20)</f>
        <v>3 Sending of email notification for remember pending threads or lastest conversations</v>
      </c>
    </row>
    <row r="6">
      <c r="A6" s="124" t="s">
        <v>381</v>
      </c>
      <c r="B6" s="3"/>
      <c r="C6" s="206"/>
      <c r="D6" s="205" t="str">
        <f>CONCATENATE('Tab 3 - Activation Hypothesis'!A21," ",'Tab 3 - Activation Hypothesis'!B21)</f>
        <v>4 Free openess of channels for different purposes</v>
      </c>
    </row>
    <row r="7">
      <c r="A7" s="207" t="s">
        <v>382</v>
      </c>
      <c r="B7" s="3"/>
      <c r="C7" s="138"/>
      <c r="D7" s="205" t="str">
        <f>CONCATENATE('Tab 3 - Activation Hypothesis'!A22," ",'Tab 3 - Activation Hypothesis'!B22)</f>
        <v>5 Start free call with participating members on your channel</v>
      </c>
    </row>
    <row r="8">
      <c r="A8" s="207" t="s">
        <v>383</v>
      </c>
      <c r="B8" s="3"/>
      <c r="C8" s="138"/>
      <c r="D8" s="204" t="str">
        <f>'Tab 3 - Activation Hypothesis'!A23</f>
        <v>Moment that lead to Aha:</v>
      </c>
    </row>
    <row r="9">
      <c r="A9" s="207" t="s">
        <v>384</v>
      </c>
      <c r="B9" s="3"/>
      <c r="C9" s="138"/>
      <c r="D9" s="205" t="str">
        <f>CONCATENATE('Tab 3 - Activation Hypothesis'!A24," ",'Tab 3 - Activation Hypothesis'!B24)</f>
        <v>1 Getting notifications from team on a group channel</v>
      </c>
    </row>
    <row r="10">
      <c r="A10" s="208" t="s">
        <v>385</v>
      </c>
      <c r="C10" s="149"/>
      <c r="D10" s="205" t="str">
        <f>CONCATENATE('Tab 3 - Activation Hypothesis'!A25," ",'Tab 3 - Activation Hypothesis'!B25)</f>
        <v>2 Acces to the sending messages platform </v>
      </c>
    </row>
    <row r="11">
      <c r="A11" s="209" t="s">
        <v>245</v>
      </c>
      <c r="B11" s="209" t="s">
        <v>386</v>
      </c>
      <c r="C11" s="209" t="s">
        <v>387</v>
      </c>
      <c r="D11" s="205" t="str">
        <f>CONCATENATE('Tab 3 - Activation Hypothesis'!A26," ",'Tab 3 - Activation Hypothesis'!B26)</f>
        <v>3 Send a message test in the General channel</v>
      </c>
    </row>
    <row r="12" ht="54.75" customHeight="1">
      <c r="A12" s="210" t="str">
        <f>'Tab 4 - Habit Moment and Metric'!R51</f>
        <v>Habit Moment 1: look for a communication tool outside of email to engage with teammates                                     </v>
      </c>
      <c r="B12" s="210" t="str">
        <f>'Tab 4 - Habit Moment and Metric'!S51</f>
        <v>2000 Messages Sent in 7-days of Team Slack </v>
      </c>
      <c r="C12" s="211" t="s">
        <v>388</v>
      </c>
      <c r="D12" s="205" t="str">
        <f>CONCATENATE('Tab 3 - Activation Hypothesis'!A27," ",'Tab 3 - Activation Hypothesis'!B27)</f>
        <v>4 Send a message test in the inbox of friend</v>
      </c>
    </row>
    <row r="13">
      <c r="A13" s="209" t="s">
        <v>251</v>
      </c>
      <c r="B13" s="209" t="s">
        <v>389</v>
      </c>
      <c r="C13" s="209"/>
      <c r="D13" s="205" t="str">
        <f>CONCATENATE('Tab 3 - Activation Hypothesis'!A28," ",'Tab 3 - Activation Hypothesis'!B28)</f>
        <v>5 Invite more friends through the option</v>
      </c>
    </row>
    <row r="14" ht="72.0" customHeight="1">
      <c r="A14" s="210" t="str">
        <f>'Tab 5 - Aha Moment and Metric A'!R50</f>
        <v> Engaging with a message in a group channel</v>
      </c>
      <c r="B14" s="210" t="str">
        <f>'Tab 5 - Aha Moment and Metric A'!S50</f>
        <v>Sending 1st message in a group channel within 1 day</v>
      </c>
      <c r="C14" s="211" t="s">
        <v>390</v>
      </c>
      <c r="D14" s="212" t="str">
        <f>'Tab 3 - Activation Hypothesis'!A29</f>
        <v>Moment that lead to Setup:</v>
      </c>
    </row>
    <row r="15">
      <c r="A15" s="209" t="s">
        <v>391</v>
      </c>
      <c r="B15" s="209" t="s">
        <v>392</v>
      </c>
      <c r="C15" s="209"/>
      <c r="D15" s="205" t="str">
        <f>CONCATENATE('Tab 3 - Activation Hypothesis'!A30," ",'Tab 3 - Activation Hypothesis'!B30)</f>
        <v>1 Engage in a frequency faster than email while being mobile</v>
      </c>
    </row>
    <row r="16" ht="75.0" customHeight="1">
      <c r="A16" s="213" t="str">
        <f>'Tab 6 - Setup Moment and Metric'!R49</f>
        <v>Invite a team mate and had a back-and-forth direct convo</v>
      </c>
      <c r="B16" s="213" t="str">
        <f>'Tab 6 - Setup Moment and Metric'!S49</f>
        <v> 1 user invited within 7-days</v>
      </c>
      <c r="C16" s="211" t="s">
        <v>393</v>
      </c>
      <c r="D16" s="205" t="str">
        <f>CONCATENATE('Tab 3 - Activation Hypothesis'!A31," ",'Tab 3 - Activation Hypothesis'!B31)</f>
        <v>2 Create an working space</v>
      </c>
    </row>
    <row r="17" ht="21.75" customHeight="1">
      <c r="A17" s="214"/>
      <c r="B17" s="214"/>
      <c r="C17" s="214"/>
      <c r="D17" s="205" t="str">
        <f>CONCATENATE('Tab 3 - Activation Hypothesis'!A32," ",'Tab 3 - Activation Hypothesis'!B32)</f>
        <v>3 Reference the name of my team or company</v>
      </c>
    </row>
    <row r="18" ht="21.75" customHeight="1">
      <c r="A18" s="214"/>
      <c r="B18" s="214"/>
      <c r="C18" s="214"/>
      <c r="D18" s="205" t="str">
        <f>CONCATENATE('Tab 3 - Activation Hypothesis'!A33," ",'Tab 3 - Activation Hypothesis'!B33)</f>
        <v>4 Invite collegues using google account</v>
      </c>
    </row>
    <row r="19" ht="21.75" customHeight="1">
      <c r="A19" s="214"/>
      <c r="B19" s="214"/>
      <c r="C19" s="214"/>
      <c r="D19" s="205" t="str">
        <f>CONCATENATE('Tab 3 - Activation Hypothesis'!A34," ",'Tab 3 - Activation Hypothesis'!B34)</f>
        <v>5 Working project reference and Invite friends</v>
      </c>
    </row>
  </sheetData>
  <mergeCells count="9">
    <mergeCell ref="A9:B9"/>
    <mergeCell ref="A10:B10"/>
    <mergeCell ref="A1:B1"/>
    <mergeCell ref="A2:B2"/>
    <mergeCell ref="A3:B3"/>
    <mergeCell ref="A5:B5"/>
    <mergeCell ref="A6:B6"/>
    <mergeCell ref="A7:B7"/>
    <mergeCell ref="A8:B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6.25"/>
    <col customWidth="1" min="2" max="2" width="9.63"/>
    <col customWidth="1" min="3" max="3" width="13.13"/>
    <col customWidth="1" min="4" max="4" width="17.25"/>
    <col customWidth="1" min="5" max="5" width="11.5"/>
    <col customWidth="1" min="6" max="6" width="17.0"/>
    <col customWidth="1" min="7" max="7" width="12.75"/>
  </cols>
  <sheetData>
    <row r="1">
      <c r="A1" s="120" t="s">
        <v>22</v>
      </c>
      <c r="B1" s="2"/>
      <c r="C1" s="2"/>
      <c r="D1" s="2"/>
      <c r="E1" s="2"/>
      <c r="F1" s="2"/>
      <c r="G1" s="2"/>
      <c r="H1" s="2"/>
      <c r="I1" s="2"/>
      <c r="J1" s="2"/>
      <c r="K1" s="2"/>
      <c r="L1" s="2"/>
      <c r="M1" s="2"/>
      <c r="N1" s="3"/>
    </row>
    <row r="2">
      <c r="A2" s="121" t="s">
        <v>394</v>
      </c>
      <c r="B2" s="2"/>
      <c r="C2" s="2"/>
      <c r="D2" s="2"/>
      <c r="E2" s="2"/>
      <c r="F2" s="2"/>
      <c r="G2" s="2"/>
      <c r="H2" s="2"/>
      <c r="I2" s="2"/>
      <c r="J2" s="3"/>
      <c r="M2" s="215"/>
      <c r="N2" s="215"/>
    </row>
    <row r="3">
      <c r="A3" s="11" t="s">
        <v>395</v>
      </c>
      <c r="B3" s="8"/>
      <c r="C3" s="8"/>
      <c r="D3" s="8"/>
      <c r="E3" s="8"/>
      <c r="F3" s="8"/>
      <c r="G3" s="8"/>
      <c r="H3" s="8"/>
      <c r="I3" s="8"/>
      <c r="J3" s="9"/>
      <c r="M3" s="215"/>
      <c r="N3" s="215"/>
    </row>
    <row r="4">
      <c r="A4" s="11" t="s">
        <v>396</v>
      </c>
      <c r="B4" s="8"/>
      <c r="C4" s="8"/>
      <c r="D4" s="8"/>
      <c r="E4" s="8"/>
      <c r="F4" s="8"/>
      <c r="G4" s="8"/>
      <c r="H4" s="8"/>
      <c r="I4" s="8"/>
      <c r="J4" s="9"/>
      <c r="M4" s="215"/>
      <c r="N4" s="215"/>
    </row>
    <row r="5">
      <c r="A5" s="11" t="s">
        <v>397</v>
      </c>
      <c r="B5" s="8"/>
      <c r="C5" s="8"/>
      <c r="D5" s="8"/>
      <c r="E5" s="8"/>
      <c r="F5" s="8"/>
      <c r="G5" s="8"/>
      <c r="H5" s="8"/>
      <c r="I5" s="8"/>
      <c r="J5" s="9"/>
      <c r="M5" s="215"/>
      <c r="N5" s="215"/>
    </row>
    <row r="6">
      <c r="A6" s="121" t="s">
        <v>398</v>
      </c>
      <c r="B6" s="2"/>
      <c r="C6" s="2"/>
      <c r="D6" s="2"/>
      <c r="E6" s="2"/>
      <c r="F6" s="2"/>
      <c r="G6" s="2"/>
      <c r="H6" s="2"/>
      <c r="I6" s="2"/>
      <c r="J6" s="3"/>
      <c r="M6" s="215"/>
      <c r="N6" s="215"/>
    </row>
    <row r="7">
      <c r="A7" s="124" t="s">
        <v>399</v>
      </c>
      <c r="B7" s="2"/>
      <c r="C7" s="2"/>
      <c r="D7" s="2"/>
      <c r="E7" s="2"/>
      <c r="F7" s="2"/>
      <c r="G7" s="2"/>
      <c r="H7" s="2"/>
      <c r="I7" s="2"/>
      <c r="J7" s="3"/>
      <c r="M7" s="215"/>
      <c r="N7" s="215"/>
    </row>
    <row r="8">
      <c r="A8" s="122" t="s">
        <v>400</v>
      </c>
      <c r="B8" s="2"/>
      <c r="C8" s="2"/>
      <c r="D8" s="2"/>
      <c r="E8" s="2"/>
      <c r="F8" s="2"/>
      <c r="G8" s="2"/>
      <c r="H8" s="2"/>
      <c r="I8" s="2"/>
      <c r="J8" s="3"/>
      <c r="M8" s="215"/>
      <c r="N8" s="215"/>
    </row>
    <row r="9">
      <c r="A9" s="122" t="s">
        <v>401</v>
      </c>
      <c r="B9" s="2"/>
      <c r="C9" s="2"/>
      <c r="D9" s="2"/>
      <c r="E9" s="2"/>
      <c r="F9" s="2"/>
      <c r="G9" s="2"/>
      <c r="H9" s="2"/>
      <c r="I9" s="2"/>
      <c r="J9" s="3"/>
      <c r="M9" s="215"/>
      <c r="N9" s="215"/>
    </row>
    <row r="10">
      <c r="A10" s="195" t="s">
        <v>402</v>
      </c>
      <c r="B10" s="2"/>
      <c r="C10" s="2"/>
      <c r="D10" s="2"/>
      <c r="E10" s="2"/>
      <c r="F10" s="2"/>
      <c r="G10" s="2"/>
      <c r="H10" s="2"/>
      <c r="I10" s="2"/>
      <c r="J10" s="3"/>
      <c r="M10" s="215"/>
      <c r="N10" s="215"/>
    </row>
    <row r="11">
      <c r="A11" s="195" t="s">
        <v>403</v>
      </c>
      <c r="B11" s="2"/>
      <c r="C11" s="2"/>
      <c r="D11" s="2"/>
      <c r="E11" s="2"/>
      <c r="F11" s="2"/>
      <c r="G11" s="2"/>
      <c r="H11" s="2"/>
      <c r="I11" s="2"/>
      <c r="J11" s="3"/>
      <c r="M11" s="215"/>
      <c r="N11" s="215"/>
    </row>
    <row r="12">
      <c r="A12" s="195" t="s">
        <v>404</v>
      </c>
      <c r="B12" s="2"/>
      <c r="C12" s="2"/>
      <c r="D12" s="2"/>
      <c r="E12" s="2"/>
      <c r="F12" s="2"/>
      <c r="G12" s="2"/>
      <c r="H12" s="2"/>
      <c r="I12" s="2"/>
      <c r="J12" s="3"/>
      <c r="M12" s="215"/>
      <c r="N12" s="215"/>
    </row>
    <row r="13">
      <c r="A13" s="195" t="s">
        <v>405</v>
      </c>
      <c r="B13" s="2"/>
      <c r="C13" s="2"/>
      <c r="D13" s="2"/>
      <c r="E13" s="2"/>
      <c r="F13" s="2"/>
      <c r="G13" s="2"/>
      <c r="H13" s="2"/>
      <c r="I13" s="2"/>
      <c r="J13" s="3"/>
      <c r="M13" s="215"/>
      <c r="N13" s="215"/>
    </row>
    <row r="14">
      <c r="A14" s="195" t="s">
        <v>406</v>
      </c>
      <c r="B14" s="2"/>
      <c r="C14" s="2"/>
      <c r="D14" s="2"/>
      <c r="E14" s="2"/>
      <c r="F14" s="2"/>
      <c r="G14" s="2"/>
      <c r="H14" s="2"/>
      <c r="I14" s="2"/>
      <c r="J14" s="3"/>
      <c r="M14" s="215"/>
      <c r="N14" s="215"/>
    </row>
    <row r="15">
      <c r="A15" s="216" t="s">
        <v>407</v>
      </c>
      <c r="K15" s="149"/>
      <c r="L15" s="215"/>
      <c r="M15" s="215"/>
      <c r="N15" s="215"/>
    </row>
    <row r="16">
      <c r="A16" s="217" t="s">
        <v>408</v>
      </c>
      <c r="B16" s="2"/>
      <c r="C16" s="2"/>
      <c r="D16" s="2"/>
      <c r="E16" s="2"/>
      <c r="F16" s="2"/>
      <c r="G16" s="2"/>
      <c r="H16" s="2"/>
      <c r="I16" s="3"/>
      <c r="J16" s="218"/>
      <c r="K16" s="218" t="s">
        <v>69</v>
      </c>
    </row>
    <row r="17">
      <c r="A17" s="219" t="s">
        <v>409</v>
      </c>
      <c r="B17" s="219" t="s">
        <v>410</v>
      </c>
      <c r="C17" s="220" t="s">
        <v>20</v>
      </c>
      <c r="D17" s="2"/>
      <c r="E17" s="2"/>
      <c r="F17" s="2"/>
      <c r="G17" s="3"/>
      <c r="H17" s="221" t="s">
        <v>411</v>
      </c>
      <c r="I17" s="222" t="s">
        <v>412</v>
      </c>
      <c r="J17" s="218"/>
    </row>
    <row r="18">
      <c r="A18" s="223" t="s">
        <v>413</v>
      </c>
      <c r="B18" s="224">
        <f>sum(B19:B26)</f>
        <v>920.6</v>
      </c>
      <c r="C18" s="225" t="s">
        <v>414</v>
      </c>
      <c r="D18" s="225" t="s">
        <v>415</v>
      </c>
      <c r="E18" s="225" t="s">
        <v>416</v>
      </c>
      <c r="F18" s="225" t="s">
        <v>417</v>
      </c>
      <c r="G18" s="225" t="s">
        <v>418</v>
      </c>
      <c r="H18" s="166"/>
      <c r="I18" s="166"/>
      <c r="J18" s="218"/>
      <c r="K18" s="226" t="s">
        <v>419</v>
      </c>
      <c r="L18" s="5"/>
      <c r="M18" s="5"/>
      <c r="N18" s="6"/>
    </row>
    <row r="19">
      <c r="A19" s="227" t="s">
        <v>420</v>
      </c>
      <c r="B19" s="228">
        <f>310*0.9</f>
        <v>279</v>
      </c>
      <c r="C19" s="229">
        <v>0.85</v>
      </c>
      <c r="D19" s="230">
        <v>0.92</v>
      </c>
      <c r="E19" s="231">
        <v>0.78</v>
      </c>
      <c r="F19" s="230">
        <v>0.87</v>
      </c>
      <c r="G19" s="232">
        <v>0.68</v>
      </c>
      <c r="H19" s="233">
        <v>126.0</v>
      </c>
      <c r="I19" s="234">
        <v>0.45</v>
      </c>
      <c r="J19" s="218"/>
      <c r="K19" s="154"/>
      <c r="N19" s="37"/>
    </row>
    <row r="20">
      <c r="A20" s="227" t="s">
        <v>421</v>
      </c>
      <c r="B20" s="228">
        <f>206*0.8</f>
        <v>164.8</v>
      </c>
      <c r="C20" s="235">
        <v>0.76</v>
      </c>
      <c r="D20" s="236">
        <f t="shared" ref="D20:D27" si="1">E20/C20</f>
        <v>0.9078947368</v>
      </c>
      <c r="E20" s="237">
        <v>0.69</v>
      </c>
      <c r="F20" s="236">
        <f t="shared" ref="F20:F27" si="2">G20/E20</f>
        <v>0.9130434783</v>
      </c>
      <c r="G20" s="238">
        <v>0.63</v>
      </c>
      <c r="H20" s="239">
        <f t="shared" ref="H20:H27" si="3">B20*C20*E20*G20</f>
        <v>54.4453056</v>
      </c>
      <c r="I20" s="240">
        <f t="shared" ref="I20:I27" si="4">H20/B20</f>
        <v>0.330372</v>
      </c>
      <c r="J20" s="218"/>
      <c r="K20" s="154"/>
      <c r="N20" s="37"/>
    </row>
    <row r="21">
      <c r="A21" s="227" t="s">
        <v>422</v>
      </c>
      <c r="B21" s="228">
        <f>172*0.8</f>
        <v>137.6</v>
      </c>
      <c r="C21" s="241">
        <v>0.8</v>
      </c>
      <c r="D21" s="236">
        <f t="shared" si="1"/>
        <v>0.95</v>
      </c>
      <c r="E21" s="235">
        <v>0.76</v>
      </c>
      <c r="F21" s="236">
        <f t="shared" si="2"/>
        <v>0.9210526316</v>
      </c>
      <c r="G21" s="242">
        <v>0.7</v>
      </c>
      <c r="H21" s="239">
        <f t="shared" si="3"/>
        <v>58.56256</v>
      </c>
      <c r="I21" s="240">
        <f t="shared" si="4"/>
        <v>0.4256</v>
      </c>
      <c r="J21" s="218"/>
      <c r="K21" s="154"/>
      <c r="N21" s="37"/>
    </row>
    <row r="22">
      <c r="A22" s="227" t="s">
        <v>423</v>
      </c>
      <c r="B22" s="228">
        <f>138*0.8</f>
        <v>110.4</v>
      </c>
      <c r="C22" s="235">
        <v>0.76</v>
      </c>
      <c r="D22" s="236">
        <f t="shared" si="1"/>
        <v>0.9078947368</v>
      </c>
      <c r="E22" s="237">
        <v>0.69</v>
      </c>
      <c r="F22" s="236">
        <f t="shared" si="2"/>
        <v>0.8695652174</v>
      </c>
      <c r="G22" s="243">
        <v>0.6</v>
      </c>
      <c r="H22" s="239">
        <f t="shared" si="3"/>
        <v>34.736256</v>
      </c>
      <c r="I22" s="240">
        <f t="shared" si="4"/>
        <v>0.31464</v>
      </c>
      <c r="J22" s="218"/>
      <c r="K22" s="154"/>
      <c r="N22" s="37"/>
    </row>
    <row r="23">
      <c r="A23" s="227" t="s">
        <v>424</v>
      </c>
      <c r="B23" s="228">
        <f>112*0.8</f>
        <v>89.6</v>
      </c>
      <c r="C23" s="241">
        <v>0.8</v>
      </c>
      <c r="D23" s="236">
        <f t="shared" si="1"/>
        <v>0.9375</v>
      </c>
      <c r="E23" s="244">
        <v>0.75</v>
      </c>
      <c r="F23" s="236">
        <f t="shared" si="2"/>
        <v>0.88</v>
      </c>
      <c r="G23" s="245">
        <v>0.66</v>
      </c>
      <c r="H23" s="239">
        <f t="shared" si="3"/>
        <v>35.4816</v>
      </c>
      <c r="I23" s="240">
        <f t="shared" si="4"/>
        <v>0.396</v>
      </c>
      <c r="J23" s="218"/>
      <c r="K23" s="154"/>
      <c r="N23" s="37"/>
    </row>
    <row r="24">
      <c r="A24" s="246" t="s">
        <v>425</v>
      </c>
      <c r="B24" s="228">
        <f>92*0.8</f>
        <v>73.6</v>
      </c>
      <c r="C24" s="242">
        <v>0.7</v>
      </c>
      <c r="D24" s="236">
        <f t="shared" si="1"/>
        <v>0.9322478992</v>
      </c>
      <c r="E24" s="247">
        <v>0.6525735294117647</v>
      </c>
      <c r="F24" s="236">
        <f t="shared" si="2"/>
        <v>0.8788732394</v>
      </c>
      <c r="G24" s="248">
        <v>0.5735294117647058</v>
      </c>
      <c r="H24" s="239">
        <f t="shared" si="3"/>
        <v>19.28239619</v>
      </c>
      <c r="I24" s="240">
        <f t="shared" si="4"/>
        <v>0.2619890787</v>
      </c>
      <c r="J24" s="218"/>
      <c r="K24" s="154"/>
      <c r="N24" s="37"/>
    </row>
    <row r="25">
      <c r="A25" s="227" t="s">
        <v>426</v>
      </c>
      <c r="B25" s="228">
        <f>58*0.8</f>
        <v>46.4</v>
      </c>
      <c r="C25" s="232">
        <v>0.68</v>
      </c>
      <c r="D25" s="236">
        <f t="shared" si="1"/>
        <v>0.8823529412</v>
      </c>
      <c r="E25" s="243">
        <v>0.6</v>
      </c>
      <c r="F25" s="236">
        <f t="shared" si="2"/>
        <v>0.9166666667</v>
      </c>
      <c r="G25" s="249">
        <v>0.55</v>
      </c>
      <c r="H25" s="239">
        <f t="shared" si="3"/>
        <v>10.41216</v>
      </c>
      <c r="I25" s="240">
        <f t="shared" si="4"/>
        <v>0.2244</v>
      </c>
      <c r="J25" s="218"/>
      <c r="K25" s="154"/>
      <c r="N25" s="37"/>
    </row>
    <row r="26">
      <c r="A26" s="227" t="s">
        <v>427</v>
      </c>
      <c r="B26" s="228">
        <f>24*0.8</f>
        <v>19.2</v>
      </c>
      <c r="C26" s="237">
        <v>0.69</v>
      </c>
      <c r="D26" s="236">
        <f t="shared" si="1"/>
        <v>0.9275362319</v>
      </c>
      <c r="E26" s="250">
        <v>0.64</v>
      </c>
      <c r="F26" s="236">
        <f t="shared" si="2"/>
        <v>0.9375</v>
      </c>
      <c r="G26" s="243">
        <v>0.6</v>
      </c>
      <c r="H26" s="239">
        <f t="shared" si="3"/>
        <v>5.087232</v>
      </c>
      <c r="I26" s="240">
        <f t="shared" si="4"/>
        <v>0.26496</v>
      </c>
      <c r="J26" s="218"/>
      <c r="K26" s="154"/>
      <c r="N26" s="37"/>
    </row>
    <row r="27">
      <c r="A27" s="251" t="s">
        <v>151</v>
      </c>
      <c r="B27" s="252">
        <f t="shared" ref="B27:C27" si="5">average(B19:B26)</f>
        <v>115.075</v>
      </c>
      <c r="C27" s="253">
        <f t="shared" si="5"/>
        <v>0.755</v>
      </c>
      <c r="D27" s="236">
        <f t="shared" si="1"/>
        <v>0.9209558824</v>
      </c>
      <c r="E27" s="253">
        <f>average(E19:E26)</f>
        <v>0.6953216912</v>
      </c>
      <c r="F27" s="236">
        <f t="shared" si="2"/>
        <v>0.8977012862</v>
      </c>
      <c r="G27" s="253">
        <f>average(G19:G26)</f>
        <v>0.6241911765</v>
      </c>
      <c r="H27" s="239">
        <f t="shared" si="3"/>
        <v>37.70781244</v>
      </c>
      <c r="I27" s="240">
        <f t="shared" si="4"/>
        <v>0.3276803167</v>
      </c>
      <c r="J27" s="218"/>
      <c r="K27" s="7"/>
      <c r="L27" s="8"/>
      <c r="M27" s="8"/>
      <c r="N27" s="9"/>
    </row>
    <row r="28">
      <c r="A28" s="215"/>
      <c r="B28" s="215"/>
      <c r="C28" s="215"/>
      <c r="D28" s="215"/>
      <c r="E28" s="215"/>
      <c r="F28" s="215"/>
      <c r="G28" s="215"/>
      <c r="H28" s="215"/>
      <c r="I28" s="215"/>
      <c r="J28" s="218"/>
      <c r="K28" s="215"/>
      <c r="L28" s="215"/>
      <c r="M28" s="215"/>
      <c r="N28" s="215"/>
    </row>
    <row r="29">
      <c r="A29" s="254" t="s">
        <v>428</v>
      </c>
      <c r="B29" s="6"/>
      <c r="C29" s="254" t="s">
        <v>429</v>
      </c>
      <c r="D29" s="6"/>
      <c r="E29" s="254" t="s">
        <v>430</v>
      </c>
      <c r="F29" s="6"/>
      <c r="G29" s="254" t="s">
        <v>431</v>
      </c>
      <c r="H29" s="5"/>
      <c r="I29" s="5"/>
      <c r="J29" s="5"/>
      <c r="K29" s="5"/>
      <c r="L29" s="5"/>
      <c r="M29" s="5"/>
      <c r="N29" s="6"/>
    </row>
    <row r="30">
      <c r="A30" s="7"/>
      <c r="B30" s="9"/>
      <c r="C30" s="7"/>
      <c r="D30" s="9"/>
      <c r="E30" s="7"/>
      <c r="F30" s="9"/>
      <c r="G30" s="7"/>
      <c r="H30" s="8"/>
      <c r="I30" s="8"/>
      <c r="J30" s="8"/>
      <c r="K30" s="8"/>
      <c r="L30" s="8"/>
      <c r="M30" s="8"/>
      <c r="N30" s="9"/>
    </row>
    <row r="31">
      <c r="A31" s="255" t="s">
        <v>432</v>
      </c>
      <c r="B31" s="6"/>
      <c r="C31" s="255" t="s">
        <v>433</v>
      </c>
      <c r="D31" s="6"/>
      <c r="E31" s="255" t="s">
        <v>434</v>
      </c>
      <c r="F31" s="6"/>
      <c r="G31" s="255" t="s">
        <v>435</v>
      </c>
      <c r="H31" s="5"/>
      <c r="I31" s="5"/>
      <c r="J31" s="5"/>
      <c r="K31" s="5"/>
      <c r="L31" s="5"/>
      <c r="M31" s="5"/>
      <c r="N31" s="6"/>
    </row>
    <row r="32">
      <c r="A32" s="154"/>
      <c r="B32" s="37"/>
      <c r="C32" s="154"/>
      <c r="D32" s="37"/>
      <c r="E32" s="154"/>
      <c r="F32" s="37"/>
      <c r="G32" s="154"/>
      <c r="N32" s="37"/>
    </row>
    <row r="33">
      <c r="A33" s="154"/>
      <c r="B33" s="37"/>
      <c r="C33" s="154"/>
      <c r="D33" s="37"/>
      <c r="E33" s="154"/>
      <c r="F33" s="37"/>
      <c r="G33" s="154"/>
      <c r="N33" s="37"/>
    </row>
    <row r="34">
      <c r="A34" s="154"/>
      <c r="B34" s="37"/>
      <c r="C34" s="154"/>
      <c r="D34" s="37"/>
      <c r="E34" s="154"/>
      <c r="F34" s="37"/>
      <c r="G34" s="154"/>
      <c r="N34" s="37"/>
    </row>
    <row r="35">
      <c r="A35" s="154"/>
      <c r="B35" s="37"/>
      <c r="C35" s="154"/>
      <c r="D35" s="37"/>
      <c r="E35" s="154"/>
      <c r="F35" s="37"/>
      <c r="G35" s="154"/>
      <c r="N35" s="37"/>
    </row>
    <row r="36" ht="15.0" customHeight="1">
      <c r="A36" s="7"/>
      <c r="B36" s="9"/>
      <c r="C36" s="7"/>
      <c r="D36" s="9"/>
      <c r="E36" s="7"/>
      <c r="F36" s="9"/>
      <c r="G36" s="7"/>
      <c r="H36" s="8"/>
      <c r="I36" s="8"/>
      <c r="J36" s="8"/>
      <c r="K36" s="8"/>
      <c r="L36" s="8"/>
      <c r="M36" s="8"/>
      <c r="N36" s="9"/>
    </row>
    <row r="37">
      <c r="A37" s="215"/>
      <c r="B37" s="215"/>
      <c r="C37" s="215"/>
      <c r="D37" s="215"/>
      <c r="E37" s="215"/>
      <c r="F37" s="215"/>
      <c r="G37" s="215"/>
      <c r="H37" s="215"/>
      <c r="I37" s="215"/>
      <c r="J37" s="215"/>
      <c r="K37" s="215"/>
      <c r="L37" s="215"/>
      <c r="M37" s="215"/>
      <c r="N37" s="215"/>
    </row>
    <row r="38">
      <c r="A38" s="217" t="s">
        <v>436</v>
      </c>
      <c r="B38" s="2"/>
      <c r="C38" s="2"/>
      <c r="D38" s="2"/>
      <c r="E38" s="2"/>
      <c r="F38" s="2"/>
      <c r="G38" s="2"/>
      <c r="H38" s="2"/>
      <c r="I38" s="3"/>
      <c r="J38" s="218"/>
      <c r="K38" s="218" t="s">
        <v>69</v>
      </c>
    </row>
    <row r="39">
      <c r="A39" s="219" t="s">
        <v>437</v>
      </c>
      <c r="B39" s="256" t="s">
        <v>438</v>
      </c>
      <c r="C39" s="220"/>
      <c r="D39" s="2"/>
      <c r="E39" s="2"/>
      <c r="F39" s="2"/>
      <c r="G39" s="3"/>
      <c r="H39" s="221" t="s">
        <v>411</v>
      </c>
      <c r="I39" s="222" t="s">
        <v>412</v>
      </c>
      <c r="J39" s="218"/>
    </row>
    <row r="40">
      <c r="A40" s="223" t="s">
        <v>413</v>
      </c>
      <c r="B40" s="224">
        <f>sum(B41:B48)</f>
        <v>1450</v>
      </c>
      <c r="C40" s="225" t="s">
        <v>414</v>
      </c>
      <c r="D40" s="225" t="s">
        <v>415</v>
      </c>
      <c r="E40" s="225" t="s">
        <v>416</v>
      </c>
      <c r="F40" s="225" t="s">
        <v>417</v>
      </c>
      <c r="G40" s="225" t="s">
        <v>418</v>
      </c>
      <c r="H40" s="166"/>
      <c r="I40" s="166"/>
      <c r="J40" s="215"/>
      <c r="K40" s="257"/>
      <c r="L40" s="5"/>
      <c r="M40" s="5"/>
      <c r="N40" s="6"/>
    </row>
    <row r="41">
      <c r="A41" s="227" t="s">
        <v>439</v>
      </c>
      <c r="B41" s="258">
        <v>280.0</v>
      </c>
      <c r="C41" s="229">
        <v>0.64</v>
      </c>
      <c r="D41" s="236">
        <f t="shared" ref="D41:D49" si="6">E41/C41</f>
        <v>0.921875</v>
      </c>
      <c r="E41" s="231">
        <v>0.59</v>
      </c>
      <c r="F41" s="236">
        <f t="shared" ref="F41:F49" si="7">G41/E41</f>
        <v>0.8644067797</v>
      </c>
      <c r="G41" s="232">
        <v>0.51</v>
      </c>
      <c r="H41" s="239">
        <f t="shared" ref="H41:H49" si="8">B41*C41*E41*G41</f>
        <v>53.92128</v>
      </c>
      <c r="I41" s="236">
        <f t="shared" ref="I41:I49" si="9">H41/B41</f>
        <v>0.192576</v>
      </c>
      <c r="J41" s="215"/>
      <c r="K41" s="154"/>
      <c r="N41" s="37"/>
    </row>
    <row r="42">
      <c r="A42" s="227" t="s">
        <v>440</v>
      </c>
      <c r="B42" s="258">
        <v>370.0</v>
      </c>
      <c r="C42" s="235">
        <v>0.74</v>
      </c>
      <c r="D42" s="236">
        <f t="shared" si="6"/>
        <v>0.9324324324</v>
      </c>
      <c r="E42" s="237">
        <v>0.69</v>
      </c>
      <c r="F42" s="236">
        <f t="shared" si="7"/>
        <v>0.8985507246</v>
      </c>
      <c r="G42" s="238">
        <v>0.62</v>
      </c>
      <c r="H42" s="239">
        <f t="shared" si="8"/>
        <v>117.13164</v>
      </c>
      <c r="I42" s="236">
        <f t="shared" si="9"/>
        <v>0.316572</v>
      </c>
      <c r="J42" s="215"/>
      <c r="K42" s="154"/>
      <c r="N42" s="37"/>
    </row>
    <row r="43">
      <c r="A43" s="227" t="s">
        <v>441</v>
      </c>
      <c r="B43" s="258">
        <v>200.0</v>
      </c>
      <c r="C43" s="241">
        <v>0.78</v>
      </c>
      <c r="D43" s="236">
        <f t="shared" si="6"/>
        <v>0.9102564103</v>
      </c>
      <c r="E43" s="235">
        <v>0.71</v>
      </c>
      <c r="F43" s="236">
        <f t="shared" si="7"/>
        <v>0.9295774648</v>
      </c>
      <c r="G43" s="242">
        <v>0.66</v>
      </c>
      <c r="H43" s="239">
        <f t="shared" si="8"/>
        <v>73.1016</v>
      </c>
      <c r="I43" s="236">
        <f t="shared" si="9"/>
        <v>0.365508</v>
      </c>
      <c r="J43" s="215"/>
      <c r="K43" s="154"/>
      <c r="N43" s="37"/>
    </row>
    <row r="44">
      <c r="A44" s="227" t="s">
        <v>442</v>
      </c>
      <c r="B44" s="258">
        <v>175.0</v>
      </c>
      <c r="C44" s="235">
        <v>0.81</v>
      </c>
      <c r="D44" s="236">
        <f t="shared" si="6"/>
        <v>0.9259259259</v>
      </c>
      <c r="E44" s="237">
        <v>0.75</v>
      </c>
      <c r="F44" s="236">
        <f t="shared" si="7"/>
        <v>0.9466666667</v>
      </c>
      <c r="G44" s="243">
        <v>0.71</v>
      </c>
      <c r="H44" s="239">
        <f t="shared" si="8"/>
        <v>75.481875</v>
      </c>
      <c r="I44" s="236">
        <f t="shared" si="9"/>
        <v>0.431325</v>
      </c>
      <c r="J44" s="215"/>
      <c r="K44" s="154"/>
      <c r="N44" s="37"/>
    </row>
    <row r="45">
      <c r="A45" s="227" t="s">
        <v>443</v>
      </c>
      <c r="B45" s="258">
        <v>120.0</v>
      </c>
      <c r="C45" s="241">
        <v>0.75</v>
      </c>
      <c r="D45" s="236">
        <f t="shared" si="6"/>
        <v>0.9333333333</v>
      </c>
      <c r="E45" s="244">
        <v>0.7</v>
      </c>
      <c r="F45" s="236">
        <f t="shared" si="7"/>
        <v>0.8857142857</v>
      </c>
      <c r="G45" s="245">
        <v>0.62</v>
      </c>
      <c r="H45" s="239">
        <f t="shared" si="8"/>
        <v>39.06</v>
      </c>
      <c r="I45" s="236">
        <f t="shared" si="9"/>
        <v>0.3255</v>
      </c>
      <c r="J45" s="215"/>
      <c r="K45" s="154"/>
      <c r="N45" s="37"/>
    </row>
    <row r="46">
      <c r="A46" s="227" t="s">
        <v>444</v>
      </c>
      <c r="B46" s="258">
        <v>75.0</v>
      </c>
      <c r="C46" s="242">
        <v>0.68</v>
      </c>
      <c r="D46" s="236">
        <f t="shared" si="6"/>
        <v>0.9705882353</v>
      </c>
      <c r="E46" s="247">
        <v>0.66</v>
      </c>
      <c r="F46" s="236">
        <f t="shared" si="7"/>
        <v>0.8333333333</v>
      </c>
      <c r="G46" s="248">
        <v>0.55</v>
      </c>
      <c r="H46" s="239">
        <f t="shared" si="8"/>
        <v>18.513</v>
      </c>
      <c r="I46" s="236">
        <f t="shared" si="9"/>
        <v>0.24684</v>
      </c>
      <c r="J46" s="215"/>
      <c r="K46" s="154"/>
      <c r="N46" s="37"/>
    </row>
    <row r="47">
      <c r="A47" s="227" t="s">
        <v>445</v>
      </c>
      <c r="B47" s="258">
        <v>130.0</v>
      </c>
      <c r="C47" s="232">
        <v>0.72</v>
      </c>
      <c r="D47" s="236">
        <f t="shared" si="6"/>
        <v>0.9305555556</v>
      </c>
      <c r="E47" s="243">
        <v>0.67</v>
      </c>
      <c r="F47" s="236">
        <f t="shared" si="7"/>
        <v>0.9850746269</v>
      </c>
      <c r="G47" s="249">
        <v>0.66</v>
      </c>
      <c r="H47" s="239">
        <f t="shared" si="8"/>
        <v>41.38992</v>
      </c>
      <c r="I47" s="236">
        <f t="shared" si="9"/>
        <v>0.318384</v>
      </c>
      <c r="J47" s="215"/>
      <c r="K47" s="154"/>
      <c r="N47" s="37"/>
    </row>
    <row r="48">
      <c r="A48" s="227" t="s">
        <v>446</v>
      </c>
      <c r="B48" s="258">
        <v>100.0</v>
      </c>
      <c r="C48" s="237">
        <v>0.7</v>
      </c>
      <c r="D48" s="236">
        <f t="shared" si="6"/>
        <v>0.9</v>
      </c>
      <c r="E48" s="250">
        <v>0.63</v>
      </c>
      <c r="F48" s="236">
        <f t="shared" si="7"/>
        <v>0.9047619048</v>
      </c>
      <c r="G48" s="243">
        <v>0.57</v>
      </c>
      <c r="H48" s="239">
        <f t="shared" si="8"/>
        <v>25.137</v>
      </c>
      <c r="I48" s="236">
        <f t="shared" si="9"/>
        <v>0.25137</v>
      </c>
      <c r="J48" s="215"/>
      <c r="K48" s="154"/>
      <c r="N48" s="37"/>
    </row>
    <row r="49">
      <c r="A49" s="251" t="s">
        <v>151</v>
      </c>
      <c r="B49" s="252">
        <f t="shared" ref="B49:C49" si="10">average(B41:B48)</f>
        <v>181.25</v>
      </c>
      <c r="C49" s="253">
        <f t="shared" si="10"/>
        <v>0.7275</v>
      </c>
      <c r="D49" s="236">
        <f t="shared" si="6"/>
        <v>0.9278350515</v>
      </c>
      <c r="E49" s="253">
        <f>average(E41:E48)</f>
        <v>0.675</v>
      </c>
      <c r="F49" s="236">
        <f t="shared" si="7"/>
        <v>0.9074074074</v>
      </c>
      <c r="G49" s="253">
        <f>average(G41:G48)</f>
        <v>0.6125</v>
      </c>
      <c r="H49" s="239">
        <f t="shared" si="8"/>
        <v>54.51561035</v>
      </c>
      <c r="I49" s="236">
        <f t="shared" si="9"/>
        <v>0.3007757813</v>
      </c>
      <c r="J49" s="215"/>
      <c r="K49" s="7"/>
      <c r="L49" s="8"/>
      <c r="M49" s="8"/>
      <c r="N49" s="9"/>
    </row>
    <row r="50">
      <c r="A50" s="215"/>
      <c r="B50" s="215"/>
      <c r="C50" s="215"/>
      <c r="D50" s="215"/>
      <c r="E50" s="215"/>
      <c r="F50" s="215"/>
      <c r="G50" s="215"/>
      <c r="H50" s="215"/>
      <c r="I50" s="215"/>
      <c r="J50" s="215"/>
      <c r="K50" s="215"/>
      <c r="L50" s="215"/>
      <c r="M50" s="215"/>
      <c r="N50" s="215"/>
    </row>
    <row r="51">
      <c r="A51" s="254" t="s">
        <v>447</v>
      </c>
      <c r="B51" s="6"/>
      <c r="C51" s="254" t="s">
        <v>448</v>
      </c>
      <c r="D51" s="6"/>
      <c r="E51" s="254" t="s">
        <v>430</v>
      </c>
      <c r="F51" s="6"/>
      <c r="G51" s="254" t="s">
        <v>431</v>
      </c>
      <c r="H51" s="5"/>
      <c r="I51" s="5"/>
      <c r="J51" s="5"/>
      <c r="K51" s="5"/>
      <c r="L51" s="5"/>
      <c r="M51" s="5"/>
      <c r="N51" s="6"/>
    </row>
    <row r="52">
      <c r="A52" s="7"/>
      <c r="B52" s="9"/>
      <c r="C52" s="7"/>
      <c r="D52" s="9"/>
      <c r="E52" s="7"/>
      <c r="F52" s="9"/>
      <c r="G52" s="7"/>
      <c r="H52" s="8"/>
      <c r="I52" s="8"/>
      <c r="J52" s="8"/>
      <c r="K52" s="8"/>
      <c r="L52" s="8"/>
      <c r="M52" s="8"/>
      <c r="N52" s="9"/>
    </row>
    <row r="53">
      <c r="A53" s="255" t="s">
        <v>449</v>
      </c>
      <c r="B53" s="6"/>
      <c r="C53" s="255" t="s">
        <v>450</v>
      </c>
      <c r="D53" s="6"/>
      <c r="E53" s="255" t="s">
        <v>451</v>
      </c>
      <c r="F53" s="6"/>
      <c r="G53" s="255" t="s">
        <v>452</v>
      </c>
      <c r="H53" s="5"/>
      <c r="I53" s="5"/>
      <c r="J53" s="5"/>
      <c r="K53" s="5"/>
      <c r="L53" s="5"/>
      <c r="M53" s="5"/>
      <c r="N53" s="6"/>
    </row>
    <row r="54">
      <c r="A54" s="154"/>
      <c r="B54" s="37"/>
      <c r="C54" s="154"/>
      <c r="D54" s="37"/>
      <c r="E54" s="154"/>
      <c r="F54" s="37"/>
      <c r="G54" s="154"/>
      <c r="N54" s="37"/>
    </row>
    <row r="55">
      <c r="A55" s="154"/>
      <c r="B55" s="37"/>
      <c r="C55" s="154"/>
      <c r="D55" s="37"/>
      <c r="E55" s="154"/>
      <c r="F55" s="37"/>
      <c r="G55" s="154"/>
      <c r="N55" s="37"/>
    </row>
    <row r="56">
      <c r="A56" s="154"/>
      <c r="B56" s="37"/>
      <c r="C56" s="154"/>
      <c r="D56" s="37"/>
      <c r="E56" s="154"/>
      <c r="F56" s="37"/>
      <c r="G56" s="154"/>
      <c r="N56" s="37"/>
    </row>
    <row r="57">
      <c r="A57" s="154"/>
      <c r="B57" s="37"/>
      <c r="C57" s="154"/>
      <c r="D57" s="37"/>
      <c r="E57" s="154"/>
      <c r="F57" s="37"/>
      <c r="G57" s="154"/>
      <c r="N57" s="37"/>
    </row>
    <row r="58" ht="15.0" customHeight="1">
      <c r="A58" s="7"/>
      <c r="B58" s="9"/>
      <c r="C58" s="7"/>
      <c r="D58" s="9"/>
      <c r="E58" s="7"/>
      <c r="F58" s="9"/>
      <c r="G58" s="7"/>
      <c r="H58" s="8"/>
      <c r="I58" s="8"/>
      <c r="J58" s="8"/>
      <c r="K58" s="8"/>
      <c r="L58" s="8"/>
      <c r="M58" s="8"/>
      <c r="N58" s="9"/>
    </row>
    <row r="59">
      <c r="A59" s="215"/>
      <c r="B59" s="215"/>
      <c r="C59" s="215"/>
      <c r="D59" s="215"/>
      <c r="E59" s="215"/>
      <c r="F59" s="215"/>
      <c r="G59" s="215"/>
      <c r="H59" s="215"/>
      <c r="I59" s="215"/>
      <c r="J59" s="215"/>
      <c r="K59" s="215"/>
      <c r="L59" s="215"/>
      <c r="M59" s="215"/>
      <c r="N59" s="215"/>
    </row>
    <row r="60">
      <c r="A60" s="217" t="s">
        <v>453</v>
      </c>
      <c r="B60" s="2"/>
      <c r="C60" s="2"/>
      <c r="D60" s="2"/>
      <c r="E60" s="2"/>
      <c r="F60" s="2"/>
      <c r="G60" s="2"/>
      <c r="H60" s="2"/>
      <c r="I60" s="3"/>
      <c r="J60" s="218"/>
      <c r="K60" s="218" t="s">
        <v>69</v>
      </c>
    </row>
    <row r="61">
      <c r="A61" s="219" t="s">
        <v>454</v>
      </c>
      <c r="B61" s="256" t="s">
        <v>438</v>
      </c>
      <c r="C61" s="220"/>
      <c r="D61" s="2"/>
      <c r="E61" s="2"/>
      <c r="F61" s="2"/>
      <c r="G61" s="3"/>
      <c r="H61" s="221" t="s">
        <v>411</v>
      </c>
      <c r="I61" s="222" t="s">
        <v>412</v>
      </c>
      <c r="J61" s="218"/>
    </row>
    <row r="62">
      <c r="A62" s="223" t="s">
        <v>413</v>
      </c>
      <c r="B62" s="224">
        <f>sum(B63:B69)</f>
        <v>1500</v>
      </c>
      <c r="C62" s="225" t="s">
        <v>414</v>
      </c>
      <c r="D62" s="225" t="s">
        <v>415</v>
      </c>
      <c r="E62" s="225" t="s">
        <v>416</v>
      </c>
      <c r="F62" s="225" t="s">
        <v>415</v>
      </c>
      <c r="G62" s="225" t="s">
        <v>418</v>
      </c>
      <c r="H62" s="166"/>
      <c r="I62" s="166"/>
      <c r="J62" s="215"/>
      <c r="K62" s="257"/>
      <c r="L62" s="5"/>
      <c r="M62" s="5"/>
      <c r="N62" s="6"/>
    </row>
    <row r="63">
      <c r="A63" s="246" t="s">
        <v>455</v>
      </c>
      <c r="B63" s="258">
        <v>100.0</v>
      </c>
      <c r="C63" s="229">
        <v>0.59</v>
      </c>
      <c r="D63" s="236">
        <f t="shared" ref="D63:D70" si="11">E63/C63</f>
        <v>0.9322033898</v>
      </c>
      <c r="E63" s="231">
        <v>0.55</v>
      </c>
      <c r="F63" s="236">
        <f t="shared" ref="F63:F70" si="12">G63/E63</f>
        <v>0.8727272727</v>
      </c>
      <c r="G63" s="232">
        <v>0.48</v>
      </c>
      <c r="H63" s="239">
        <f t="shared" ref="H63:H70" si="13">B63*C63*E63*G63</f>
        <v>15.576</v>
      </c>
      <c r="I63" s="236">
        <f t="shared" ref="I63:I70" si="14">H63/B63</f>
        <v>0.15576</v>
      </c>
      <c r="J63" s="215"/>
      <c r="K63" s="154"/>
      <c r="N63" s="37"/>
    </row>
    <row r="64">
      <c r="A64" s="246" t="s">
        <v>456</v>
      </c>
      <c r="B64" s="258">
        <v>250.0</v>
      </c>
      <c r="C64" s="235">
        <v>0.62</v>
      </c>
      <c r="D64" s="236">
        <f t="shared" si="11"/>
        <v>0.9838709677</v>
      </c>
      <c r="E64" s="237">
        <v>0.61</v>
      </c>
      <c r="F64" s="236">
        <f t="shared" si="12"/>
        <v>0.8360655738</v>
      </c>
      <c r="G64" s="238">
        <v>0.51</v>
      </c>
      <c r="H64" s="239">
        <f t="shared" si="13"/>
        <v>48.2205</v>
      </c>
      <c r="I64" s="236">
        <f t="shared" si="14"/>
        <v>0.192882</v>
      </c>
      <c r="J64" s="215"/>
      <c r="K64" s="154"/>
      <c r="N64" s="37"/>
    </row>
    <row r="65">
      <c r="A65" s="246" t="s">
        <v>457</v>
      </c>
      <c r="B65" s="258">
        <v>210.0</v>
      </c>
      <c r="C65" s="241">
        <v>0.7</v>
      </c>
      <c r="D65" s="236">
        <f t="shared" si="11"/>
        <v>0.8714285714</v>
      </c>
      <c r="E65" s="235">
        <v>0.61</v>
      </c>
      <c r="F65" s="236">
        <f t="shared" si="12"/>
        <v>0.9016393443</v>
      </c>
      <c r="G65" s="242">
        <v>0.55</v>
      </c>
      <c r="H65" s="239">
        <f t="shared" si="13"/>
        <v>49.3185</v>
      </c>
      <c r="I65" s="236">
        <f t="shared" si="14"/>
        <v>0.23485</v>
      </c>
      <c r="J65" s="215"/>
      <c r="K65" s="154"/>
      <c r="N65" s="37"/>
    </row>
    <row r="66">
      <c r="A66" s="246" t="s">
        <v>458</v>
      </c>
      <c r="B66" s="258">
        <v>250.0</v>
      </c>
      <c r="C66" s="235">
        <v>0.83</v>
      </c>
      <c r="D66" s="236">
        <f t="shared" si="11"/>
        <v>0.9156626506</v>
      </c>
      <c r="E66" s="237">
        <v>0.76</v>
      </c>
      <c r="F66" s="236">
        <f t="shared" si="12"/>
        <v>0.9210526316</v>
      </c>
      <c r="G66" s="243">
        <v>0.7</v>
      </c>
      <c r="H66" s="239">
        <f t="shared" si="13"/>
        <v>110.39</v>
      </c>
      <c r="I66" s="236">
        <f t="shared" si="14"/>
        <v>0.44156</v>
      </c>
      <c r="J66" s="215"/>
      <c r="K66" s="154"/>
      <c r="N66" s="37"/>
    </row>
    <row r="67">
      <c r="A67" s="246" t="s">
        <v>459</v>
      </c>
      <c r="B67" s="258">
        <v>220.0</v>
      </c>
      <c r="C67" s="241">
        <v>0.86</v>
      </c>
      <c r="D67" s="236">
        <f t="shared" si="11"/>
        <v>0.9069767442</v>
      </c>
      <c r="E67" s="244">
        <v>0.78</v>
      </c>
      <c r="F67" s="236">
        <f t="shared" si="12"/>
        <v>0.9358974359</v>
      </c>
      <c r="G67" s="245">
        <v>0.73</v>
      </c>
      <c r="H67" s="239">
        <f t="shared" si="13"/>
        <v>107.73048</v>
      </c>
      <c r="I67" s="236">
        <f t="shared" si="14"/>
        <v>0.489684</v>
      </c>
      <c r="J67" s="215"/>
      <c r="K67" s="154"/>
      <c r="N67" s="37"/>
    </row>
    <row r="68">
      <c r="A68" s="246" t="s">
        <v>460</v>
      </c>
      <c r="B68" s="258">
        <v>270.0</v>
      </c>
      <c r="C68" s="242">
        <v>0.872063968015992</v>
      </c>
      <c r="D68" s="236">
        <f t="shared" si="11"/>
        <v>0.9288309456</v>
      </c>
      <c r="E68" s="247">
        <v>0.81</v>
      </c>
      <c r="F68" s="236">
        <f t="shared" si="12"/>
        <v>0.9012345679</v>
      </c>
      <c r="G68" s="248">
        <v>0.73</v>
      </c>
      <c r="H68" s="239">
        <f t="shared" si="13"/>
        <v>139.2258846</v>
      </c>
      <c r="I68" s="236">
        <f t="shared" si="14"/>
        <v>0.5156514243</v>
      </c>
      <c r="J68" s="215"/>
      <c r="K68" s="154"/>
      <c r="N68" s="37"/>
    </row>
    <row r="69">
      <c r="A69" s="246" t="s">
        <v>461</v>
      </c>
      <c r="B69" s="258">
        <v>200.0</v>
      </c>
      <c r="C69" s="232">
        <v>0.88</v>
      </c>
      <c r="D69" s="236">
        <f t="shared" si="11"/>
        <v>0.9090909091</v>
      </c>
      <c r="E69" s="243">
        <v>0.8</v>
      </c>
      <c r="F69" s="236">
        <f t="shared" si="12"/>
        <v>0.8875</v>
      </c>
      <c r="G69" s="249">
        <v>0.71</v>
      </c>
      <c r="H69" s="239">
        <f t="shared" si="13"/>
        <v>99.968</v>
      </c>
      <c r="I69" s="236">
        <f t="shared" si="14"/>
        <v>0.49984</v>
      </c>
      <c r="J69" s="215"/>
      <c r="K69" s="154"/>
      <c r="N69" s="37"/>
    </row>
    <row r="70">
      <c r="A70" s="223" t="s">
        <v>151</v>
      </c>
      <c r="B70" s="252">
        <f t="shared" ref="B70:C70" si="15">average(B63:B69)</f>
        <v>214.2857143</v>
      </c>
      <c r="C70" s="253">
        <f t="shared" si="15"/>
        <v>0.7645805669</v>
      </c>
      <c r="D70" s="236">
        <f t="shared" si="11"/>
        <v>0.9192715239</v>
      </c>
      <c r="E70" s="253">
        <f>average(E63:E69)</f>
        <v>0.7028571429</v>
      </c>
      <c r="F70" s="236">
        <f t="shared" si="12"/>
        <v>0.8963414634</v>
      </c>
      <c r="G70" s="253">
        <f>average(G63:G69)</f>
        <v>0.63</v>
      </c>
      <c r="H70" s="239">
        <f t="shared" si="13"/>
        <v>72.54777322</v>
      </c>
      <c r="I70" s="236">
        <f t="shared" si="14"/>
        <v>0.338556275</v>
      </c>
      <c r="J70" s="215"/>
      <c r="K70" s="7"/>
      <c r="L70" s="8"/>
      <c r="M70" s="8"/>
      <c r="N70" s="9"/>
    </row>
    <row r="71">
      <c r="A71" s="215"/>
      <c r="B71" s="215"/>
      <c r="C71" s="215"/>
      <c r="D71" s="215"/>
      <c r="E71" s="215"/>
      <c r="F71" s="215"/>
      <c r="G71" s="215"/>
      <c r="H71" s="215"/>
      <c r="I71" s="215"/>
      <c r="J71" s="215"/>
      <c r="K71" s="215"/>
      <c r="L71" s="215"/>
      <c r="M71" s="215"/>
      <c r="N71" s="215"/>
    </row>
    <row r="72">
      <c r="A72" s="254" t="s">
        <v>462</v>
      </c>
      <c r="B72" s="6"/>
      <c r="C72" s="254" t="s">
        <v>463</v>
      </c>
      <c r="D72" s="6"/>
      <c r="E72" s="254" t="s">
        <v>430</v>
      </c>
      <c r="F72" s="6"/>
      <c r="G72" s="254" t="s">
        <v>431</v>
      </c>
      <c r="H72" s="5"/>
      <c r="I72" s="5"/>
      <c r="J72" s="5"/>
      <c r="K72" s="5"/>
      <c r="L72" s="5"/>
      <c r="M72" s="5"/>
      <c r="N72" s="6"/>
    </row>
    <row r="73">
      <c r="A73" s="7"/>
      <c r="B73" s="9"/>
      <c r="C73" s="7"/>
      <c r="D73" s="9"/>
      <c r="E73" s="7"/>
      <c r="F73" s="9"/>
      <c r="G73" s="7"/>
      <c r="H73" s="8"/>
      <c r="I73" s="8"/>
      <c r="J73" s="8"/>
      <c r="K73" s="8"/>
      <c r="L73" s="8"/>
      <c r="M73" s="8"/>
      <c r="N73" s="9"/>
    </row>
    <row r="74">
      <c r="A74" s="255" t="s">
        <v>464</v>
      </c>
      <c r="B74" s="6"/>
      <c r="C74" s="255" t="s">
        <v>465</v>
      </c>
      <c r="D74" s="6"/>
      <c r="E74" s="255" t="s">
        <v>466</v>
      </c>
      <c r="F74" s="6"/>
      <c r="G74" s="255" t="s">
        <v>467</v>
      </c>
      <c r="H74" s="5"/>
      <c r="I74" s="5"/>
      <c r="J74" s="5"/>
      <c r="K74" s="5"/>
      <c r="L74" s="5"/>
      <c r="M74" s="5"/>
      <c r="N74" s="6"/>
    </row>
    <row r="75">
      <c r="A75" s="154"/>
      <c r="B75" s="37"/>
      <c r="C75" s="154"/>
      <c r="D75" s="37"/>
      <c r="E75" s="154"/>
      <c r="F75" s="37"/>
      <c r="G75" s="154"/>
      <c r="N75" s="37"/>
    </row>
    <row r="76">
      <c r="A76" s="154"/>
      <c r="B76" s="37"/>
      <c r="C76" s="154"/>
      <c r="D76" s="37"/>
      <c r="E76" s="154"/>
      <c r="F76" s="37"/>
      <c r="G76" s="154"/>
      <c r="N76" s="37"/>
    </row>
    <row r="77">
      <c r="A77" s="154"/>
      <c r="B77" s="37"/>
      <c r="C77" s="154"/>
      <c r="D77" s="37"/>
      <c r="E77" s="154"/>
      <c r="F77" s="37"/>
      <c r="G77" s="154"/>
      <c r="N77" s="37"/>
    </row>
    <row r="78">
      <c r="A78" s="154"/>
      <c r="B78" s="37"/>
      <c r="C78" s="154"/>
      <c r="D78" s="37"/>
      <c r="E78" s="154"/>
      <c r="F78" s="37"/>
      <c r="G78" s="154"/>
      <c r="N78" s="37"/>
    </row>
    <row r="79" ht="15.0" customHeight="1">
      <c r="A79" s="7"/>
      <c r="B79" s="9"/>
      <c r="C79" s="7"/>
      <c r="D79" s="9"/>
      <c r="E79" s="7"/>
      <c r="F79" s="9"/>
      <c r="G79" s="7"/>
      <c r="H79" s="8"/>
      <c r="I79" s="8"/>
      <c r="J79" s="8"/>
      <c r="K79" s="8"/>
      <c r="L79" s="8"/>
      <c r="M79" s="8"/>
      <c r="N79" s="9"/>
    </row>
    <row r="80">
      <c r="A80" s="215"/>
      <c r="B80" s="215"/>
      <c r="C80" s="215"/>
      <c r="D80" s="215"/>
      <c r="E80" s="215"/>
      <c r="F80" s="215"/>
      <c r="G80" s="215"/>
      <c r="H80" s="215"/>
      <c r="I80" s="215"/>
      <c r="J80" s="215"/>
      <c r="K80" s="215"/>
      <c r="L80" s="215"/>
      <c r="M80" s="215"/>
      <c r="N80" s="215"/>
    </row>
    <row r="81">
      <c r="A81" s="217" t="s">
        <v>468</v>
      </c>
      <c r="B81" s="2"/>
      <c r="C81" s="2"/>
      <c r="D81" s="2"/>
      <c r="E81" s="2"/>
      <c r="F81" s="2"/>
      <c r="G81" s="2"/>
      <c r="H81" s="2"/>
      <c r="I81" s="3"/>
      <c r="J81" s="218"/>
      <c r="K81" s="218" t="s">
        <v>69</v>
      </c>
    </row>
    <row r="82">
      <c r="A82" s="219" t="s">
        <v>469</v>
      </c>
      <c r="B82" s="256" t="s">
        <v>438</v>
      </c>
      <c r="C82" s="220"/>
      <c r="D82" s="2"/>
      <c r="E82" s="2"/>
      <c r="F82" s="2"/>
      <c r="G82" s="3"/>
      <c r="H82" s="221" t="s">
        <v>411</v>
      </c>
      <c r="I82" s="222" t="s">
        <v>412</v>
      </c>
      <c r="J82" s="218"/>
    </row>
    <row r="83">
      <c r="A83" s="223" t="s">
        <v>413</v>
      </c>
      <c r="B83" s="224">
        <f>sum(B84:B88)</f>
        <v>1490</v>
      </c>
      <c r="C83" s="225" t="s">
        <v>414</v>
      </c>
      <c r="D83" s="225" t="s">
        <v>415</v>
      </c>
      <c r="E83" s="225" t="s">
        <v>416</v>
      </c>
      <c r="F83" s="225" t="s">
        <v>415</v>
      </c>
      <c r="G83" s="225" t="s">
        <v>418</v>
      </c>
      <c r="H83" s="166"/>
      <c r="I83" s="166"/>
      <c r="J83" s="215"/>
      <c r="K83" s="257"/>
      <c r="L83" s="5"/>
      <c r="M83" s="5"/>
      <c r="N83" s="6"/>
    </row>
    <row r="84">
      <c r="A84" s="246" t="s">
        <v>470</v>
      </c>
      <c r="B84" s="258">
        <v>250.0</v>
      </c>
      <c r="C84" s="229">
        <v>0.72</v>
      </c>
      <c r="D84" s="236">
        <f t="shared" ref="D84:D89" si="16">E84/C84</f>
        <v>0.9444444444</v>
      </c>
      <c r="E84" s="231">
        <v>0.68</v>
      </c>
      <c r="F84" s="236">
        <f t="shared" ref="F84:F89" si="17">G84/E84</f>
        <v>0.8823529412</v>
      </c>
      <c r="G84" s="232">
        <v>0.6</v>
      </c>
      <c r="H84" s="239">
        <f t="shared" ref="H84:H89" si="18">B84*C84*E84*G84</f>
        <v>73.44</v>
      </c>
      <c r="I84" s="236">
        <f t="shared" ref="I84:I89" si="19">H84/B84</f>
        <v>0.29376</v>
      </c>
      <c r="J84" s="215"/>
      <c r="K84" s="154"/>
      <c r="N84" s="37"/>
    </row>
    <row r="85">
      <c r="A85" s="246" t="s">
        <v>471</v>
      </c>
      <c r="B85" s="258">
        <v>310.0</v>
      </c>
      <c r="C85" s="235">
        <v>0.76</v>
      </c>
      <c r="D85" s="236">
        <f t="shared" si="16"/>
        <v>0.9210526316</v>
      </c>
      <c r="E85" s="237">
        <v>0.7</v>
      </c>
      <c r="F85" s="236">
        <f t="shared" si="17"/>
        <v>0.8428571429</v>
      </c>
      <c r="G85" s="238">
        <v>0.59</v>
      </c>
      <c r="H85" s="239">
        <f t="shared" si="18"/>
        <v>97.3028</v>
      </c>
      <c r="I85" s="236">
        <f t="shared" si="19"/>
        <v>0.31388</v>
      </c>
      <c r="J85" s="215"/>
      <c r="K85" s="154"/>
      <c r="N85" s="37"/>
    </row>
    <row r="86">
      <c r="A86" s="246" t="s">
        <v>472</v>
      </c>
      <c r="B86" s="258">
        <v>390.0</v>
      </c>
      <c r="C86" s="241">
        <v>0.8</v>
      </c>
      <c r="D86" s="236">
        <f t="shared" si="16"/>
        <v>0.9125</v>
      </c>
      <c r="E86" s="235">
        <v>0.73</v>
      </c>
      <c r="F86" s="236">
        <f t="shared" si="17"/>
        <v>0.8904109589</v>
      </c>
      <c r="G86" s="242">
        <v>0.65</v>
      </c>
      <c r="H86" s="239">
        <f t="shared" si="18"/>
        <v>148.044</v>
      </c>
      <c r="I86" s="236">
        <f t="shared" si="19"/>
        <v>0.3796</v>
      </c>
      <c r="J86" s="215"/>
      <c r="K86" s="154"/>
      <c r="N86" s="37"/>
    </row>
    <row r="87">
      <c r="A87" s="246" t="s">
        <v>473</v>
      </c>
      <c r="B87" s="258">
        <v>430.0</v>
      </c>
      <c r="C87" s="235">
        <v>0.83</v>
      </c>
      <c r="D87" s="236">
        <f t="shared" si="16"/>
        <v>0.9397590361</v>
      </c>
      <c r="E87" s="237">
        <v>0.78</v>
      </c>
      <c r="F87" s="236">
        <f t="shared" si="17"/>
        <v>0.9102564103</v>
      </c>
      <c r="G87" s="243">
        <v>0.71</v>
      </c>
      <c r="H87" s="239">
        <f t="shared" si="18"/>
        <v>197.65122</v>
      </c>
      <c r="I87" s="236">
        <f t="shared" si="19"/>
        <v>0.459654</v>
      </c>
      <c r="J87" s="215"/>
      <c r="K87" s="154"/>
      <c r="N87" s="37"/>
    </row>
    <row r="88">
      <c r="A88" s="246" t="s">
        <v>474</v>
      </c>
      <c r="B88" s="258">
        <v>110.0</v>
      </c>
      <c r="C88" s="241">
        <v>0.7</v>
      </c>
      <c r="D88" s="236">
        <f t="shared" si="16"/>
        <v>0.9428571429</v>
      </c>
      <c r="E88" s="244">
        <v>0.66</v>
      </c>
      <c r="F88" s="236">
        <f t="shared" si="17"/>
        <v>0.8787878788</v>
      </c>
      <c r="G88" s="245">
        <v>0.58</v>
      </c>
      <c r="H88" s="239">
        <f t="shared" si="18"/>
        <v>29.4756</v>
      </c>
      <c r="I88" s="236">
        <f t="shared" si="19"/>
        <v>0.26796</v>
      </c>
      <c r="J88" s="215"/>
      <c r="K88" s="154"/>
      <c r="N88" s="37"/>
    </row>
    <row r="89">
      <c r="A89" s="259" t="s">
        <v>151</v>
      </c>
      <c r="B89" s="224">
        <f t="shared" ref="B89:C89" si="20">average(B84:B88)</f>
        <v>298</v>
      </c>
      <c r="C89" s="253">
        <f t="shared" si="20"/>
        <v>0.762</v>
      </c>
      <c r="D89" s="236">
        <f t="shared" si="16"/>
        <v>0.9317585302</v>
      </c>
      <c r="E89" s="253">
        <f>average(E84:E88)</f>
        <v>0.71</v>
      </c>
      <c r="F89" s="236">
        <f t="shared" si="17"/>
        <v>0.8816901408</v>
      </c>
      <c r="G89" s="253">
        <f>average(G84:G88)</f>
        <v>0.626</v>
      </c>
      <c r="H89" s="239">
        <f t="shared" si="18"/>
        <v>100.926199</v>
      </c>
      <c r="I89" s="236">
        <f t="shared" si="19"/>
        <v>0.33867852</v>
      </c>
      <c r="J89" s="215"/>
      <c r="K89" s="7"/>
      <c r="L89" s="8"/>
      <c r="M89" s="8"/>
      <c r="N89" s="9"/>
    </row>
    <row r="90">
      <c r="A90" s="215"/>
      <c r="B90" s="215"/>
      <c r="C90" s="215"/>
      <c r="D90" s="215"/>
      <c r="E90" s="215"/>
      <c r="F90" s="215"/>
      <c r="G90" s="215"/>
      <c r="H90" s="215"/>
      <c r="I90" s="215"/>
      <c r="J90" s="215"/>
      <c r="K90" s="215"/>
      <c r="L90" s="215"/>
      <c r="M90" s="215"/>
      <c r="N90" s="215"/>
    </row>
    <row r="91">
      <c r="A91" s="254" t="s">
        <v>475</v>
      </c>
      <c r="B91" s="6"/>
      <c r="C91" s="254" t="s">
        <v>476</v>
      </c>
      <c r="D91" s="6"/>
      <c r="E91" s="254" t="s">
        <v>430</v>
      </c>
      <c r="F91" s="6"/>
      <c r="G91" s="254" t="s">
        <v>431</v>
      </c>
      <c r="H91" s="5"/>
      <c r="I91" s="5"/>
      <c r="J91" s="5"/>
      <c r="K91" s="5"/>
      <c r="L91" s="5"/>
      <c r="M91" s="5"/>
      <c r="N91" s="6"/>
    </row>
    <row r="92">
      <c r="A92" s="7"/>
      <c r="B92" s="9"/>
      <c r="C92" s="7"/>
      <c r="D92" s="9"/>
      <c r="E92" s="7"/>
      <c r="F92" s="9"/>
      <c r="G92" s="7"/>
      <c r="H92" s="8"/>
      <c r="I92" s="8"/>
      <c r="J92" s="8"/>
      <c r="K92" s="8"/>
      <c r="L92" s="8"/>
      <c r="M92" s="8"/>
      <c r="N92" s="9"/>
    </row>
    <row r="93">
      <c r="A93" s="255" t="s">
        <v>477</v>
      </c>
      <c r="B93" s="6"/>
      <c r="C93" s="255" t="s">
        <v>478</v>
      </c>
      <c r="D93" s="6"/>
      <c r="E93" s="255" t="s">
        <v>479</v>
      </c>
      <c r="F93" s="6"/>
      <c r="G93" s="255" t="s">
        <v>480</v>
      </c>
      <c r="H93" s="5"/>
      <c r="I93" s="5"/>
      <c r="J93" s="5"/>
      <c r="K93" s="5"/>
      <c r="L93" s="5"/>
      <c r="M93" s="5"/>
      <c r="N93" s="6"/>
    </row>
    <row r="94">
      <c r="A94" s="154"/>
      <c r="B94" s="37"/>
      <c r="C94" s="154"/>
      <c r="D94" s="37"/>
      <c r="E94" s="154"/>
      <c r="F94" s="37"/>
      <c r="G94" s="154"/>
      <c r="N94" s="37"/>
    </row>
    <row r="95">
      <c r="A95" s="154"/>
      <c r="B95" s="37"/>
      <c r="C95" s="154"/>
      <c r="D95" s="37"/>
      <c r="E95" s="154"/>
      <c r="F95" s="37"/>
      <c r="G95" s="154"/>
      <c r="N95" s="37"/>
    </row>
    <row r="96">
      <c r="A96" s="154"/>
      <c r="B96" s="37"/>
      <c r="C96" s="154"/>
      <c r="D96" s="37"/>
      <c r="E96" s="154"/>
      <c r="F96" s="37"/>
      <c r="G96" s="154"/>
      <c r="N96" s="37"/>
    </row>
    <row r="97">
      <c r="A97" s="154"/>
      <c r="B97" s="37"/>
      <c r="C97" s="154"/>
      <c r="D97" s="37"/>
      <c r="E97" s="154"/>
      <c r="F97" s="37"/>
      <c r="G97" s="154"/>
      <c r="N97" s="37"/>
    </row>
    <row r="98" ht="24.0" customHeight="1">
      <c r="A98" s="7"/>
      <c r="B98" s="9"/>
      <c r="C98" s="7"/>
      <c r="D98" s="9"/>
      <c r="E98" s="7"/>
      <c r="F98" s="9"/>
      <c r="G98" s="7"/>
      <c r="H98" s="8"/>
      <c r="I98" s="8"/>
      <c r="J98" s="8"/>
      <c r="K98" s="8"/>
      <c r="L98" s="8"/>
      <c r="M98" s="8"/>
      <c r="N98" s="9"/>
    </row>
  </sheetData>
  <mergeCells count="71">
    <mergeCell ref="K38:N39"/>
    <mergeCell ref="C39:G39"/>
    <mergeCell ref="H39:H40"/>
    <mergeCell ref="I39:I40"/>
    <mergeCell ref="K40:N49"/>
    <mergeCell ref="A51:B52"/>
    <mergeCell ref="C51:D52"/>
    <mergeCell ref="A53:B58"/>
    <mergeCell ref="C53:D58"/>
    <mergeCell ref="E53:F58"/>
    <mergeCell ref="G53:N58"/>
    <mergeCell ref="A60:I60"/>
    <mergeCell ref="K60:N61"/>
    <mergeCell ref="C61:G61"/>
    <mergeCell ref="H61:H62"/>
    <mergeCell ref="I61:I62"/>
    <mergeCell ref="K62:N70"/>
    <mergeCell ref="A72:B73"/>
    <mergeCell ref="C72:D73"/>
    <mergeCell ref="E72:F73"/>
    <mergeCell ref="G72:N73"/>
    <mergeCell ref="A74:B79"/>
    <mergeCell ref="C74:D79"/>
    <mergeCell ref="E74:F79"/>
    <mergeCell ref="G74:N79"/>
    <mergeCell ref="A81:I81"/>
    <mergeCell ref="K81:N82"/>
    <mergeCell ref="C82:G82"/>
    <mergeCell ref="A1:N1"/>
    <mergeCell ref="A2:J2"/>
    <mergeCell ref="A3:J3"/>
    <mergeCell ref="A4:J4"/>
    <mergeCell ref="A5:J5"/>
    <mergeCell ref="A6:J6"/>
    <mergeCell ref="A7:J7"/>
    <mergeCell ref="A8:J8"/>
    <mergeCell ref="A9:J9"/>
    <mergeCell ref="A10:J10"/>
    <mergeCell ref="A11:J11"/>
    <mergeCell ref="A12:J12"/>
    <mergeCell ref="A13:J13"/>
    <mergeCell ref="A14:J14"/>
    <mergeCell ref="A15:J15"/>
    <mergeCell ref="A16:I16"/>
    <mergeCell ref="K16:N17"/>
    <mergeCell ref="C17:G17"/>
    <mergeCell ref="H17:H18"/>
    <mergeCell ref="I17:I18"/>
    <mergeCell ref="K18:N27"/>
    <mergeCell ref="E31:F36"/>
    <mergeCell ref="A38:I38"/>
    <mergeCell ref="A29:B30"/>
    <mergeCell ref="C29:D30"/>
    <mergeCell ref="E29:F30"/>
    <mergeCell ref="G29:N30"/>
    <mergeCell ref="A31:B36"/>
    <mergeCell ref="C31:D36"/>
    <mergeCell ref="G31:N36"/>
    <mergeCell ref="E51:F52"/>
    <mergeCell ref="G51:N52"/>
    <mergeCell ref="A93:B98"/>
    <mergeCell ref="C93:D98"/>
    <mergeCell ref="E93:F98"/>
    <mergeCell ref="G93:N98"/>
    <mergeCell ref="H82:H83"/>
    <mergeCell ref="I82:I83"/>
    <mergeCell ref="K83:N89"/>
    <mergeCell ref="A91:B92"/>
    <mergeCell ref="C91:D92"/>
    <mergeCell ref="E91:F92"/>
    <mergeCell ref="G91:N92"/>
  </mergeCells>
  <drawing r:id="rId1"/>
  <tableParts count="12">
    <tablePart r:id="rId14"/>
    <tablePart r:id="rId15"/>
    <tablePart r:id="rId16"/>
    <tablePart r:id="rId17"/>
    <tablePart r:id="rId18"/>
    <tablePart r:id="rId19"/>
    <tablePart r:id="rId20"/>
    <tablePart r:id="rId21"/>
    <tablePart r:id="rId22"/>
    <tablePart r:id="rId23"/>
    <tablePart r:id="rId24"/>
    <tablePart r:id="rId25"/>
  </tableParts>
</worksheet>
</file>