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 sheetId="1" r:id="rId4"/>
    <sheet state="visible" name="Tab 1 - Engagement Type Analysi" sheetId="2" r:id="rId5"/>
    <sheet state="visible" name="Tab 2 - Engagement State Analys" sheetId="3" r:id="rId6"/>
    <sheet state="visible" name="Tab 3 - Retention Cohort Analys" sheetId="4" r:id="rId7"/>
    <sheet state="visible" name="Tab 4 - Retention Curve " sheetId="5" r:id="rId8"/>
    <sheet state="visible" name="Tab 5 - Retention Segmentation" sheetId="6" r:id="rId9"/>
    <sheet state="visible" name="Tab 6 - Lifecycle Chart" sheetId="7" r:id="rId10"/>
    <sheet state="visible" name="Tab 7 - Churn &amp; LTV Analysis" sheetId="8" r:id="rId11"/>
    <sheet state="visible" name="Tab 8 - Experment Brief" sheetId="9" r:id="rId12"/>
  </sheets>
  <definedNames/>
  <calcPr/>
</workbook>
</file>

<file path=xl/sharedStrings.xml><?xml version="1.0" encoding="utf-8"?>
<sst xmlns="http://schemas.openxmlformats.org/spreadsheetml/2006/main" count="370" uniqueCount="281">
  <si>
    <t>Retention Analysis</t>
  </si>
  <si>
    <r>
      <rPr>
        <rFont val="Arial"/>
        <b/>
        <color theme="1"/>
      </rPr>
      <t>Instructions:</t>
    </r>
    <r>
      <rPr>
        <rFont val="Arial"/>
        <color theme="1"/>
      </rPr>
      <t xml:space="preserve"> After you've activated users, it's important to retain them so they can continue not only using product, but experience value proposition as frequently as possible. The tasks in this sheet will accomplish this by helping you understand different engagement techniques, measuring retention through cohort analysis, and calculating churn rate. 
You will suggest experiments to improve retention metrics to ensure activated customers stay activated by increasing engagement types and for churn experiments. 
Complete Tabs 1 - 8 in-order by using www.slack.com. The tasks will help you understand how to apply retention theories to build continuous retention loops by taking raw data. You will use data from experiments to improve retention metrics. You can then use the user engagement cohort metrics to measure LTV (Life-time Value).</t>
    </r>
  </si>
  <si>
    <t>Mark a task completed on Column B after completing each Tab.</t>
  </si>
  <si>
    <t>Tab</t>
  </si>
  <si>
    <t>Completed?</t>
  </si>
  <si>
    <t>Tasks</t>
  </si>
  <si>
    <t>Engagement</t>
  </si>
  <si>
    <t>Engagement Type Analysis</t>
  </si>
  <si>
    <t>Engagement State Analysis</t>
  </si>
  <si>
    <t>Retention</t>
  </si>
  <si>
    <t>Retention Cohort Analysis</t>
  </si>
  <si>
    <t>Retention Curve</t>
  </si>
  <si>
    <t>Retention Segment</t>
  </si>
  <si>
    <t>Churn</t>
  </si>
  <si>
    <t>Life Cycle Chart</t>
  </si>
  <si>
    <t>Churn &amp; LTV Analysis</t>
  </si>
  <si>
    <t>Experiment</t>
  </si>
  <si>
    <t>Experiment Brief to dormant users</t>
  </si>
  <si>
    <r>
      <rPr>
        <rFont val="Arial"/>
        <b/>
        <color theme="1"/>
      </rPr>
      <t xml:space="preserve">Scenario: </t>
    </r>
    <r>
      <rPr>
        <rFont val="Arial"/>
        <b val="0"/>
        <color theme="1"/>
      </rPr>
      <t xml:space="preserve">Slack has noticed that they can acquire customers easily, but are unable to determine how long their users retain, when they churn, and for what reason. You are asked to conduct an analysis to understand 
(1) how to keep the acquired users engaged
(2) how long users stay retained
(3) what the lifetime value of an average user is. </t>
    </r>
  </si>
  <si>
    <r>
      <rPr>
        <rFont val="Arial"/>
        <b/>
        <color theme="1"/>
      </rPr>
      <t xml:space="preserve">Skill: </t>
    </r>
    <r>
      <rPr>
        <rFont val="Arial"/>
        <b val="0"/>
        <color theme="1"/>
      </rPr>
      <t xml:space="preserve">This tab will help you apply theories learned about engagement types and apply them to Slack. Based on the initial activation funnel analysis, you will extrapolate and map Slack's engagement types:
</t>
    </r>
    <r>
      <rPr>
        <rFont val="Arial"/>
        <b/>
        <color theme="1"/>
      </rPr>
      <t>Use-case
Frequency
Feature usage
Intensity</t>
    </r>
    <r>
      <rPr>
        <rFont val="Arial"/>
        <b val="0"/>
        <color theme="1"/>
      </rPr>
      <t xml:space="preserve">
Use the activation funnel to determine what use-case a user has that gets them to your moments. 
After a user has reached activation, you then have to ensure the user stayed engaged. Conducting this analysis, you can then know how to keep your users engaged and engaged, and avoid churn as much as possible early on. After conducting this analysis, you will know different types of triggers that increase engagement.</t>
    </r>
  </si>
  <si>
    <t>Instructions:</t>
  </si>
  <si>
    <r>
      <rPr>
        <rFont val="Arial"/>
        <color rgb="FF000000"/>
      </rPr>
      <t xml:space="preserve">1. In Rows 16 - 21 should match what you found from your previous Habit, Aha, and Setup analysis in Activation - Tab 7. If it </t>
    </r>
    <r>
      <rPr>
        <rFont val="Arial"/>
        <b/>
        <color rgb="FF000000"/>
      </rPr>
      <t>does not match</t>
    </r>
    <r>
      <rPr>
        <rFont val="Arial"/>
        <color rgb="FF000000"/>
      </rPr>
      <t>, you should look over your work in that section to ensure you completed it correctly.</t>
    </r>
  </si>
  <si>
    <t>2. From the Activation Funnel in the previous step, determine what a primary use-case of Slack in Row 23 - 26. Then determine what other use-cases there can be of Slack in Row 28 - 32.</t>
  </si>
  <si>
    <t>3. Select a frequency for the primary use-case selected in Row 39 - 42 and explain why you decided on this frequency. Then determine the frequency of the other use-cases in Row 44 - 48.</t>
  </si>
  <si>
    <t>4. Select a product feature that would help guide your user to their use-case in Row 57 - 60.</t>
  </si>
  <si>
    <t>5. Select the intensity metric that can be measured that leads your user to their use-case in Row 67 - 70.</t>
  </si>
  <si>
    <t>6. Summarize the Engagement Types in Row 73 - 76.</t>
  </si>
  <si>
    <t>Rows colored in orange have been completed as examples for you. All formulas have been removed</t>
  </si>
  <si>
    <t>Use-Case</t>
  </si>
  <si>
    <t>Upload below items from the Activation Project:</t>
  </si>
  <si>
    <t>Habit Moment</t>
  </si>
  <si>
    <r>
      <rPr>
        <rFont val="Arial"/>
        <color theme="1"/>
      </rPr>
      <t xml:space="preserve"> Habit Moment 1</t>
    </r>
    <r>
      <rPr>
        <rFont val="Arial"/>
        <color theme="1"/>
      </rPr>
      <t xml:space="preserve">: look for a communication tool outside of emal to engage with teammates                                        </t>
    </r>
  </si>
  <si>
    <t>Habit Metric</t>
  </si>
  <si>
    <t>Habit Metric 1: # of Team Slack Messages Sent in 7-days</t>
  </si>
  <si>
    <t>Aha Moment</t>
  </si>
  <si>
    <t>Aha Moment 1: Engaging with a message in a group channel</t>
  </si>
  <si>
    <t>Aha Metric</t>
  </si>
  <si>
    <r>
      <rPr>
        <rFont val="Arial"/>
        <color theme="1"/>
      </rPr>
      <t xml:space="preserve">Aha Metric 1: </t>
    </r>
    <r>
      <rPr>
        <rFont val="Arial"/>
        <color theme="1"/>
      </rPr>
      <t>Sending 1st message in a group channel within X days</t>
    </r>
  </si>
  <si>
    <t>Setup Moment</t>
  </si>
  <si>
    <r>
      <rPr>
        <rFont val="Arial"/>
        <color theme="1"/>
      </rPr>
      <t xml:space="preserve">Setup Action 3: </t>
    </r>
    <r>
      <rPr>
        <rFont val="Arial"/>
        <color theme="1"/>
      </rPr>
      <t>Invite a team mate and had a back-and-forth direct convo</t>
    </r>
  </si>
  <si>
    <t>Setup Metric</t>
  </si>
  <si>
    <r>
      <rPr>
        <rFont val="Arial"/>
        <color theme="1"/>
      </rPr>
      <t xml:space="preserve">Setup Metric 3: </t>
    </r>
    <r>
      <rPr>
        <rFont val="Arial"/>
        <color theme="1"/>
      </rPr>
      <t># of users invited within 7-days</t>
    </r>
  </si>
  <si>
    <t xml:space="preserve">Working backwards and using the Moments and Metrics calculated, what do you think is the primary use-case for the customer? To help you, think backwards. If you were a user of Slack, what use-case would help you accomplish the metrics above. </t>
  </si>
  <si>
    <t xml:space="preserve"> Engaging with a message in a group channel</t>
  </si>
  <si>
    <r>
      <rPr>
        <rFont val="Arial"/>
        <color theme="1"/>
      </rPr>
      <t xml:space="preserve">What </t>
    </r>
    <r>
      <rPr>
        <rFont val="Arial"/>
        <b/>
        <color theme="1"/>
      </rPr>
      <t>other use-cases</t>
    </r>
    <r>
      <rPr>
        <rFont val="Arial"/>
        <color theme="1"/>
      </rPr>
      <t xml:space="preserve"> are there for Slack?</t>
    </r>
  </si>
  <si>
    <t>To create like-minded user communities</t>
  </si>
  <si>
    <t>Searching conversations through tags</t>
  </si>
  <si>
    <t xml:space="preserve">Filters by keywords </t>
  </si>
  <si>
    <t>Call by channel</t>
  </si>
  <si>
    <t>open channels</t>
  </si>
  <si>
    <t>Frequency:</t>
  </si>
  <si>
    <t>For the use-case of sending messages to internal teammates, how often is this frequency needed? (daily, weekly, monthly, quarterly, or yearly) Explain your reasoning of this selection.</t>
  </si>
  <si>
    <t xml:space="preserve">dialy frequency because every days teams need updated comunication among them, thats why its needed to follow that rythm of communication using the tool, </t>
  </si>
  <si>
    <t>What are the frequencies of the different use-cases you selected above (ROW 29-32)?</t>
  </si>
  <si>
    <t>Weekly</t>
  </si>
  <si>
    <t>weekly</t>
  </si>
  <si>
    <t>monthly</t>
  </si>
  <si>
    <t>Feature:</t>
  </si>
  <si>
    <t>Slack has many features such as: group message, direct message, call, engage slackbots.</t>
  </si>
  <si>
    <t>Which feature would be the focus to drive the customer to engage with to help them meet their use-case?</t>
  </si>
  <si>
    <t xml:space="preserve">conversational threads inside and outside channels </t>
  </si>
  <si>
    <t>Intensity:</t>
  </si>
  <si>
    <t>If our goal is to get our customers to communicate with each other as much as possible, what should be the intensity metric we drive users to do often?</t>
  </si>
  <si>
    <t xml:space="preserve">average of # typed words by user  per day </t>
  </si>
  <si>
    <t>Engagement Types:</t>
  </si>
  <si>
    <t>the usage of  complementary use cases that can increae the engagement of primary use case such as Searching conversations through tags, Filters by keywords , Call by channel</t>
  </si>
  <si>
    <t>Frequency</t>
  </si>
  <si>
    <t>The primary use case  has already a daily frecuency which is good</t>
  </si>
  <si>
    <t>Feature</t>
  </si>
  <si>
    <t>conversational threads inside and outside channels helps to get a better engagement with our primary use case</t>
  </si>
  <si>
    <t>Intensity</t>
  </si>
  <si>
    <t>Add more concrete actions in this feature to increase the engagement of our primary use case and the average sesion time</t>
  </si>
  <si>
    <r>
      <rPr>
        <rFont val="Arial"/>
        <b/>
        <color theme="1"/>
      </rPr>
      <t xml:space="preserve">Scenario: </t>
    </r>
    <r>
      <rPr>
        <rFont val="Arial"/>
        <b val="0"/>
        <color theme="1"/>
      </rPr>
      <t>Slack has noticed that they can acquire customers easily, but are unable to determine how long their users retain, when they churn, and for what reason. You are asked to conduct an analysis to understand how engaged users are.</t>
    </r>
  </si>
  <si>
    <r>
      <rPr>
        <rFont val="Arial"/>
        <b/>
        <color theme="1"/>
      </rPr>
      <t xml:space="preserve">Skill: </t>
    </r>
    <r>
      <rPr>
        <rFont val="Arial"/>
        <b val="0"/>
        <color theme="1"/>
      </rPr>
      <t xml:space="preserve">Based on the engagement types Power, Core, and Casual, place your existing users into separate buckets that represent their range of engagement. </t>
    </r>
  </si>
  <si>
    <t>For example, a core user on Uber Eats might order 1 meal with 2 items est. $13 every week. A casual user might do 1 meal with 1 item est. $8 every month. A power user might do 1 meal with 2+ items est. $15 3-times a week. 
Understanding what state your users are in is beneficial so you know how to engage them. For example, you likely would not ask your casual for referrals, but certainly would ask power users to refer others onto Ubereats.</t>
  </si>
  <si>
    <r>
      <rPr>
        <rFont val="Arial"/>
        <b/>
        <color theme="1"/>
      </rPr>
      <t xml:space="preserve">1. </t>
    </r>
    <r>
      <rPr>
        <rFont val="Arial"/>
        <b val="0"/>
        <color theme="1"/>
      </rPr>
      <t xml:space="preserve">Determine the Core state in column B from the engagement type analysis in Tab 1, row 73 - 76. </t>
    </r>
  </si>
  <si>
    <r>
      <rPr>
        <rFont val="Arial"/>
        <b/>
        <color theme="1"/>
      </rPr>
      <t xml:space="preserve">2. </t>
    </r>
    <r>
      <rPr>
        <rFont val="Arial"/>
        <b val="0"/>
        <color theme="1"/>
      </rPr>
      <t>Using the given core state, add your definition of a Power User in column A</t>
    </r>
  </si>
  <si>
    <r>
      <rPr>
        <rFont val="Arial"/>
        <b/>
        <color theme="1"/>
      </rPr>
      <t xml:space="preserve">3. </t>
    </r>
    <r>
      <rPr>
        <rFont val="Arial"/>
        <b val="0"/>
        <color theme="1"/>
      </rPr>
      <t>Using the given core state and the Power state you created,add your definition of a Casual User in column C</t>
    </r>
  </si>
  <si>
    <t>Power</t>
  </si>
  <si>
    <t>Core</t>
  </si>
  <si>
    <t>Casual</t>
  </si>
  <si>
    <t>(more than core)</t>
  </si>
  <si>
    <t>(from the engagement type summary in Tab 1, row 73 - 76. )</t>
  </si>
  <si>
    <t>(less than core)</t>
  </si>
  <si>
    <t xml:space="preserve">Daily,  send at least 10 times messages by DM, and 3 times by channels and by threads  </t>
  </si>
  <si>
    <t>Send a message a day using the direct message or channels</t>
  </si>
  <si>
    <t>Send a messsage every 3 days using DM or channel</t>
  </si>
  <si>
    <r>
      <rPr>
        <rFont val="Arial"/>
        <b/>
        <color theme="1"/>
      </rPr>
      <t xml:space="preserve">Scenario: </t>
    </r>
    <r>
      <rPr>
        <rFont val="Arial"/>
        <b val="0"/>
        <color theme="1"/>
      </rPr>
      <t>Slack has noticed that they can acquire customers easily, but are unable to determine how long their users retain. You are asked to conduct an analysis to understand how long our users stay active.</t>
    </r>
    <r>
      <rPr>
        <rFont val="Arial"/>
        <b/>
        <color theme="1"/>
      </rPr>
      <t xml:space="preserve"> </t>
    </r>
  </si>
  <si>
    <t xml:space="preserve">The VP of Product has given you the data below, which represents the # of retained users for a period of 10-weeks. This data is only for the user of CORE engagement groups. </t>
  </si>
  <si>
    <t xml:space="preserve">You would normally also run a similar analysis for your casual and power users as well. </t>
  </si>
  <si>
    <r>
      <rPr>
        <rFont val="Arial"/>
        <color rgb="FF000000"/>
      </rPr>
      <t xml:space="preserve">Your job is to convert the # of active users retained over 10-weeks to another table to understand the % of active users retained over 10-weeks. This is for everyone using the core behavior: </t>
    </r>
    <r>
      <rPr>
        <rFont val="Arial"/>
        <b/>
        <color rgb="FF000000"/>
      </rPr>
      <t>Send a message a day using the direct message or channels.</t>
    </r>
  </si>
  <si>
    <r>
      <rPr>
        <rFont val="Arial"/>
        <b/>
        <color theme="1"/>
      </rPr>
      <t xml:space="preserve">Skill: </t>
    </r>
    <r>
      <rPr>
        <rFont val="Arial"/>
        <b val="0"/>
        <color theme="1"/>
      </rPr>
      <t>Create a cohort analysis. From this, you will be able to analyze retention over time by looking at how a specific cohort of users (weekly cohors) remain active over time.</t>
    </r>
  </si>
  <si>
    <t>For a healthy business, each cohort and conversions of each cohort should be increasing over time. As your goal is to keep users retained as long as possible, you can see how experiments you ran between June 1- August 17 impacted the # of active users over time.</t>
  </si>
  <si>
    <r>
      <rPr>
        <rFont val="Arial"/>
        <b/>
        <color theme="1"/>
      </rPr>
      <t xml:space="preserve">1. </t>
    </r>
    <r>
      <rPr>
        <rFont val="Arial"/>
        <b val="0"/>
        <color theme="1"/>
      </rPr>
      <t>Determine the % of active users table from C33 - M44 using the table of # of active users from C16 - M27. Calculation: % of Active Users = # of Active Users that Week / # of Total Users in that Cohort</t>
    </r>
  </si>
  <si>
    <t xml:space="preserve"> </t>
  </si>
  <si>
    <r>
      <rPr>
        <rFont val="Arial"/>
        <b/>
        <color theme="1"/>
      </rPr>
      <t xml:space="preserve">2. </t>
    </r>
    <r>
      <rPr>
        <rFont val="Arial"/>
        <b val="0"/>
        <color theme="1"/>
      </rPr>
      <t>Determine the average of the % of Active Users per week (horizonal) in C25 - M45</t>
    </r>
  </si>
  <si>
    <t>Rows in Orange have been completed for you as an example. All formulas have been removed.</t>
  </si>
  <si>
    <t># of Active Users</t>
  </si>
  <si>
    <t>Subscription Date</t>
  </si>
  <si>
    <t># of Total Users</t>
  </si>
  <si>
    <t># of Weeks after Subscription Date</t>
  </si>
  <si>
    <t>% of Active Users</t>
  </si>
  <si>
    <t>Average</t>
  </si>
  <si>
    <r>
      <rPr>
        <rFont val="Arial"/>
        <b/>
        <color theme="1"/>
      </rPr>
      <t xml:space="preserve">Scenario: </t>
    </r>
    <r>
      <rPr>
        <rFont val="Arial"/>
        <b val="0"/>
        <color theme="1"/>
      </rPr>
      <t>Now that you've performed a cohort analysis, of % of active users, it is important to create a visual representation of the avg % of active users across the 10-week period in order to determine how retention is impacted over time. 
We know the % of users retained over time decreases, but our goal is to 
(1) figure out how much it decreases by each week and 
(2) try to increase the % of users retained by doing experiments to lift the curve higher (increase the % of retention per week) on the graph. 
The visualization will help us understand how low our retention percentage drops and at what weeks and percent they stabilize.</t>
    </r>
  </si>
  <si>
    <r>
      <rPr>
        <rFont val="Arial"/>
        <b/>
        <color theme="1"/>
      </rPr>
      <t xml:space="preserve">Skill: </t>
    </r>
    <r>
      <rPr>
        <rFont val="Arial"/>
        <b val="0"/>
        <color theme="1"/>
      </rPr>
      <t>Create a retention curve chart from the previous retention cohort analysis. In the next section, you'll analyze retention over time by looking at how cohorts change over time.</t>
    </r>
  </si>
  <si>
    <r>
      <rPr>
        <rFont val="Arial"/>
        <b/>
        <color theme="1"/>
      </rPr>
      <t>Instructions:</t>
    </r>
    <r>
      <rPr>
        <rFont val="Arial"/>
        <color theme="1"/>
      </rPr>
      <t xml:space="preserve"> </t>
    </r>
  </si>
  <si>
    <t>1. Create a line-chart of the avg. retention of weekly active cohorts over # of weeks from Tab 3, row 45</t>
  </si>
  <si>
    <t>2. Address Questions in Row 32 - 42 below regarding the analysis of the Retention Curve</t>
  </si>
  <si>
    <t>At what % does the retention curve flatten at?</t>
  </si>
  <si>
    <t>at 49%</t>
  </si>
  <si>
    <t>At how many weeks does the retention curve flatten at?</t>
  </si>
  <si>
    <t>nine weeks</t>
  </si>
  <si>
    <t xml:space="preserve">What does this retention curve tell us: </t>
  </si>
  <si>
    <t>At the final 10 weeks we almost lose 50% of our new users. which is a bad signal about the healthy of engagement by our core user whit our primary use case  which talks about that some enhancements needs to be done in the habit moment. At second place, i have to point out that a enhancement we can spot for some frictions are probably  happening at the begining of First User Experience  with the activation moment due to we lose 30% at the first 2 weeks of our new users.</t>
  </si>
  <si>
    <t>What would happen if we improve Week 0 retention?</t>
  </si>
  <si>
    <t>if we can achieve an improvement of 5% in the retention of week 0, is probable that we can boost company yearly revenue among 25- 95%  . At the same time we can find the highest  benefit by reducing  the drop-off of retention curve due to is the point were is located the highest slope, so it would help to flat the retention curve in general.</t>
  </si>
  <si>
    <t>User Retention by Segment</t>
  </si>
  <si>
    <r>
      <rPr>
        <rFont val="Arial"/>
        <b/>
        <color rgb="FF000000"/>
      </rPr>
      <t>Scenario:</t>
    </r>
    <r>
      <rPr>
        <rFont val="Arial"/>
        <color rgb="FF000000"/>
      </rPr>
      <t xml:space="preserve"> Slack has noticed that they can acquire customers easily, but are unable to determine how long their users retain, when they churn, and for what reason. You are asked to conduct cohort analysis by different segments to determine what segments are retaining well and which ones are not.</t>
    </r>
  </si>
  <si>
    <r>
      <rPr>
        <rFont val="Arial"/>
        <b/>
        <color theme="1"/>
      </rPr>
      <t xml:space="preserve">Skill: </t>
    </r>
    <r>
      <rPr>
        <rFont val="Arial"/>
        <b val="0"/>
        <color theme="1"/>
      </rPr>
      <t>Create a retention cohort and a retention curve chart for provided segments. Analyze retention by looking at how many users are retained over time for the different segments. Reminder we should  focus ours efforts on - the segments that are not doing well/average and try to get them to emulate your best performing segments.</t>
    </r>
  </si>
  <si>
    <r>
      <rPr>
        <rFont val="Arial"/>
        <b/>
        <color theme="1"/>
      </rPr>
      <t>Instructions:</t>
    </r>
    <r>
      <rPr>
        <rFont val="Arial"/>
        <b val="0"/>
        <color theme="1"/>
      </rPr>
      <t xml:space="preserve"> take the provided raw data of # of retained users from the provided segments and build their % of retained user cohort analysis and map the retention curve by each segment.</t>
    </r>
  </si>
  <si>
    <t>1. Create a % of retained users from the industry segment cohort analysis in Row 29 - 37. Then map the average retention curve over time (weeks) for each industry in Row 41 - 61. Then address 3 questions in Column L - Q.</t>
  </si>
  <si>
    <t>2. Create a % of retained user from the company size segment cohort analysis in Row 80 - 92. Then map the average retention curve over time (weeks) for each company size range in Row 95 - 115. Then address 3 questions in Column L - Q.</t>
  </si>
  <si>
    <t>3. Create a % of retained user from the account size segment cohort analysis in Row 132 - 143. Then map the average retention curve over time (weeks) for each account size range in Row 146 - 166. Then address 3 questions in Column L - Q.</t>
  </si>
  <si>
    <t>4. Create a % of retained user from the lead source segment cohort analysis in Row 182 - 191. Then map the average retention curve over time (weeks) for each lead source in Row 194 - 214. Then address 3 questions in Column L - Q.</t>
  </si>
  <si>
    <t>The rows in orange have been completed for you as an example. The formulas have been removed.</t>
  </si>
  <si>
    <t># of Retained Users - Industry Segment</t>
  </si>
  <si>
    <t>Number of Weeks</t>
  </si>
  <si>
    <t>Industry</t>
  </si>
  <si>
    <t>New Users Acquired</t>
  </si>
  <si>
    <t>Total</t>
  </si>
  <si>
    <t>Technology</t>
  </si>
  <si>
    <t xml:space="preserve">Retail </t>
  </si>
  <si>
    <t>Healthcare</t>
  </si>
  <si>
    <t>Financial Services</t>
  </si>
  <si>
    <t>Manufacturing</t>
  </si>
  <si>
    <t>Consume Goods</t>
  </si>
  <si>
    <t>Transportation</t>
  </si>
  <si>
    <t>Oil and Gas</t>
  </si>
  <si>
    <t>% of Retained Users - Industry Segment</t>
  </si>
  <si>
    <t>Which industry(s) has the best retention curve?</t>
  </si>
  <si>
    <t>Which industry(s) has the worst retention curve?</t>
  </si>
  <si>
    <t>How do you compare the Retention Analysis here with the Activation Analysis from Activation - Part 2 - Tab 6:</t>
  </si>
  <si>
    <t xml:space="preserve">Despite technology was the industry segment that had better activation users, here the retention analysis point out that was the less efective in the retention curve in comparison with the best one from Financial Services. </t>
  </si>
  <si>
    <t># of Retained Users - Company Size Segment</t>
  </si>
  <si>
    <t>Company Size</t>
  </si>
  <si>
    <t>New Users</t>
  </si>
  <si>
    <t>1-5</t>
  </si>
  <si>
    <t>6-10</t>
  </si>
  <si>
    <t>11-20</t>
  </si>
  <si>
    <t>21-50</t>
  </si>
  <si>
    <t>51-100</t>
  </si>
  <si>
    <t>101-250</t>
  </si>
  <si>
    <t>251-500</t>
  </si>
  <si>
    <t>501+</t>
  </si>
  <si>
    <t>% of Retained Users - Company Size Segment</t>
  </si>
  <si>
    <t>Which company size(s) has the best retention curve?</t>
  </si>
  <si>
    <t>Which company size(s) has the worst retention curve?</t>
  </si>
  <si>
    <t>501 or more</t>
  </si>
  <si>
    <t>Despite 21-50 were new users with the highest activation, we can see that their retention curve wasn´t so good than 101-250 size company which had one of the lowest activation curve. Begining from 250 size company presented  the highes retention curve</t>
  </si>
  <si>
    <t># of Retained Users - Account Size Segment</t>
  </si>
  <si>
    <t>Account Size</t>
  </si>
  <si>
    <t>1 - 2</t>
  </si>
  <si>
    <t>2 - 5</t>
  </si>
  <si>
    <t>5 - 10</t>
  </si>
  <si>
    <t>10 - 20</t>
  </si>
  <si>
    <t>20 - 50</t>
  </si>
  <si>
    <t>50 - 100</t>
  </si>
  <si>
    <t>100+</t>
  </si>
  <si>
    <t>% of Retained Users - Account Size Segment</t>
  </si>
  <si>
    <t>Which account size(s) has the best retention curve?</t>
  </si>
  <si>
    <t>Which account size(s) has the worst retention curve?</t>
  </si>
  <si>
    <t>100 or more</t>
  </si>
  <si>
    <t xml:space="preserve">Despite 2-5 accounts size had one of the lowest activation performance, here we can verify had the best retention curve, instead, who had the best activation ratio, 20-50, had one of the highest drop-off os users during the first week, almost 70%. </t>
  </si>
  <si>
    <t># of Retained Users - Lead Source Segment</t>
  </si>
  <si>
    <t>N</t>
  </si>
  <si>
    <t>Source</t>
  </si>
  <si>
    <t>Pricing Page</t>
  </si>
  <si>
    <t>Free Trial Page</t>
  </si>
  <si>
    <t>Referral link</t>
  </si>
  <si>
    <t>Team Invitation</t>
  </si>
  <si>
    <t>Blog Page</t>
  </si>
  <si>
    <t>% of Retained Users - Lead Source Segment</t>
  </si>
  <si>
    <t>Which lead source(s) has the best retention curve?</t>
  </si>
  <si>
    <t>Which lead source(s) has the worst retention curve?</t>
  </si>
  <si>
    <t>Even when team invitation source had the highest activation rate, it had the worst retention curve loosing nearest to 80% the first 2 weeks. At the same time, when Blog Page source had the lowest activation rate, in contrast it had the highest retention curve</t>
  </si>
  <si>
    <r>
      <rPr>
        <rFont val="Arial"/>
        <b/>
        <color theme="1"/>
      </rPr>
      <t xml:space="preserve">Scenario: </t>
    </r>
    <r>
      <rPr>
        <rFont val="Arial"/>
        <b val="0"/>
        <color theme="1"/>
      </rPr>
      <t xml:space="preserve">Slack has noticed that users are going through their growth funnel from activation to retention, but want to understand better the whole lifecycle of their users. You are asked to conduct cohort analysis to determine the active and inactive user over time.
In the previous tabs, we focused on calculating how many users retained over time. Now, we need to determine how many users have been dormant and resurrected over time. These dormant users would be the users that are on their way to churning and in the next 2 tabs, you will create experiments to avoid these churns. 
To avoid churn, you want to convert your dormant users into resurrected users. </t>
    </r>
  </si>
  <si>
    <r>
      <rPr>
        <rFont val="Arial"/>
        <b/>
        <color theme="1"/>
      </rPr>
      <t xml:space="preserve">Skill: </t>
    </r>
    <r>
      <rPr>
        <rFont val="Arial"/>
        <b val="0"/>
        <color theme="1"/>
      </rPr>
      <t>Create a lifecycle analysis of your users over time by looking at active user and inactive user cohorts over time. Calculate the weekly active users, dormant users, and resurrected users.</t>
    </r>
  </si>
  <si>
    <r>
      <rPr>
        <rFont val="Arial"/>
        <b/>
        <color theme="1"/>
      </rPr>
      <t xml:space="preserve">1. </t>
    </r>
    <r>
      <rPr>
        <rFont val="Arial"/>
        <b val="0"/>
        <color theme="1"/>
      </rPr>
      <t>Calculate the # of retained and resurrected users in Column C Row 44-52 using the # of active users cohort analysis in rows 14 - 25.</t>
    </r>
  </si>
  <si>
    <r>
      <rPr>
        <rFont val="Arial"/>
        <b/>
        <color theme="1"/>
      </rPr>
      <t xml:space="preserve">2. </t>
    </r>
    <r>
      <rPr>
        <rFont val="Arial"/>
        <b val="0"/>
        <color theme="1"/>
      </rPr>
      <t>Calculate the # of dormant users in Column D Row 44-52 using the # of inactive users cohort analysis in row 30 - 40.</t>
    </r>
  </si>
  <si>
    <r>
      <rPr>
        <rFont val="Arial"/>
        <b/>
        <color theme="1"/>
      </rPr>
      <t xml:space="preserve">3. </t>
    </r>
    <r>
      <rPr>
        <rFont val="Arial"/>
        <b val="0"/>
        <color theme="1"/>
      </rPr>
      <t>Calculate the # of weekly active users using the # of new users, # of retained and resurrected users, and # of dormant users</t>
    </r>
  </si>
  <si>
    <r>
      <rPr>
        <rFont val="Arial"/>
        <b/>
        <color theme="1"/>
      </rPr>
      <t xml:space="preserve">4. </t>
    </r>
    <r>
      <rPr>
        <rFont val="Arial"/>
        <b val="0"/>
        <color theme="1"/>
      </rPr>
      <t>Calculate the # of resurrected users using the</t>
    </r>
    <r>
      <rPr>
        <rFont val="Arial"/>
        <b/>
        <color theme="1"/>
      </rPr>
      <t xml:space="preserve"> </t>
    </r>
    <r>
      <rPr>
        <rFont val="Arial"/>
        <b val="0"/>
        <color theme="1"/>
      </rPr>
      <t># of retained and resurrected and # of retained users columns.</t>
    </r>
  </si>
  <si>
    <t>5. After completing the table, create a stacked column chart  in Row # 56 - 74 of new users, Dormant users, Retained Users, and Resurrected Users.</t>
  </si>
  <si>
    <t># of New Users</t>
  </si>
  <si>
    <t># of Inactive users</t>
  </si>
  <si>
    <t>Weeks after Subscription Date</t>
  </si>
  <si>
    <t>Retained + Resurrected Users</t>
  </si>
  <si>
    <t>Dormant Uses</t>
  </si>
  <si>
    <t>Weekly Active Users</t>
  </si>
  <si>
    <t>Retained Users</t>
  </si>
  <si>
    <t>Resurrected Users</t>
  </si>
  <si>
    <r>
      <rPr>
        <rFont val="Arial"/>
        <color rgb="FF34A853"/>
      </rPr>
      <t xml:space="preserve">Retained Users, </t>
    </r>
    <r>
      <rPr>
        <rFont val="Arial"/>
        <color rgb="FFFBBC04"/>
      </rPr>
      <t># of New Users</t>
    </r>
    <r>
      <rPr>
        <rFont val="Arial"/>
        <color rgb="FF34A853"/>
      </rPr>
      <t xml:space="preserve">, </t>
    </r>
    <r>
      <rPr>
        <rFont val="Arial"/>
        <color rgb="FFEA4335"/>
      </rPr>
      <t>Resurrected Users</t>
    </r>
    <r>
      <rPr>
        <rFont val="Arial"/>
        <color rgb="FF34A853"/>
      </rPr>
      <t xml:space="preserve">, </t>
    </r>
    <r>
      <rPr>
        <rFont val="Arial"/>
        <color rgb="FF4285F4"/>
      </rPr>
      <t>Dormant Users</t>
    </r>
  </si>
  <si>
    <r>
      <rPr>
        <rFont val="Arial"/>
        <b/>
        <color theme="1"/>
      </rPr>
      <t xml:space="preserve">Scenario: </t>
    </r>
    <r>
      <rPr>
        <rFont val="Arial"/>
        <b val="0"/>
        <color theme="1"/>
      </rPr>
      <t xml:space="preserve">Slack has noticed that users are churning over time, but have not determine what their churn and lifetime-value (LTV) of users over the last year is. You are asked to conduct cohort analysis to calculate the churn rate, retention rate, and LTV. </t>
    </r>
  </si>
  <si>
    <t xml:space="preserve">This analysis will help us determine the health of the business. It will help us determine: 
(1) What is our churn rate over time and is it getting better (getting lower). 
(2) What is our retention rate over time and is it getting better (getting higher). 
(3) What is our LTV over time and is it getting better (getting higher). </t>
  </si>
  <si>
    <t xml:space="preserve">Thinking of the these 3 questions will help you determine the 3 questions in rows 22-30. The answers in this sheet will help you benchmark on how you are doing against other B2B SaaS companies and ideate ways to improve the LTV and predict churn by suggesting experiments in the next tab. </t>
  </si>
  <si>
    <t>From this analysis, you would be able to present to the relevant stakeholders why a focus on reducing churn is important and should be considered as a business objective.</t>
  </si>
  <si>
    <r>
      <rPr>
        <rFont val="Arial"/>
        <b/>
        <color theme="1"/>
      </rPr>
      <t>Skill:</t>
    </r>
    <r>
      <rPr>
        <rFont val="Arial"/>
        <color theme="1"/>
      </rPr>
      <t xml:space="preserve"> Measure LTV (Life-time Value), Churn rate, and Retention rate and analyze the impact of each on the business. Calculate how many users churn and what their LTV is. 
You can then compare if retention and churn over time. This helps you determine the impact of your experiments and if they have been helping the business achieve its objectives or not. 
</t>
    </r>
    <r>
      <rPr>
        <rFont val="Arial"/>
        <b/>
        <color theme="1"/>
      </rPr>
      <t xml:space="preserve">Tip: </t>
    </r>
    <r>
      <rPr>
        <rFont val="Arial"/>
        <color theme="1"/>
      </rPr>
      <t>If you see metrics being too high or too low beyond industry standard, you know to focus your experiments on those metrics.</t>
    </r>
  </si>
  <si>
    <t xml:space="preserve">Instructions: </t>
  </si>
  <si>
    <t>1. Calculate the churn rate of the monthly cohorts in row 19</t>
  </si>
  <si>
    <t>2. Calculate the retention rate of the monthly cohorts in row 20</t>
  </si>
  <si>
    <t>3. Calculate the lifetime-value (LTV) of the monthly cohorts in row 21</t>
  </si>
  <si>
    <t>4. After completing the table, answer the questions in rows 26 - 33.</t>
  </si>
  <si>
    <t>Month</t>
  </si>
  <si>
    <t>Jan</t>
  </si>
  <si>
    <t>Feb</t>
  </si>
  <si>
    <t>Mar</t>
  </si>
  <si>
    <t>Apr</t>
  </si>
  <si>
    <t>May</t>
  </si>
  <si>
    <t>Jun</t>
  </si>
  <si>
    <t>Jul</t>
  </si>
  <si>
    <t>Aug</t>
  </si>
  <si>
    <t>Sep</t>
  </si>
  <si>
    <t>Oct</t>
  </si>
  <si>
    <t>Nov</t>
  </si>
  <si>
    <t>Dec</t>
  </si>
  <si>
    <t># of users churned</t>
  </si>
  <si>
    <t># of users at start of month</t>
  </si>
  <si>
    <t># of users at end of month</t>
  </si>
  <si>
    <t>Average Revenue Per Account (ARPA)</t>
  </si>
  <si>
    <t>Gross Margin</t>
  </si>
  <si>
    <t>Churn Rate</t>
  </si>
  <si>
    <t>Retention Rate</t>
  </si>
  <si>
    <t>LTV</t>
  </si>
  <si>
    <t>What can be done to improve LTV of Slack?</t>
  </si>
  <si>
    <t xml:space="preserve">We can reduce the Churn rate which is directly proportional to LTV, As well as  increase the ARPA. In the first case: we can segment churn rate on our retention curve into 3 buckets, 
Early-stage churn (week 1)
Mid-stage churn (week 2-4)
Late-stage churn (week 5+)
In order to define who and why in each phase are making churn, then it can be determined the what to do
</t>
  </si>
  <si>
    <t>How can we predict churn before it happens?</t>
  </si>
  <si>
    <t>We can  set as a stablished continuosly practice of scheduling an appointment for Talk to our customers, in order to collect and anticipate potential pain points that can missvalue our product, 
Also we can keep a finger on the pulse of your industry in order to stay aler to our nearest and indirect competition.
Another way is to open a direct channel with Customer Service and Sales Team in order to what kind of issues are making friction in the customer experience.</t>
  </si>
  <si>
    <t>Is the avg. monthly churn rate acceptable for a B2B SaaS company? If no, explain.</t>
  </si>
  <si>
    <t xml:space="preserve">No it isn´t, due to a B2B SaaS company such us Slack is a well stablished company with solid product market fit, its churn rate should be among  3-5% , nevertheless the range of the year was superior. </t>
  </si>
  <si>
    <t>Experiment Brief</t>
  </si>
  <si>
    <r>
      <rPr>
        <rFont val="Arial"/>
        <b/>
        <color theme="1"/>
      </rPr>
      <t xml:space="preserve">Scenario: </t>
    </r>
    <r>
      <rPr>
        <rFont val="Arial"/>
        <b val="0"/>
        <color theme="1"/>
      </rPr>
      <t xml:space="preserve">Slack has noticed that users are churning over time. Apply your activation and retention knowledge to suggest experiments to reduce churn. </t>
    </r>
  </si>
  <si>
    <t xml:space="preserve">It is ideal to always have an active experimentation for different segment of users and different metrics (activation and retention) for those users. You proposed experiments for activation before for users who just started to use our prodcut. Now you will propose experiments to active users to ensure they remain active OR users that have become inactive to attempt to resurrect them to become active agian. </t>
  </si>
  <si>
    <r>
      <rPr>
        <rFont val="Arial"/>
        <color rgb="FF000000"/>
      </rPr>
      <t xml:space="preserve">You've just completed the churn and retention analysis in Tab 7, from which your VP has provided you resources to tackle churn. 
Using the analysis in tab 5, retention segmentation analysis, suggest experiments to help increase retention and reduce churn of specific segments. 
Remember in Tab 5, you calculated the users who are retaining the most, but focus on the segments that are </t>
    </r>
    <r>
      <rPr>
        <rFont val="Arial"/>
        <b/>
        <color rgb="FF000000"/>
      </rPr>
      <t>NOT</t>
    </r>
    <r>
      <rPr>
        <rFont val="Arial"/>
        <color rgb="FF000000"/>
      </rPr>
      <t xml:space="preserve"> retaining well and create experiments for these segments.</t>
    </r>
  </si>
  <si>
    <r>
      <rPr>
        <rFont val="Arial"/>
        <b/>
        <color theme="1"/>
      </rPr>
      <t>Skill:</t>
    </r>
    <r>
      <rPr>
        <rFont val="Arial"/>
        <color theme="1"/>
      </rPr>
      <t xml:space="preserve"> Create experiments and include analysis on the impacts, rational, and hypothesis of the experiment. </t>
    </r>
  </si>
  <si>
    <r>
      <rPr>
        <rFont val="Arial"/>
        <b/>
        <color theme="1"/>
      </rPr>
      <t xml:space="preserve">1. </t>
    </r>
    <r>
      <rPr>
        <rFont val="Arial"/>
        <b val="0"/>
        <color theme="1"/>
      </rPr>
      <t>Determine 3 experiments you would want to run to reduce churn OR understand churn better in B12 - B14</t>
    </r>
  </si>
  <si>
    <t>2. In column C, elaborate on what is being tested</t>
  </si>
  <si>
    <t>3. In column D, provide a qualitative and quantitative hypothesis of what will happen</t>
  </si>
  <si>
    <t>4. In column E, describe the rationale of why you chose this experiment from any social proof, previous experience, or from any research.</t>
  </si>
  <si>
    <t>5 In column F, provide a list of stakeholders who would need to be involved to release this experiment and why</t>
  </si>
  <si>
    <t>6. In column G, document what more information is needed for you to execute on this experiment and document what assumptions you are making</t>
  </si>
  <si>
    <t>7. In column H, provide a list of metrics that need to be measured in this experiment that would verify if the experiment failed or passed</t>
  </si>
  <si>
    <t>10. In column I - L, apply the ICE framework to your experiments</t>
  </si>
  <si>
    <t>Describe what in the experiment is being tested?</t>
  </si>
  <si>
    <t>Hypothesis (What do you think will happen qualitatively and quantitatively?)</t>
  </si>
  <si>
    <t>Rationale (Why do you want to try this experiment?)</t>
  </si>
  <si>
    <t>Stakeholders (What other titles in the company needs to be involved?)</t>
  </si>
  <si>
    <t>What more info do you need to decide this is an experiment you want to run? What assumptions are we making?</t>
  </si>
  <si>
    <t>What metrics should be measured?</t>
  </si>
  <si>
    <t>ICE - Impact? (be quantitative)</t>
  </si>
  <si>
    <t>ICE- Confidence</t>
  </si>
  <si>
    <t>ICE- Ease</t>
  </si>
  <si>
    <t>ICE - Growth Score</t>
  </si>
  <si>
    <t>Who: Lead Source Segment- Team Invitation  
Why: it had the worst retention curve loosing nearest to 80% the first week
What: We need to reduce churn rate in the early stage with a better training highlighting better their perception value about slack
We can show a tour guide with 1 quick tutorial and some shorts click about how to performance their mainly use case maybe using as input the content showed in our Blog Content where our best retention came from</t>
  </si>
  <si>
    <t>In contrast with our control group whom will see the same current view, with our experiment group will be tested the first view of slack when a new active user arrives from activation. Especifically if new activated user can find value making click on tour guide of short videos about mainly features and if this correlates with a higher %users who activate events of First User Experience vs Total activated user cohort suchs send first DM to other channel or inbox, make a post general channel, etc</t>
  </si>
  <si>
    <t>Qualitatevely will reduce the initial friction of the First User Experiencie at not to know  what supose to do and accelerate faster the aha moment
Quantitatively will reduce churn rate at least 40%</t>
  </si>
  <si>
    <t xml:space="preserve">Because making progress in this initial phase supose gets better health in the retention curve in general. </t>
  </si>
  <si>
    <t>It needs to be involved  Marketing and Customer Service on this way we can collect and aligned with what we tell them and why or what are telling about the product respectevelly</t>
  </si>
  <si>
    <t xml:space="preserve">Our Blog content about how start slack would be enough. </t>
  </si>
  <si>
    <t xml:space="preserve">
%users who activate events of First User Experience vs Total activated user cohort
# users how make click on tutorial guide/Total activated user until day 2 
Retention n-day by 1,2,3 ,4,5 days</t>
  </si>
  <si>
    <t>Who: Industry Segment - Manufactoring
Why: it had the lowest retention curve in the segment
What: We need to reduce churn rate in the early stage with a better onboarding process, essentially we are gona personalize better the setting questions when detect manufactoring sector. where the new view will  
Show what maximizes their perceived value in the shortest possible time, this depence on the user research but we can list the actions of the primary use case with their benefits for their especific context with posibility to mark top 3 of those that seems more useful or would like to learn and do.</t>
  </si>
  <si>
    <t>In contrast with our control group whom will see the same current view. The onboarding flow, specfically the step where register happens for what sector belongs, when they makes a click on manufacturing sector,then the visitor will see a colapsed list about the mainly features and benefits of the core use case and  asking them for mark the top 3 of those that seems more useful or would like to learn and do as quickly as possible.</t>
  </si>
  <si>
    <t>Qualitatively will prepare good expectations to experiment the Aha moment
Quantitatively will reduce churn rate about  10%</t>
  </si>
  <si>
    <t>The reward of achieve that progress in the rate churn of this specific segment supose also reduce the average churn rate of the segment in general, which could drive to a better value of our average LTV .</t>
  </si>
  <si>
    <t>I am  assuming he core problem is related with a bad communication of the value for this specific segment, when i could be related with other factors like incompatibility or problems more related with a deficient to create habit moment</t>
  </si>
  <si>
    <t>completed onboarding process by segment
average sesion time per user
Retention n-day by 1,2,3 ,4,5 days</t>
  </si>
  <si>
    <t xml:space="preserve">Who:Company Size Segment 501 or more
Why: it had the  highest churn rate in the segment from the early stage
What: During onboarding flow we can test  if the biggest friction has to do with a poor adaptation for a company of this size, so we can offer a massive charge of mails for invite new membres of their enterprise instead of doing manually one by one
 </t>
  </si>
  <si>
    <t xml:space="preserve">In contrast with our control group whom will see the same current view on our onboarding flow,  after a user register their size with 250 or more, their next view , where we  invite  them to add new members, we can show a new boton that refers to massive charge of emails by xls or word files,
we must experiment the usability and  interest of usage of this  by making  making a new  component      </t>
  </si>
  <si>
    <t>Qualitatively will relief the painpoint about making a manual task with their corporate emails
Quantitatively will reduce churn rate about  20%</t>
  </si>
  <si>
    <t>The reward of achieve that progress in this lowest churn rate of this specific segment supose also the reduce of the average churn rate of the segment in general, which could drive to a better value of our average LTV .</t>
  </si>
  <si>
    <t>Needs to be involved  Sales Team and Marketing Team, to collect current data or information about their contact with this segment. As well as my User research team which i can get insighfull information about this segment,They will be my contributors.</t>
  </si>
  <si>
    <t xml:space="preserve">One of the biggest friction after activation is the enourmosly job of add emails to send invitation manually. Which indeed is the main cause of the high churn rate at begining of their user activate life time </t>
  </si>
  <si>
    <t>completed onboarding process by segment
N°click botom massive charge / Total current visitor in the invitation view</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</si>
</sst>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409]mmm\-yy"/>
    <numFmt numFmtId="166" formatCode="m-d"/>
    <numFmt numFmtId="167" formatCode="&quot;$&quot;#,##0.00"/>
  </numFmts>
  <fonts count="25">
    <font>
      <sz val="10.0"/>
      <color rgb="FF000000"/>
      <name val="Arial"/>
      <scheme val="minor"/>
    </font>
    <font>
      <sz val="31.0"/>
      <color rgb="FF000000"/>
      <name val="Arial"/>
    </font>
    <font>
      <color theme="1"/>
      <name val="Arial"/>
    </font>
    <font/>
    <font>
      <b/>
      <color rgb="FF000000"/>
      <name val="Arial"/>
    </font>
    <font>
      <b/>
      <color theme="1"/>
      <name val="Arial"/>
    </font>
    <font>
      <b/>
      <sz val="30.0"/>
      <color rgb="FF222222"/>
      <name val="&quot;Google Sans&quot;"/>
    </font>
    <font>
      <color rgb="FF000000"/>
      <name val="Arial"/>
    </font>
    <font>
      <sz val="11.0"/>
      <color rgb="FF222222"/>
      <name val="&quot;Google Sans&quot;"/>
    </font>
    <font>
      <b/>
      <sz val="20.0"/>
      <color theme="1"/>
      <name val="Arial"/>
      <scheme val="minor"/>
    </font>
    <font>
      <i/>
      <color theme="1"/>
      <name val="Arial"/>
      <scheme val="minor"/>
    </font>
    <font>
      <color theme="1"/>
      <name val="Arial"/>
      <scheme val="minor"/>
    </font>
    <font>
      <b/>
      <color theme="1"/>
      <name val="Arial"/>
      <scheme val="minor"/>
    </font>
    <font>
      <b/>
      <sz val="30.0"/>
      <color theme="1"/>
      <name val="Arial"/>
      <scheme val="minor"/>
    </font>
    <font>
      <b/>
      <color rgb="FF000000"/>
      <name val="Arial"/>
      <scheme val="minor"/>
    </font>
    <font>
      <sz val="30.0"/>
      <color theme="1"/>
      <name val="Arial"/>
      <scheme val="minor"/>
    </font>
    <font>
      <b/>
      <sz val="11.0"/>
      <color rgb="FF222222"/>
      <name val="Arial"/>
    </font>
    <font>
      <sz val="12.0"/>
      <color rgb="FF000000"/>
      <name val="Calibri"/>
    </font>
    <font>
      <sz val="30.0"/>
      <color rgb="FF222222"/>
      <name val="Arial"/>
    </font>
    <font>
      <sz val="11.0"/>
      <color rgb="FF222222"/>
      <name val="Arial"/>
    </font>
    <font>
      <b/>
      <color rgb="FF000000"/>
      <name val="Open Sans"/>
    </font>
    <font>
      <color rgb="FF000000"/>
      <name val="Open Sans"/>
    </font>
    <font>
      <sz val="30.0"/>
      <color rgb="FF000000"/>
      <name val="Arial"/>
    </font>
    <font>
      <b/>
      <sz val="20.0"/>
      <color theme="1"/>
      <name val="Arial"/>
    </font>
    <font>
      <color rgb="FF34A853"/>
      <name val="Arial"/>
      <scheme val="minor"/>
    </font>
  </fonts>
  <fills count="8">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E69138"/>
        <bgColor rgb="FFE69138"/>
      </patternFill>
    </fill>
    <fill>
      <patternFill patternType="solid">
        <fgColor rgb="FFF6B26B"/>
        <bgColor rgb="FFF6B26B"/>
      </patternFill>
    </fill>
    <fill>
      <patternFill patternType="solid">
        <fgColor rgb="FFD8D8D8"/>
        <bgColor rgb="FFD8D8D8"/>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1" fillId="0" fontId="2" numFmtId="0" xfId="0" applyAlignment="1" applyBorder="1" applyFont="1">
      <alignment readingOrder="0" shrinkToFit="0" vertical="bottom" wrapText="1"/>
    </xf>
    <xf borderId="2" fillId="0" fontId="3" numFmtId="0" xfId="0" applyBorder="1" applyFont="1"/>
    <xf borderId="3" fillId="0" fontId="3" numFmtId="0" xfId="0" applyBorder="1" applyFont="1"/>
    <xf borderId="0" fillId="3" fontId="4" numFmtId="0" xfId="0" applyAlignment="1" applyFill="1" applyFont="1">
      <alignment vertical="bottom"/>
    </xf>
    <xf borderId="4" fillId="2" fontId="5" numFmtId="0" xfId="0" applyAlignment="1" applyBorder="1" applyFont="1">
      <alignment horizontal="center" vertical="bottom"/>
    </xf>
    <xf borderId="4" fillId="2" fontId="5" numFmtId="0" xfId="0" applyAlignment="1" applyBorder="1" applyFont="1">
      <alignment vertical="bottom"/>
    </xf>
    <xf borderId="1" fillId="2" fontId="5" numFmtId="0" xfId="0" applyAlignment="1" applyBorder="1" applyFont="1">
      <alignment horizontal="center" vertical="bottom"/>
    </xf>
    <xf borderId="4" fillId="2" fontId="2" numFmtId="0" xfId="0" applyAlignment="1" applyBorder="1" applyFont="1">
      <alignment horizontal="center" vertical="bottom"/>
    </xf>
    <xf borderId="4" fillId="2" fontId="2" numFmtId="0" xfId="0" applyAlignment="1" applyBorder="1" applyFont="1">
      <alignment vertical="bottom"/>
    </xf>
    <xf borderId="1" fillId="2" fontId="5" numFmtId="0" xfId="0" applyAlignment="1" applyBorder="1" applyFont="1">
      <alignment horizontal="center" readingOrder="0" vertical="bottom"/>
    </xf>
    <xf borderId="4" fillId="0" fontId="2" numFmtId="0" xfId="0" applyAlignment="1" applyBorder="1" applyFont="1">
      <alignment horizontal="center" readingOrder="0" vertical="bottom"/>
    </xf>
    <xf borderId="4" fillId="4" fontId="2" numFmtId="0" xfId="0" applyAlignment="1" applyBorder="1" applyFill="1" applyFont="1">
      <alignment readingOrder="0"/>
    </xf>
    <xf borderId="1" fillId="0" fontId="2" numFmtId="0" xfId="0" applyAlignment="1" applyBorder="1" applyFont="1">
      <alignment readingOrder="0" vertical="bottom"/>
    </xf>
    <xf borderId="4" fillId="2" fontId="2" numFmtId="0" xfId="0" applyAlignment="1" applyBorder="1" applyFont="1">
      <alignment vertical="bottom"/>
    </xf>
    <xf borderId="2" fillId="2" fontId="5" numFmtId="0" xfId="0" applyAlignment="1" applyBorder="1" applyFont="1">
      <alignment horizontal="center" readingOrder="0" vertical="bottom"/>
    </xf>
    <xf borderId="5" fillId="0" fontId="2" numFmtId="0" xfId="0" applyAlignment="1" applyBorder="1" applyFont="1">
      <alignment horizontal="center" readingOrder="0" vertical="bottom"/>
    </xf>
    <xf borderId="6" fillId="4" fontId="2" numFmtId="0" xfId="0" applyAlignment="1" applyBorder="1" applyFont="1">
      <alignment readingOrder="0"/>
    </xf>
    <xf borderId="7" fillId="0" fontId="2" numFmtId="0" xfId="0" applyAlignment="1" applyBorder="1" applyFont="1">
      <alignment readingOrder="0" vertical="bottom"/>
    </xf>
    <xf borderId="7" fillId="0" fontId="3" numFmtId="0" xfId="0" applyBorder="1" applyFont="1"/>
    <xf borderId="6" fillId="0" fontId="3" numFmtId="0" xfId="0" applyBorder="1" applyFont="1"/>
    <xf borderId="7" fillId="0" fontId="2" numFmtId="0" xfId="0" applyAlignment="1" applyBorder="1" applyFont="1">
      <alignment vertical="bottom"/>
    </xf>
    <xf borderId="5" fillId="2" fontId="2" numFmtId="0" xfId="0" applyAlignment="1" applyBorder="1" applyFont="1">
      <alignment vertical="bottom"/>
    </xf>
    <xf borderId="7" fillId="2" fontId="5" numFmtId="0" xfId="0" applyAlignment="1" applyBorder="1" applyFont="1">
      <alignment horizontal="center" readingOrder="0" vertical="bottom"/>
    </xf>
    <xf borderId="1" fillId="2" fontId="6" numFmtId="0" xfId="0" applyAlignment="1" applyBorder="1" applyFont="1">
      <alignment horizontal="center" readingOrder="0"/>
    </xf>
    <xf borderId="1" fillId="0" fontId="5" numFmtId="0" xfId="0" applyAlignment="1" applyBorder="1" applyFont="1">
      <alignment shrinkToFit="0" vertical="top" wrapText="1"/>
    </xf>
    <xf borderId="1" fillId="3" fontId="4" numFmtId="0" xfId="0" applyAlignment="1" applyBorder="1" applyFont="1">
      <alignment vertical="bottom"/>
    </xf>
    <xf borderId="1" fillId="0" fontId="7" numFmtId="0" xfId="0" applyAlignment="1" applyBorder="1" applyFont="1">
      <alignment horizontal="left" readingOrder="0" shrinkToFit="0" wrapText="1"/>
    </xf>
    <xf borderId="1" fillId="0" fontId="7" numFmtId="0" xfId="0" applyAlignment="1" applyBorder="1" applyFont="1">
      <alignment vertical="bottom"/>
    </xf>
    <xf borderId="1" fillId="5" fontId="4" numFmtId="0" xfId="0" applyAlignment="1" applyBorder="1" applyFill="1" applyFont="1">
      <alignment horizontal="left" readingOrder="0"/>
    </xf>
    <xf borderId="0" fillId="0" fontId="7" numFmtId="0" xfId="0" applyAlignment="1" applyFont="1">
      <alignment horizontal="left" readingOrder="0"/>
    </xf>
    <xf borderId="0" fillId="3" fontId="7" numFmtId="0" xfId="0" applyAlignment="1" applyFont="1">
      <alignment horizontal="left" readingOrder="0"/>
    </xf>
    <xf borderId="0" fillId="3" fontId="8" numFmtId="0" xfId="0" applyAlignment="1" applyFont="1">
      <alignment readingOrder="0"/>
    </xf>
    <xf borderId="1" fillId="2" fontId="9" numFmtId="0" xfId="0" applyAlignment="1" applyBorder="1" applyFont="1">
      <alignment readingOrder="0"/>
    </xf>
    <xf borderId="1" fillId="2" fontId="10" numFmtId="0" xfId="0" applyAlignment="1" applyBorder="1" applyFont="1">
      <alignment readingOrder="0"/>
    </xf>
    <xf borderId="4" fillId="2" fontId="11" numFmtId="0" xfId="0" applyAlignment="1" applyBorder="1" applyFont="1">
      <alignment readingOrder="0"/>
    </xf>
    <xf borderId="4" fillId="4" fontId="2" numFmtId="0" xfId="0" applyAlignment="1" applyBorder="1" applyFont="1">
      <alignment shrinkToFit="0" vertical="bottom" wrapText="1"/>
    </xf>
    <xf borderId="5" fillId="4" fontId="2" numFmtId="0" xfId="0" applyAlignment="1" applyBorder="1" applyFont="1">
      <alignment horizontal="center" shrinkToFit="0" vertical="bottom" wrapText="1"/>
    </xf>
    <xf borderId="8" fillId="2" fontId="11" numFmtId="0" xfId="0" applyAlignment="1" applyBorder="1" applyFont="1">
      <alignment horizontal="center" readingOrder="0" shrinkToFit="0" vertical="center" wrapText="1"/>
    </xf>
    <xf borderId="9" fillId="0" fontId="3" numFmtId="0" xfId="0" applyBorder="1" applyFont="1"/>
    <xf borderId="8" fillId="4" fontId="11" numFmtId="0" xfId="0" applyAlignment="1" applyBorder="1" applyFont="1">
      <alignment readingOrder="0" shrinkToFit="0" wrapText="1"/>
    </xf>
    <xf borderId="10" fillId="0" fontId="3" numFmtId="0" xfId="0" applyBorder="1" applyFont="1"/>
    <xf borderId="11" fillId="0" fontId="3" numFmtId="0" xfId="0" applyBorder="1" applyFont="1"/>
    <xf borderId="12" fillId="0" fontId="3" numFmtId="0" xfId="0" applyBorder="1" applyFont="1"/>
    <xf borderId="13" fillId="2" fontId="11" numFmtId="0" xfId="0" applyAlignment="1" applyBorder="1" applyFont="1">
      <alignment horizontal="center" readingOrder="0" shrinkToFit="0" vertical="center" wrapText="1"/>
    </xf>
    <xf borderId="1" fillId="6" fontId="12" numFmtId="0" xfId="0" applyAlignment="1" applyBorder="1" applyFill="1" applyFont="1">
      <alignment readingOrder="0"/>
    </xf>
    <xf borderId="14" fillId="0" fontId="3" numFmtId="0" xfId="0" applyBorder="1" applyFont="1"/>
    <xf borderId="1" fillId="4" fontId="11" numFmtId="0" xfId="0" applyAlignment="1" applyBorder="1" applyFont="1">
      <alignment readingOrder="0"/>
    </xf>
    <xf borderId="5" fillId="0" fontId="3" numFmtId="0" xfId="0" applyBorder="1" applyFont="1"/>
    <xf borderId="8" fillId="2" fontId="11" numFmtId="0" xfId="0" applyAlignment="1" applyBorder="1" applyFont="1">
      <alignment readingOrder="0" shrinkToFit="0" wrapText="1"/>
    </xf>
    <xf borderId="8" fillId="4" fontId="11" numFmtId="0" xfId="0" applyAlignment="1" applyBorder="1" applyFont="1">
      <alignment readingOrder="0"/>
    </xf>
    <xf borderId="1" fillId="2" fontId="9" numFmtId="0" xfId="0" applyAlignment="1" applyBorder="1" applyFont="1">
      <alignment horizontal="left" readingOrder="0"/>
    </xf>
    <xf borderId="4" fillId="4" fontId="11" numFmtId="0" xfId="0" applyAlignment="1" applyBorder="1" applyFont="1">
      <alignment readingOrder="0"/>
    </xf>
    <xf borderId="1" fillId="2" fontId="13" numFmtId="0" xfId="0" applyAlignment="1" applyBorder="1" applyFont="1">
      <alignment horizontal="center" readingOrder="0"/>
    </xf>
    <xf borderId="1" fillId="0" fontId="5" numFmtId="0" xfId="0" applyAlignment="1" applyBorder="1" applyFont="1">
      <alignment readingOrder="0" shrinkToFit="0" vertical="top" wrapText="1"/>
    </xf>
    <xf borderId="1" fillId="3" fontId="7" numFmtId="0" xfId="0" applyAlignment="1" applyBorder="1" applyFont="1">
      <alignment horizontal="left" readingOrder="0" shrinkToFit="0" wrapText="1"/>
    </xf>
    <xf borderId="1" fillId="0" fontId="12" numFmtId="0" xfId="0" applyAlignment="1" applyBorder="1" applyFont="1">
      <alignment readingOrder="0" shrinkToFit="0" wrapText="1"/>
    </xf>
    <xf borderId="0" fillId="5" fontId="14" numFmtId="0" xfId="0" applyAlignment="1" applyFont="1">
      <alignment readingOrder="0"/>
    </xf>
    <xf borderId="4" fillId="2" fontId="9" numFmtId="0" xfId="0" applyAlignment="1" applyBorder="1" applyFont="1">
      <alignment readingOrder="0"/>
    </xf>
    <xf borderId="4" fillId="2" fontId="11" numFmtId="0" xfId="0" applyAlignment="1" applyBorder="1" applyFont="1">
      <alignment readingOrder="0" shrinkToFit="0" wrapText="1"/>
    </xf>
    <xf borderId="13" fillId="4" fontId="11" numFmtId="0" xfId="0" applyAlignment="1" applyBorder="1" applyFont="1">
      <alignment horizontal="center" readingOrder="0" shrinkToFit="0" vertical="center" wrapText="1"/>
    </xf>
    <xf borderId="13" fillId="5" fontId="11" numFmtId="0" xfId="0" applyAlignment="1" applyBorder="1" applyFont="1">
      <alignment horizontal="center" readingOrder="0" shrinkToFit="0" vertical="center" wrapText="1"/>
    </xf>
    <xf borderId="1" fillId="2" fontId="15" numFmtId="0" xfId="0" applyAlignment="1" applyBorder="1" applyFont="1">
      <alignment horizontal="center" readingOrder="0"/>
    </xf>
    <xf borderId="0" fillId="0" fontId="5" numFmtId="0" xfId="0" applyAlignment="1" applyFont="1">
      <alignment readingOrder="0" shrinkToFit="0" vertical="top" wrapText="1"/>
    </xf>
    <xf borderId="0" fillId="3" fontId="7" numFmtId="0" xfId="0" applyAlignment="1" applyFont="1">
      <alignment horizontal="left" readingOrder="0" shrinkToFit="0" wrapText="1"/>
    </xf>
    <xf borderId="0" fillId="0" fontId="12" numFmtId="0" xfId="0" applyAlignment="1" applyFont="1">
      <alignment readingOrder="0" shrinkToFit="0" wrapText="1"/>
    </xf>
    <xf borderId="0" fillId="0" fontId="11" numFmtId="0" xfId="0" applyAlignment="1" applyFont="1">
      <alignment readingOrder="0"/>
    </xf>
    <xf borderId="1" fillId="5" fontId="12" numFmtId="0" xfId="0" applyAlignment="1" applyBorder="1" applyFont="1">
      <alignment readingOrder="0"/>
    </xf>
    <xf borderId="8" fillId="2" fontId="9" numFmtId="0" xfId="0" applyAlignment="1" applyBorder="1" applyFont="1">
      <alignment horizontal="center" readingOrder="0"/>
    </xf>
    <xf borderId="15" fillId="0" fontId="3" numFmtId="0" xfId="0" applyBorder="1" applyFont="1"/>
    <xf borderId="13" fillId="2" fontId="12" numFmtId="0" xfId="0" applyAlignment="1" applyBorder="1" applyFont="1">
      <alignment horizontal="center" readingOrder="0"/>
    </xf>
    <xf borderId="13" fillId="2" fontId="16" numFmtId="0" xfId="0" applyAlignment="1" applyBorder="1" applyFont="1">
      <alignment horizontal="center" readingOrder="0"/>
    </xf>
    <xf borderId="15" fillId="2" fontId="12" numFmtId="0" xfId="0" applyAlignment="1" applyBorder="1" applyFont="1">
      <alignment horizontal="center" readingOrder="0" shrinkToFit="0" wrapText="1"/>
    </xf>
    <xf borderId="5" fillId="2" fontId="12" numFmtId="0" xfId="0" applyAlignment="1" applyBorder="1" applyFont="1">
      <alignment readingOrder="0"/>
    </xf>
    <xf borderId="5" fillId="2" fontId="16" numFmtId="0" xfId="0" applyAlignment="1" applyBorder="1" applyFont="1">
      <alignment readingOrder="0"/>
    </xf>
    <xf borderId="7" fillId="2" fontId="11" numFmtId="0" xfId="0" applyAlignment="1" applyBorder="1" applyFont="1">
      <alignment readingOrder="0"/>
    </xf>
    <xf borderId="6" fillId="2" fontId="11" numFmtId="0" xfId="0" applyAlignment="1" applyBorder="1" applyFont="1">
      <alignment readingOrder="0"/>
    </xf>
    <xf borderId="14" fillId="2" fontId="11" numFmtId="164" xfId="0" applyAlignment="1" applyBorder="1" applyFont="1" applyNumberFormat="1">
      <alignment readingOrder="0"/>
    </xf>
    <xf borderId="14" fillId="2" fontId="11" numFmtId="0" xfId="0" applyAlignment="1" applyBorder="1" applyFont="1">
      <alignment readingOrder="0"/>
    </xf>
    <xf borderId="0" fillId="2" fontId="11" numFmtId="0" xfId="0" applyAlignment="1" applyFont="1">
      <alignment readingOrder="0"/>
    </xf>
    <xf borderId="0" fillId="2" fontId="11" numFmtId="1" xfId="0" applyAlignment="1" applyFont="1" applyNumberFormat="1">
      <alignment readingOrder="0"/>
    </xf>
    <xf borderId="11" fillId="2" fontId="11" numFmtId="1" xfId="0" applyAlignment="1" applyBorder="1" applyFont="1" applyNumberFormat="1">
      <alignment readingOrder="0"/>
    </xf>
    <xf borderId="11" fillId="0" fontId="11" numFmtId="1" xfId="0" applyBorder="1" applyFont="1" applyNumberFormat="1"/>
    <xf borderId="0" fillId="0" fontId="11" numFmtId="1" xfId="0" applyFont="1" applyNumberFormat="1"/>
    <xf borderId="11" fillId="0" fontId="11" numFmtId="0" xfId="0" applyBorder="1" applyFont="1"/>
    <xf borderId="5" fillId="2" fontId="11" numFmtId="164" xfId="0" applyAlignment="1" applyBorder="1" applyFont="1" applyNumberFormat="1">
      <alignment readingOrder="0"/>
    </xf>
    <xf borderId="5" fillId="2" fontId="11" numFmtId="0" xfId="0" applyAlignment="1" applyBorder="1" applyFont="1">
      <alignment readingOrder="0"/>
    </xf>
    <xf borderId="7" fillId="0" fontId="11" numFmtId="0" xfId="0" applyBorder="1" applyFont="1"/>
    <xf borderId="6" fillId="0" fontId="11" numFmtId="0" xfId="0" applyBorder="1" applyFont="1"/>
    <xf borderId="0" fillId="0" fontId="11" numFmtId="164" xfId="0" applyAlignment="1" applyFont="1" applyNumberFormat="1">
      <alignment readingOrder="0"/>
    </xf>
    <xf borderId="8" fillId="2" fontId="12" numFmtId="0" xfId="0" applyAlignment="1" applyBorder="1" applyFont="1">
      <alignment horizontal="center" readingOrder="0"/>
    </xf>
    <xf borderId="8" fillId="2" fontId="12" numFmtId="0" xfId="0" applyAlignment="1" applyBorder="1" applyFont="1">
      <alignment horizontal="center" readingOrder="0" shrinkToFit="0" wrapText="1"/>
    </xf>
    <xf borderId="12" fillId="2" fontId="12" numFmtId="0" xfId="0" applyAlignment="1" applyBorder="1" applyFont="1">
      <alignment readingOrder="0"/>
    </xf>
    <xf borderId="12" fillId="2" fontId="11" numFmtId="0" xfId="0" applyAlignment="1" applyBorder="1" applyFont="1">
      <alignment readingOrder="0"/>
    </xf>
    <xf borderId="10" fillId="2" fontId="11" numFmtId="164" xfId="0" applyAlignment="1" applyBorder="1" applyFont="1" applyNumberFormat="1">
      <alignment readingOrder="0"/>
    </xf>
    <xf borderId="10" fillId="2" fontId="11" numFmtId="0" xfId="0" applyAlignment="1" applyBorder="1" applyFont="1">
      <alignment readingOrder="0"/>
    </xf>
    <xf borderId="4" fillId="5" fontId="17" numFmtId="9" xfId="0" applyAlignment="1" applyBorder="1" applyFont="1" applyNumberFormat="1">
      <alignment horizontal="right" readingOrder="0" vertical="bottom"/>
    </xf>
    <xf borderId="15" fillId="4" fontId="17" numFmtId="9" xfId="0" applyAlignment="1" applyBorder="1" applyFont="1" applyNumberFormat="1">
      <alignment horizontal="right" vertical="bottom"/>
    </xf>
    <xf borderId="4" fillId="4" fontId="17" numFmtId="9" xfId="0" applyAlignment="1" applyBorder="1" applyFont="1" applyNumberFormat="1">
      <alignment horizontal="right" vertical="bottom"/>
    </xf>
    <xf borderId="12" fillId="2" fontId="11" numFmtId="164" xfId="0" applyAlignment="1" applyBorder="1" applyFont="1" applyNumberFormat="1">
      <alignment readingOrder="0"/>
    </xf>
    <xf borderId="1" fillId="2" fontId="11" numFmtId="0" xfId="0" applyAlignment="1" applyBorder="1" applyFont="1">
      <alignment horizontal="center" readingOrder="0"/>
    </xf>
    <xf borderId="4" fillId="4" fontId="11" numFmtId="9" xfId="0" applyBorder="1" applyFont="1" applyNumberFormat="1"/>
    <xf borderId="1" fillId="2" fontId="18" numFmtId="0" xfId="0" applyAlignment="1" applyBorder="1" applyFont="1">
      <alignment horizontal="center" readingOrder="0"/>
    </xf>
    <xf borderId="1" fillId="0" fontId="11" numFmtId="0" xfId="0" applyAlignment="1" applyBorder="1" applyFont="1">
      <alignment readingOrder="0"/>
    </xf>
    <xf borderId="8" fillId="0" fontId="11" numFmtId="0" xfId="0" applyBorder="1" applyFont="1"/>
    <xf borderId="8" fillId="0" fontId="11" numFmtId="0" xfId="0" applyAlignment="1" applyBorder="1" applyFont="1">
      <alignment readingOrder="0" shrinkToFit="0" wrapText="1"/>
    </xf>
    <xf borderId="0" fillId="0" fontId="11" numFmtId="0" xfId="0" applyAlignment="1" applyFont="1">
      <alignment readingOrder="0" shrinkToFit="0" wrapText="1"/>
    </xf>
    <xf borderId="1" fillId="0" fontId="7" numFmtId="0" xfId="0" applyAlignment="1" applyBorder="1" applyFont="1">
      <alignment horizontal="left" readingOrder="0" shrinkToFit="0" vertical="top" wrapText="1"/>
    </xf>
    <xf borderId="8" fillId="0" fontId="5" numFmtId="0" xfId="0" applyAlignment="1" applyBorder="1" applyFont="1">
      <alignment readingOrder="0" shrinkToFit="0" vertical="top" wrapText="1"/>
    </xf>
    <xf borderId="8" fillId="0" fontId="12" numFmtId="0" xfId="0" applyAlignment="1" applyBorder="1" applyFont="1">
      <alignment readingOrder="0" shrinkToFit="0" wrapText="1"/>
    </xf>
    <xf borderId="10" fillId="0" fontId="11" numFmtId="0" xfId="0" applyAlignment="1" applyBorder="1" applyFont="1">
      <alignment readingOrder="0" shrinkToFit="0" wrapText="1"/>
    </xf>
    <xf borderId="12" fillId="0" fontId="11" numFmtId="0" xfId="0" applyAlignment="1" applyBorder="1" applyFont="1">
      <alignment readingOrder="0" shrinkToFit="0" wrapText="1"/>
    </xf>
    <xf borderId="1" fillId="5" fontId="16" numFmtId="0" xfId="0" applyAlignment="1" applyBorder="1" applyFont="1">
      <alignment readingOrder="0"/>
    </xf>
    <xf borderId="0" fillId="3" fontId="19" numFmtId="0" xfId="0" applyAlignment="1" applyFont="1">
      <alignment readingOrder="0"/>
    </xf>
    <xf borderId="8" fillId="2" fontId="20" numFmtId="0" xfId="0" applyAlignment="1" applyBorder="1" applyFont="1">
      <alignment horizontal="center" shrinkToFit="0" vertical="bottom" wrapText="1"/>
    </xf>
    <xf borderId="1" fillId="2" fontId="12" numFmtId="0" xfId="0" applyAlignment="1" applyBorder="1" applyFont="1">
      <alignment horizontal="center" readingOrder="0"/>
    </xf>
    <xf borderId="4" fillId="2" fontId="20" numFmtId="0" xfId="0" applyAlignment="1" applyBorder="1" applyFont="1">
      <alignment horizontal="center" shrinkToFit="0" vertical="center" wrapText="1"/>
    </xf>
    <xf borderId="3" fillId="2" fontId="20" numFmtId="0" xfId="0" applyAlignment="1" applyBorder="1" applyFont="1">
      <alignment horizontal="center" shrinkToFit="0" vertical="center" wrapText="1"/>
    </xf>
    <xf borderId="13" fillId="2" fontId="11" numFmtId="0" xfId="0" applyAlignment="1" applyBorder="1" applyFont="1">
      <alignment horizontal="center" readingOrder="0"/>
    </xf>
    <xf borderId="5" fillId="7" fontId="20" numFmtId="0" xfId="0" applyAlignment="1" applyBorder="1" applyFill="1" applyFont="1">
      <alignment horizontal="center" vertical="bottom"/>
    </xf>
    <xf borderId="7" fillId="7" fontId="20" numFmtId="3" xfId="0" applyAlignment="1" applyBorder="1" applyFont="1" applyNumberFormat="1">
      <alignment horizontal="center" vertical="bottom"/>
    </xf>
    <xf borderId="8" fillId="0" fontId="11" numFmtId="1" xfId="0" applyAlignment="1" applyBorder="1" applyFont="1" applyNumberFormat="1">
      <alignment readingOrder="0"/>
    </xf>
    <xf borderId="15" fillId="0" fontId="11" numFmtId="1" xfId="0" applyBorder="1" applyFont="1" applyNumberFormat="1"/>
    <xf borderId="9" fillId="0" fontId="11" numFmtId="1" xfId="0" applyBorder="1" applyFont="1" applyNumberFormat="1"/>
    <xf borderId="5" fillId="7" fontId="21" numFmtId="0" xfId="0" applyAlignment="1" applyBorder="1" applyFont="1">
      <alignment horizontal="right" vertical="bottom"/>
    </xf>
    <xf borderId="7" fillId="7" fontId="21" numFmtId="3" xfId="0" applyAlignment="1" applyBorder="1" applyFont="1" applyNumberFormat="1">
      <alignment horizontal="center" vertical="bottom"/>
    </xf>
    <xf borderId="10" fillId="0" fontId="11" numFmtId="1" xfId="0" applyAlignment="1" applyBorder="1" applyFont="1" applyNumberFormat="1">
      <alignment readingOrder="0"/>
    </xf>
    <xf borderId="12" fillId="0" fontId="11" numFmtId="1" xfId="0" applyAlignment="1" applyBorder="1" applyFont="1" applyNumberFormat="1">
      <alignment readingOrder="0"/>
    </xf>
    <xf borderId="7" fillId="0" fontId="11" numFmtId="1" xfId="0" applyBorder="1" applyFont="1" applyNumberFormat="1"/>
    <xf borderId="6" fillId="0" fontId="11" numFmtId="1" xfId="0" applyBorder="1" applyFont="1" applyNumberFormat="1"/>
    <xf borderId="8" fillId="5" fontId="12" numFmtId="9" xfId="0" applyAlignment="1" applyBorder="1" applyFont="1" applyNumberFormat="1">
      <alignment readingOrder="0"/>
    </xf>
    <xf borderId="15" fillId="4" fontId="11" numFmtId="9" xfId="0" applyAlignment="1" applyBorder="1" applyFont="1" applyNumberFormat="1">
      <alignment readingOrder="0"/>
    </xf>
    <xf borderId="10" fillId="4" fontId="11" numFmtId="9" xfId="0" applyAlignment="1" applyBorder="1" applyFont="1" applyNumberFormat="1">
      <alignment readingOrder="0"/>
    </xf>
    <xf borderId="12" fillId="7" fontId="20" numFmtId="165" xfId="0" applyAlignment="1" applyBorder="1" applyFont="1" applyNumberFormat="1">
      <alignment horizontal="center" vertical="bottom"/>
    </xf>
    <xf borderId="0" fillId="2" fontId="12" numFmtId="0" xfId="0" applyAlignment="1" applyFont="1">
      <alignment readingOrder="0" shrinkToFit="0" wrapText="1"/>
    </xf>
    <xf borderId="0" fillId="4" fontId="11" numFmtId="0" xfId="0" applyAlignment="1" applyFont="1">
      <alignment readingOrder="0"/>
    </xf>
    <xf borderId="0" fillId="0" fontId="12" numFmtId="0" xfId="0" applyFont="1"/>
    <xf borderId="0" fillId="4" fontId="11" numFmtId="0" xfId="0" applyAlignment="1" applyFont="1">
      <alignment readingOrder="0" shrinkToFit="0" wrapText="1"/>
    </xf>
    <xf borderId="4" fillId="2" fontId="20" numFmtId="0" xfId="0" applyAlignment="1" applyBorder="1" applyFont="1">
      <alignment horizontal="center" shrinkToFit="0" vertical="bottom" wrapText="1"/>
    </xf>
    <xf borderId="3" fillId="2" fontId="20" numFmtId="0" xfId="0" applyAlignment="1" applyBorder="1" applyFont="1">
      <alignment horizontal="center" shrinkToFit="0" vertical="bottom" wrapText="1"/>
    </xf>
    <xf borderId="5" fillId="7" fontId="21" numFmtId="0" xfId="0" applyAlignment="1" applyBorder="1" applyFont="1">
      <alignment horizontal="center" vertical="bottom"/>
    </xf>
    <xf borderId="7" fillId="7" fontId="21" numFmtId="3" xfId="0" applyAlignment="1" applyBorder="1" applyFont="1" applyNumberFormat="1">
      <alignment horizontal="center" readingOrder="0" vertical="bottom"/>
    </xf>
    <xf borderId="8" fillId="4" fontId="11" numFmtId="9" xfId="0" applyAlignment="1" applyBorder="1" applyFont="1" applyNumberFormat="1">
      <alignment readingOrder="0"/>
    </xf>
    <xf borderId="0" fillId="4" fontId="11" numFmtId="0" xfId="0" applyAlignment="1" applyFont="1">
      <alignment horizontal="left" readingOrder="0"/>
    </xf>
    <xf borderId="4" fillId="2" fontId="20" numFmtId="0" xfId="0" applyAlignment="1" applyBorder="1" applyFont="1">
      <alignment horizontal="center" shrinkToFit="0" vertical="bottom" wrapText="1"/>
    </xf>
    <xf borderId="8" fillId="4" fontId="11" numFmtId="10" xfId="0" applyAlignment="1" applyBorder="1" applyFont="1" applyNumberFormat="1">
      <alignment readingOrder="0"/>
    </xf>
    <xf borderId="12" fillId="7" fontId="20" numFmtId="0" xfId="0" applyAlignment="1" applyBorder="1" applyFont="1">
      <alignment horizontal="center" vertical="bottom"/>
    </xf>
    <xf borderId="4" fillId="4" fontId="11" numFmtId="9" xfId="0" applyAlignment="1" applyBorder="1" applyFont="1" applyNumberFormat="1">
      <alignment readingOrder="0"/>
    </xf>
    <xf borderId="8" fillId="2" fontId="12" numFmtId="0" xfId="0" applyAlignment="1" applyBorder="1" applyFont="1">
      <alignment readingOrder="0" shrinkToFit="0" wrapText="1"/>
    </xf>
    <xf borderId="8" fillId="4" fontId="11" numFmtId="166" xfId="0" applyAlignment="1" applyBorder="1" applyFont="1" applyNumberFormat="1">
      <alignment horizontal="left" readingOrder="0"/>
    </xf>
    <xf borderId="0" fillId="0" fontId="11" numFmtId="0" xfId="0" applyAlignment="1" applyFont="1">
      <alignment horizontal="left"/>
    </xf>
    <xf borderId="8" fillId="4" fontId="11" numFmtId="0" xfId="0" applyAlignment="1" applyBorder="1" applyFont="1">
      <alignment horizontal="left" readingOrder="0"/>
    </xf>
    <xf borderId="0" fillId="0" fontId="2" numFmtId="1" xfId="0" applyAlignment="1" applyFont="1" applyNumberFormat="1">
      <alignment horizontal="right" vertical="bottom"/>
    </xf>
    <xf borderId="11" fillId="0" fontId="2" numFmtId="1" xfId="0" applyAlignment="1" applyBorder="1" applyFont="1" applyNumberFormat="1">
      <alignment horizontal="right" vertical="bottom"/>
    </xf>
    <xf borderId="0" fillId="0" fontId="11" numFmtId="1" xfId="0" applyAlignment="1" applyFont="1" applyNumberFormat="1">
      <alignment readingOrder="0"/>
    </xf>
    <xf borderId="5" fillId="7" fontId="7" numFmtId="0" xfId="0" applyAlignment="1" applyBorder="1" applyFont="1">
      <alignment horizontal="center" readingOrder="0" vertical="bottom"/>
    </xf>
    <xf borderId="1" fillId="2" fontId="22" numFmtId="0" xfId="0" applyAlignment="1" applyBorder="1" applyFont="1">
      <alignment horizontal="center" readingOrder="0" vertical="bottom"/>
    </xf>
    <xf borderId="1" fillId="0" fontId="5" numFmtId="0" xfId="0" applyAlignment="1" applyBorder="1" applyFont="1">
      <alignment readingOrder="0" shrinkToFit="0" vertical="bottom" wrapText="1"/>
    </xf>
    <xf borderId="0" fillId="0" fontId="2" numFmtId="0" xfId="0" applyAlignment="1" applyFont="1">
      <alignment vertical="bottom"/>
    </xf>
    <xf borderId="8" fillId="0" fontId="5" numFmtId="0" xfId="0" applyAlignment="1" applyBorder="1" applyFont="1">
      <alignment readingOrder="0" shrinkToFit="0" vertical="bottom" wrapText="1"/>
    </xf>
    <xf borderId="10" fillId="0" fontId="5" numFmtId="0" xfId="0" applyAlignment="1" applyBorder="1" applyFont="1">
      <alignment readingOrder="0" shrinkToFit="0" vertical="bottom" wrapText="1"/>
    </xf>
    <xf borderId="12" fillId="0" fontId="2" numFmtId="0" xfId="0" applyAlignment="1" applyBorder="1" applyFont="1">
      <alignment readingOrder="0" shrinkToFit="0" vertical="bottom" wrapText="1"/>
    </xf>
    <xf borderId="1" fillId="5" fontId="5" numFmtId="0" xfId="0" applyAlignment="1" applyBorder="1" applyFont="1">
      <alignment readingOrder="0" vertical="bottom"/>
    </xf>
    <xf borderId="7" fillId="0" fontId="2" numFmtId="0" xfId="0" applyAlignment="1" applyBorder="1" applyFont="1">
      <alignment vertical="bottom"/>
    </xf>
    <xf borderId="12" fillId="2" fontId="23" numFmtId="0" xfId="0" applyAlignment="1" applyBorder="1" applyFont="1">
      <alignment horizontal="center" vertical="bottom"/>
    </xf>
    <xf borderId="4" fillId="2" fontId="5" numFmtId="0" xfId="0" applyAlignment="1" applyBorder="1" applyFont="1">
      <alignment horizontal="center" readingOrder="0" shrinkToFit="0" vertical="bottom" wrapText="1"/>
    </xf>
    <xf borderId="3" fillId="2" fontId="16" numFmtId="0" xfId="0" applyAlignment="1" applyBorder="1" applyFont="1">
      <alignment horizontal="center" shrinkToFit="0" vertical="bottom" wrapText="1"/>
    </xf>
    <xf borderId="1" fillId="2" fontId="5" numFmtId="0" xfId="0" applyAlignment="1" applyBorder="1" applyFont="1">
      <alignment horizontal="center" readingOrder="0" shrinkToFit="0" vertical="bottom" wrapText="1"/>
    </xf>
    <xf borderId="5" fillId="2" fontId="2" numFmtId="0" xfId="0" applyAlignment="1" applyBorder="1" applyFont="1">
      <alignment vertical="bottom"/>
    </xf>
    <xf borderId="6" fillId="2" fontId="2" numFmtId="0" xfId="0" applyAlignment="1" applyBorder="1" applyFont="1">
      <alignment vertical="bottom"/>
    </xf>
    <xf borderId="4" fillId="2" fontId="2" numFmtId="0" xfId="0" applyAlignment="1" applyBorder="1" applyFont="1">
      <alignment horizontal="right" vertical="bottom"/>
    </xf>
    <xf borderId="14" fillId="2" fontId="2" numFmtId="164" xfId="0" applyAlignment="1" applyBorder="1" applyFont="1" applyNumberFormat="1">
      <alignment horizontal="right" vertical="bottom"/>
    </xf>
    <xf borderId="11" fillId="2" fontId="2" numFmtId="0" xfId="0" applyAlignment="1" applyBorder="1" applyFont="1">
      <alignment horizontal="right" vertical="bottom"/>
    </xf>
    <xf borderId="6" fillId="2" fontId="2" numFmtId="0" xfId="0" applyAlignment="1" applyBorder="1" applyFont="1">
      <alignment horizontal="right" vertical="bottom"/>
    </xf>
    <xf borderId="6" fillId="2" fontId="2" numFmtId="1" xfId="0" applyAlignment="1" applyBorder="1" applyFont="1" applyNumberFormat="1">
      <alignment horizontal="right" vertical="bottom"/>
    </xf>
    <xf borderId="6" fillId="0" fontId="2" numFmtId="1" xfId="0" applyAlignment="1" applyBorder="1" applyFont="1" applyNumberFormat="1">
      <alignment vertical="bottom"/>
    </xf>
    <xf borderId="6" fillId="0" fontId="2" numFmtId="0" xfId="0" applyAlignment="1" applyBorder="1" applyFont="1">
      <alignment vertical="bottom"/>
    </xf>
    <xf borderId="5" fillId="2" fontId="2" numFmtId="164" xfId="0" applyAlignment="1" applyBorder="1" applyFont="1" applyNumberFormat="1">
      <alignment vertical="bottom"/>
    </xf>
    <xf borderId="12" fillId="0" fontId="2" numFmtId="0" xfId="0" applyAlignment="1" applyBorder="1" applyFont="1">
      <alignment vertical="bottom"/>
    </xf>
    <xf borderId="5" fillId="2" fontId="2" numFmtId="0" xfId="0" applyAlignment="1" applyBorder="1" applyFont="1">
      <alignment shrinkToFit="0" vertical="bottom" wrapText="1"/>
    </xf>
    <xf borderId="6" fillId="2" fontId="2" numFmtId="0" xfId="0" applyAlignment="1" applyBorder="1" applyFont="1">
      <alignment shrinkToFit="0" vertical="bottom" wrapText="1"/>
    </xf>
    <xf borderId="7" fillId="2" fontId="2" numFmtId="0" xfId="0" applyAlignment="1" applyBorder="1" applyFont="1">
      <alignment horizontal="right" vertical="bottom"/>
    </xf>
    <xf borderId="13" fillId="2" fontId="2" numFmtId="164" xfId="0" applyAlignment="1" applyBorder="1" applyFont="1" applyNumberFormat="1">
      <alignment horizontal="right" vertical="bottom"/>
    </xf>
    <xf borderId="9" fillId="2" fontId="2" numFmtId="0" xfId="0" applyAlignment="1" applyBorder="1" applyFont="1">
      <alignment horizontal="right" vertical="bottom"/>
    </xf>
    <xf borderId="3" fillId="2" fontId="2" numFmtId="0" xfId="0" applyAlignment="1" applyBorder="1" applyFont="1">
      <alignment horizontal="right" vertical="bottom"/>
    </xf>
    <xf borderId="3" fillId="2" fontId="2" numFmtId="1" xfId="0" applyAlignment="1" applyBorder="1" applyFont="1" applyNumberFormat="1">
      <alignment horizontal="right" vertical="bottom"/>
    </xf>
    <xf borderId="5" fillId="2" fontId="2" numFmtId="164" xfId="0" applyAlignment="1" applyBorder="1" applyFont="1" applyNumberFormat="1">
      <alignment horizontal="right" vertical="bottom"/>
    </xf>
    <xf borderId="4" fillId="2" fontId="5" numFmtId="0" xfId="0" applyAlignment="1" applyBorder="1" applyFont="1">
      <alignment horizontal="center" readingOrder="0" shrinkToFit="0" vertical="center" wrapText="1"/>
    </xf>
    <xf borderId="3" fillId="2" fontId="16" numFmtId="0" xfId="0" applyAlignment="1" applyBorder="1" applyFont="1">
      <alignment horizontal="center" shrinkToFit="0" vertical="center" wrapText="1"/>
    </xf>
    <xf borderId="3" fillId="2" fontId="16" numFmtId="0" xfId="0" applyAlignment="1" applyBorder="1" applyFont="1">
      <alignment horizontal="center" readingOrder="0" shrinkToFit="0" vertical="center" wrapText="1"/>
    </xf>
    <xf borderId="4" fillId="2" fontId="2" numFmtId="164" xfId="0" applyAlignment="1" applyBorder="1" applyFont="1" applyNumberFormat="1">
      <alignment horizontal="right" vertical="bottom"/>
    </xf>
    <xf borderId="4" fillId="5" fontId="5" numFmtId="0" xfId="0" applyAlignment="1" applyBorder="1" applyFont="1">
      <alignment horizontal="right" readingOrder="0" vertical="bottom"/>
    </xf>
    <xf borderId="4" fillId="5" fontId="5" numFmtId="0" xfId="0" applyAlignment="1" applyBorder="1" applyFont="1">
      <alignment horizontal="right" vertical="bottom"/>
    </xf>
    <xf borderId="4" fillId="2" fontId="2" numFmtId="1" xfId="0" applyAlignment="1" applyBorder="1" applyFont="1" applyNumberFormat="1">
      <alignment horizontal="right" vertical="bottom"/>
    </xf>
    <xf borderId="4" fillId="5" fontId="5" numFmtId="1" xfId="0" applyAlignment="1" applyBorder="1" applyFont="1" applyNumberFormat="1">
      <alignment horizontal="right" readingOrder="0" vertical="bottom"/>
    </xf>
    <xf borderId="11" fillId="5" fontId="5" numFmtId="1" xfId="0" applyAlignment="1" applyBorder="1" applyFont="1" applyNumberFormat="1">
      <alignment horizontal="right" vertical="bottom"/>
    </xf>
    <xf borderId="4" fillId="4" fontId="2" numFmtId="1" xfId="0" applyAlignment="1" applyBorder="1" applyFont="1" applyNumberFormat="1">
      <alignment horizontal="right" vertical="bottom"/>
    </xf>
    <xf borderId="11" fillId="0" fontId="2" numFmtId="0" xfId="0" applyAlignment="1" applyBorder="1" applyFont="1">
      <alignment vertical="bottom"/>
    </xf>
    <xf borderId="8" fillId="0" fontId="24" numFmtId="0" xfId="0" applyAlignment="1" applyBorder="1" applyFont="1">
      <alignment readingOrder="0" vertical="top"/>
    </xf>
    <xf borderId="0" fillId="0" fontId="2" numFmtId="0" xfId="0" applyAlignment="1" applyFont="1">
      <alignment readingOrder="0" vertical="bottom"/>
    </xf>
    <xf borderId="7" fillId="2" fontId="22" numFmtId="0" xfId="0" applyAlignment="1" applyBorder="1" applyFont="1">
      <alignment horizontal="center" vertical="bottom"/>
    </xf>
    <xf borderId="8" fillId="0" fontId="11" numFmtId="0" xfId="0" applyAlignment="1" applyBorder="1" applyFont="1">
      <alignment horizontal="left" readingOrder="0" shrinkToFit="0" wrapText="1"/>
    </xf>
    <xf borderId="10" fillId="0" fontId="2" numFmtId="0" xfId="0" applyAlignment="1" applyBorder="1" applyFont="1">
      <alignment horizontal="left" readingOrder="0" shrinkToFit="0" vertical="top" wrapText="1"/>
    </xf>
    <xf borderId="12" fillId="0" fontId="2" numFmtId="0" xfId="0" applyAlignment="1" applyBorder="1" applyFont="1">
      <alignment horizontal="left" readingOrder="0" shrinkToFit="0" vertical="top" wrapText="1"/>
    </xf>
    <xf borderId="5" fillId="2" fontId="5" numFmtId="0" xfId="0" applyAlignment="1" applyBorder="1" applyFont="1">
      <alignment horizontal="center" vertical="bottom"/>
    </xf>
    <xf borderId="5" fillId="2" fontId="2" numFmtId="1" xfId="0" applyAlignment="1" applyBorder="1" applyFont="1" applyNumberFormat="1">
      <alignment horizontal="center" vertical="bottom"/>
    </xf>
    <xf borderId="5" fillId="2" fontId="2" numFmtId="0" xfId="0" applyAlignment="1" applyBorder="1" applyFont="1">
      <alignment horizontal="center" shrinkToFit="0" vertical="bottom" wrapText="1"/>
    </xf>
    <xf borderId="5" fillId="2" fontId="2" numFmtId="0" xfId="0" applyAlignment="1" applyBorder="1" applyFont="1">
      <alignment horizontal="center" readingOrder="0" shrinkToFit="0" vertical="bottom" wrapText="1"/>
    </xf>
    <xf borderId="6" fillId="2" fontId="2" numFmtId="167" xfId="0" applyAlignment="1" applyBorder="1" applyFont="1" applyNumberFormat="1">
      <alignment horizontal="right" vertical="bottom"/>
    </xf>
    <xf borderId="5" fillId="2" fontId="2" numFmtId="0" xfId="0" applyAlignment="1" applyBorder="1" applyFont="1">
      <alignment horizontal="center" vertical="bottom"/>
    </xf>
    <xf borderId="6" fillId="2" fontId="2" numFmtId="9" xfId="0" applyAlignment="1" applyBorder="1" applyFont="1" applyNumberFormat="1">
      <alignment horizontal="right" vertical="bottom"/>
    </xf>
    <xf borderId="6" fillId="5" fontId="5" numFmtId="10" xfId="0" applyAlignment="1" applyBorder="1" applyFont="1" applyNumberFormat="1">
      <alignment horizontal="right" readingOrder="0" vertical="bottom"/>
    </xf>
    <xf borderId="6" fillId="4" fontId="2" numFmtId="10" xfId="0" applyAlignment="1" applyBorder="1" applyFont="1" applyNumberFormat="1">
      <alignment horizontal="right" vertical="bottom"/>
    </xf>
    <xf borderId="6" fillId="5" fontId="5" numFmtId="167" xfId="0" applyAlignment="1" applyBorder="1" applyFont="1" applyNumberFormat="1">
      <alignment horizontal="right" readingOrder="0" vertical="bottom"/>
    </xf>
    <xf borderId="6" fillId="4" fontId="2" numFmtId="167" xfId="0" applyAlignment="1" applyBorder="1" applyFont="1" applyNumberFormat="1">
      <alignment horizontal="right" vertical="bottom"/>
    </xf>
    <xf borderId="14" fillId="2" fontId="2" numFmtId="0" xfId="0" applyAlignment="1" applyBorder="1" applyFont="1">
      <alignment shrinkToFit="0" vertical="bottom" wrapText="1"/>
    </xf>
    <xf borderId="0" fillId="4" fontId="2" numFmtId="0" xfId="0" applyAlignment="1" applyFont="1">
      <alignment readingOrder="0" shrinkToFit="0" vertical="bottom" wrapText="1"/>
    </xf>
    <xf borderId="0" fillId="0" fontId="2" numFmtId="0" xfId="0" applyAlignment="1" applyFont="1">
      <alignment shrinkToFit="0" vertical="bottom" wrapText="1"/>
    </xf>
    <xf borderId="0" fillId="2" fontId="22" numFmtId="0" xfId="0" applyAlignment="1" applyFont="1">
      <alignment horizontal="center" vertical="bottom"/>
    </xf>
    <xf borderId="0" fillId="0" fontId="2" numFmtId="0" xfId="0" applyAlignment="1" applyFont="1">
      <alignment readingOrder="0" vertical="top"/>
    </xf>
    <xf borderId="0" fillId="0" fontId="2" numFmtId="0" xfId="0" applyAlignment="1" applyFont="1">
      <alignment readingOrder="0" shrinkToFit="0" vertical="top" wrapText="0"/>
    </xf>
    <xf borderId="5" fillId="0" fontId="5" numFmtId="0" xfId="0" applyAlignment="1" applyBorder="1" applyFont="1">
      <alignment horizontal="center" vertical="center"/>
    </xf>
    <xf borderId="6"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5" fillId="4" fontId="2" numFmtId="0" xfId="0" applyAlignment="1" applyBorder="1" applyFont="1">
      <alignment horizontal="right" shrinkToFit="0" vertical="bottom" wrapText="1"/>
    </xf>
    <xf borderId="6" fillId="4" fontId="2" numFmtId="0" xfId="0" applyAlignment="1" applyBorder="1" applyFont="1">
      <alignment readingOrder="0" shrinkToFit="0" vertical="bottom" wrapText="1"/>
    </xf>
    <xf borderId="5" fillId="4" fontId="2" numFmtId="0" xfId="0" applyAlignment="1" applyBorder="1" applyFont="1">
      <alignment readingOrder="0" vertical="bottom"/>
    </xf>
    <xf borderId="6" fillId="4" fontId="2" numFmtId="2" xfId="0" applyAlignment="1" applyBorder="1" applyFont="1" applyNumberFormat="1">
      <alignment readingOrder="0" vertical="bottom"/>
    </xf>
    <xf borderId="6" fillId="4" fontId="2" numFmtId="0" xfId="0" applyAlignment="1" applyBorder="1" applyFont="1">
      <alignment readingOrder="0" vertical="bottom"/>
    </xf>
    <xf borderId="5" fillId="4" fontId="2" numFmtId="0" xfId="0" applyAlignment="1" applyBorder="1" applyFont="1">
      <alignment horizontal="right" readingOrder="0" shrinkToFit="0" vertical="bottom" wrapText="1"/>
    </xf>
    <xf borderId="6" fillId="4" fontId="2" numFmtId="0" xfId="0" applyAlignment="1" applyBorder="1" applyFont="1">
      <alignment horizontal="right" readingOrder="0" shrinkToFit="0" vertical="bottom" wrapText="1"/>
    </xf>
    <xf borderId="0" fillId="0" fontId="2" numFmtId="0" xfId="0" applyFont="1"/>
    <xf borderId="0" fillId="0" fontId="2"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'Tab 3 - Retention Cohort Analys'!$C$31:$M$31</c:f>
            </c:strRef>
          </c:cat>
          <c:val>
            <c:numRef>
              <c:f>'Tab 3 - Retention Cohort Analys'!$C$44:$M$44</c:f>
              <c:numCache/>
            </c:numRef>
          </c:val>
          <c:smooth val="0"/>
        </c:ser>
        <c:axId val="80636974"/>
        <c:axId val="828882048"/>
      </c:lineChart>
      <c:catAx>
        <c:axId val="806369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8882048"/>
      </c:catAx>
      <c:valAx>
        <c:axId val="828882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63697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000">
                <a:solidFill>
                  <a:srgbClr val="595959"/>
                </a:solidFill>
                <a:latin typeface="+mn-lt"/>
              </a:defRPr>
            </a:pPr>
            <a:r>
              <a:rPr b="0" i="0" sz="2000">
                <a:solidFill>
                  <a:srgbClr val="595959"/>
                </a:solidFill>
                <a:latin typeface="+mn-lt"/>
              </a:rPr>
              <a:t>Retention of weekly active cohorts</a:t>
            </a:r>
          </a:p>
        </c:rich>
      </c:tx>
      <c:overlay val="0"/>
    </c:title>
    <c:plotArea>
      <c:layout/>
      <c:lineChart>
        <c:ser>
          <c:idx val="0"/>
          <c:order val="0"/>
          <c:spPr>
            <a:ln cmpd="sng" w="28575">
              <a:solidFill>
                <a:srgbClr val="4472C4">
                  <a:alpha val="100000"/>
                </a:srgbClr>
              </a:solidFill>
              <a:prstDash val="solid"/>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'Tab 3 - Retention Cohort Analys'!$C$31:$M$31</c:f>
            </c:strRef>
          </c:cat>
          <c:val>
            <c:numRef>
              <c:f>'Tab 3 - Retention Cohort Analys'!$C$32:$M$32</c:f>
              <c:numCache/>
            </c:numRef>
          </c:val>
          <c:smooth val="0"/>
        </c:ser>
        <c:ser>
          <c:idx val="1"/>
          <c:order val="1"/>
          <c:spPr>
            <a:ln cmpd="sng" w="28575">
              <a:solidFill>
                <a:srgbClr val="ED7D31">
                  <a:alpha val="100000"/>
                </a:srgbClr>
              </a:solidFill>
              <a:prstDash val="solid"/>
            </a:ln>
          </c:spPr>
          <c:marker>
            <c:symbol val="none"/>
          </c:marker>
          <c:cat>
            <c:strRef>
              <c:f>'Tab 3 - Retention Cohort Analys'!$C$31:$M$31</c:f>
            </c:strRef>
          </c:cat>
          <c:val>
            <c:numRef>
              <c:f>'Tab 3 - Retention Cohort Analys'!$C$33:$M$33</c:f>
              <c:numCache/>
            </c:numRef>
          </c:val>
          <c:smooth val="0"/>
        </c:ser>
        <c:ser>
          <c:idx val="2"/>
          <c:order val="2"/>
          <c:spPr>
            <a:ln cmpd="sng" w="28575">
              <a:solidFill>
                <a:srgbClr val="A5A5A5">
                  <a:alpha val="100000"/>
                </a:srgbClr>
              </a:solidFill>
              <a:prstDash val="solid"/>
            </a:ln>
          </c:spPr>
          <c:marker>
            <c:symbol val="none"/>
          </c:marker>
          <c:cat>
            <c:strRef>
              <c:f>'Tab 3 - Retention Cohort Analys'!$C$31:$M$31</c:f>
            </c:strRef>
          </c:cat>
          <c:val>
            <c:numRef>
              <c:f>'Tab 3 - Retention Cohort Analys'!$C$44:$M$44</c:f>
              <c:numCache/>
            </c:numRef>
          </c:val>
          <c:smooth val="0"/>
        </c:ser>
        <c:axId val="330194638"/>
        <c:axId val="536356944"/>
      </c:lineChart>
      <c:catAx>
        <c:axId val="330194638"/>
        <c:scaling>
          <c:orientation val="minMax"/>
        </c:scaling>
        <c:delete val="0"/>
        <c:axPos val="b"/>
        <c:title>
          <c:tx>
            <c:rich>
              <a:bodyPr/>
              <a:lstStyle/>
              <a:p>
                <a:pPr lvl="0">
                  <a:defRPr b="0" sz="2000">
                    <a:solidFill>
                      <a:srgbClr val="000000"/>
                    </a:solidFill>
                    <a:latin typeface="+mn-lt"/>
                  </a:defRPr>
                </a:pPr>
                <a:r>
                  <a:rPr b="0" sz="2000">
                    <a:solidFill>
                      <a:srgbClr val="000000"/>
                    </a:solidFill>
                    <a:latin typeface="+mn-lt"/>
                  </a:rPr>
                  <a:t>Week</a:t>
                </a:r>
              </a:p>
            </c:rich>
          </c:tx>
          <c:overlay val="0"/>
        </c:title>
        <c:numFmt formatCode="General" sourceLinked="1"/>
        <c:majorTickMark val="none"/>
        <c:minorTickMark val="none"/>
        <c:spPr/>
        <c:txPr>
          <a:bodyPr rot="-16800000"/>
          <a:lstStyle/>
          <a:p>
            <a:pPr lvl="0">
              <a:defRPr b="0" i="0" sz="1600">
                <a:solidFill>
                  <a:srgbClr val="595959"/>
                </a:solidFill>
                <a:latin typeface="+mn-lt"/>
              </a:defRPr>
            </a:pPr>
          </a:p>
        </c:txPr>
        <c:crossAx val="536356944"/>
      </c:catAx>
      <c:valAx>
        <c:axId val="536356944"/>
        <c:scaling>
          <c:orientation val="minMax"/>
          <c:max val="1.0"/>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sz="2000">
                    <a:solidFill>
                      <a:srgbClr val="000000"/>
                    </a:solidFill>
                    <a:latin typeface="+mn-lt"/>
                  </a:defRPr>
                </a:pPr>
                <a:r>
                  <a:rPr b="0" sz="2000">
                    <a:solidFill>
                      <a:srgbClr val="000000"/>
                    </a:solidFill>
                    <a:latin typeface="+mn-lt"/>
                  </a:rPr>
                  <a:t>% Of weekly active users </a:t>
                </a:r>
              </a:p>
            </c:rich>
          </c:tx>
          <c:overlay val="0"/>
        </c:title>
        <c:numFmt formatCode="General" sourceLinked="1"/>
        <c:majorTickMark val="none"/>
        <c:minorTickMark val="none"/>
        <c:tickLblPos val="nextTo"/>
        <c:spPr>
          <a:ln/>
        </c:spPr>
        <c:txPr>
          <a:bodyPr/>
          <a:lstStyle/>
          <a:p>
            <a:pPr lvl="0">
              <a:defRPr b="0" i="0">
                <a:solidFill>
                  <a:srgbClr val="595959"/>
                </a:solidFill>
                <a:latin typeface="+mn-lt"/>
              </a:defRPr>
            </a:pPr>
          </a:p>
        </c:txPr>
        <c:crossAx val="330194638"/>
      </c:valAx>
      <c:spPr>
        <a:solidFill>
          <a:srgbClr val="FFFFFF"/>
        </a:solidFill>
      </c:spPr>
    </c:plotArea>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vs. New Users Acquired</a:t>
            </a:r>
          </a:p>
        </c:rich>
      </c:tx>
      <c:overlay val="0"/>
    </c:title>
    <c:plotArea>
      <c:layout/>
      <c:lineChart>
        <c:varyColors val="0"/>
        <c:ser>
          <c:idx val="0"/>
          <c:order val="0"/>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'Tab 5 - Retention Segmentation'!$C$28:$Q$28</c:f>
            </c:strRef>
          </c:cat>
          <c:val>
            <c:numRef>
              <c:f>'Tab 5 - Retention Segmentation'!$C$38:$Q$38</c:f>
              <c:numCache/>
            </c:numRef>
          </c:val>
          <c:smooth val="0"/>
        </c:ser>
        <c:axId val="1359424230"/>
        <c:axId val="1845494389"/>
      </c:lineChart>
      <c:catAx>
        <c:axId val="13594242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New Users Acquired</a:t>
                </a:r>
              </a:p>
            </c:rich>
          </c:tx>
          <c:overlay val="0"/>
        </c:title>
        <c:numFmt formatCode="General" sourceLinked="1"/>
        <c:majorTickMark val="none"/>
        <c:minorTickMark val="none"/>
        <c:spPr/>
        <c:txPr>
          <a:bodyPr/>
          <a:lstStyle/>
          <a:p>
            <a:pPr lvl="0">
              <a:defRPr b="0">
                <a:solidFill>
                  <a:srgbClr val="000000"/>
                </a:solidFill>
                <a:latin typeface="+mn-lt"/>
              </a:defRPr>
            </a:pPr>
          </a:p>
        </c:txPr>
        <c:crossAx val="1845494389"/>
      </c:catAx>
      <c:valAx>
        <c:axId val="18454943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942423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'Tab 5 - Retention Segmentation'!$C$83</c:f>
            </c:strRef>
          </c:tx>
          <c:spPr>
            <a:ln cmpd="sng">
              <a:solidFill>
                <a:srgbClr val="4285F4"/>
              </a:solidFill>
            </a:ln>
          </c:spPr>
          <c:marker>
            <c:symbol val="none"/>
          </c:marker>
          <c:cat>
            <c:strRef>
              <c:f>'Tab 5 - Retention Segmentation'!$D$82:$Q$82</c:f>
            </c:strRef>
          </c:cat>
          <c:val>
            <c:numRef>
              <c:f>'Tab 5 - Retention Segmentation'!$D$83:$Q$83</c:f>
              <c:numCache/>
            </c:numRef>
          </c:val>
          <c:smooth val="0"/>
        </c:ser>
        <c:ser>
          <c:idx val="1"/>
          <c:order val="1"/>
          <c:tx>
            <c:strRef>
              <c:f>'Tab 5 - Retention Segmentation'!$C$84</c:f>
            </c:strRef>
          </c:tx>
          <c:spPr>
            <a:ln cmpd="sng">
              <a:solidFill>
                <a:srgbClr val="EA4335"/>
              </a:solidFill>
            </a:ln>
          </c:spPr>
          <c:marker>
            <c:symbol val="none"/>
          </c:marker>
          <c:cat>
            <c:strRef>
              <c:f>'Tab 5 - Retention Segmentation'!$D$82:$Q$82</c:f>
            </c:strRef>
          </c:cat>
          <c:val>
            <c:numRef>
              <c:f>'Tab 5 - Retention Segmentation'!$D$84:$Q$84</c:f>
              <c:numCache/>
            </c:numRef>
          </c:val>
          <c:smooth val="0"/>
        </c:ser>
        <c:ser>
          <c:idx val="2"/>
          <c:order val="2"/>
          <c:tx>
            <c:strRef>
              <c:f>'Tab 5 - Retention Segmentation'!$C$85</c:f>
            </c:strRef>
          </c:tx>
          <c:spPr>
            <a:ln cmpd="sng">
              <a:solidFill>
                <a:srgbClr val="FBBC04"/>
              </a:solidFill>
            </a:ln>
          </c:spPr>
          <c:marker>
            <c:symbol val="none"/>
          </c:marker>
          <c:cat>
            <c:strRef>
              <c:f>'Tab 5 - Retention Segmentation'!$D$82:$Q$82</c:f>
            </c:strRef>
          </c:cat>
          <c:val>
            <c:numRef>
              <c:f>'Tab 5 - Retention Segmentation'!$D$85:$Q$85</c:f>
              <c:numCache/>
            </c:numRef>
          </c:val>
          <c:smooth val="0"/>
        </c:ser>
        <c:ser>
          <c:idx val="3"/>
          <c:order val="3"/>
          <c:tx>
            <c:strRef>
              <c:f>'Tab 5 - Retention Segmentation'!$C$86</c:f>
            </c:strRef>
          </c:tx>
          <c:spPr>
            <a:ln cmpd="sng">
              <a:solidFill>
                <a:srgbClr val="34A853"/>
              </a:solidFill>
            </a:ln>
          </c:spPr>
          <c:marker>
            <c:symbol val="none"/>
          </c:marker>
          <c:cat>
            <c:strRef>
              <c:f>'Tab 5 - Retention Segmentation'!$D$82:$Q$82</c:f>
            </c:strRef>
          </c:cat>
          <c:val>
            <c:numRef>
              <c:f>'Tab 5 - Retention Segmentation'!$D$86:$Q$86</c:f>
              <c:numCache/>
            </c:numRef>
          </c:val>
          <c:smooth val="0"/>
        </c:ser>
        <c:ser>
          <c:idx val="4"/>
          <c:order val="4"/>
          <c:tx>
            <c:strRef>
              <c:f>'Tab 5 - Retention Segmentation'!$C$87</c:f>
            </c:strRef>
          </c:tx>
          <c:spPr>
            <a:ln cmpd="sng">
              <a:solidFill>
                <a:srgbClr val="FF6D01"/>
              </a:solidFill>
            </a:ln>
          </c:spPr>
          <c:marker>
            <c:symbol val="none"/>
          </c:marker>
          <c:cat>
            <c:strRef>
              <c:f>'Tab 5 - Retention Segmentation'!$D$82:$Q$82</c:f>
            </c:strRef>
          </c:cat>
          <c:val>
            <c:numRef>
              <c:f>'Tab 5 - Retention Segmentation'!$D$87:$Q$87</c:f>
              <c:numCache/>
            </c:numRef>
          </c:val>
          <c:smooth val="0"/>
        </c:ser>
        <c:ser>
          <c:idx val="5"/>
          <c:order val="5"/>
          <c:tx>
            <c:strRef>
              <c:f>'Tab 5 - Retention Segmentation'!$C$88</c:f>
            </c:strRef>
          </c:tx>
          <c:spPr>
            <a:ln cmpd="sng">
              <a:solidFill>
                <a:srgbClr val="46BDC6"/>
              </a:solidFill>
            </a:ln>
          </c:spPr>
          <c:marker>
            <c:symbol val="none"/>
          </c:marker>
          <c:cat>
            <c:strRef>
              <c:f>'Tab 5 - Retention Segmentation'!$D$82:$Q$82</c:f>
            </c:strRef>
          </c:cat>
          <c:val>
            <c:numRef>
              <c:f>'Tab 5 - Retention Segmentation'!$D$88:$Q$88</c:f>
              <c:numCache/>
            </c:numRef>
          </c:val>
          <c:smooth val="0"/>
        </c:ser>
        <c:ser>
          <c:idx val="6"/>
          <c:order val="6"/>
          <c:tx>
            <c:strRef>
              <c:f>'Tab 5 - Retention Segmentation'!$C$89</c:f>
            </c:strRef>
          </c:tx>
          <c:spPr>
            <a:ln cmpd="sng">
              <a:solidFill>
                <a:srgbClr val="7BAAF7"/>
              </a:solidFill>
            </a:ln>
          </c:spPr>
          <c:marker>
            <c:symbol val="none"/>
          </c:marker>
          <c:cat>
            <c:strRef>
              <c:f>'Tab 5 - Retention Segmentation'!$D$82:$Q$82</c:f>
            </c:strRef>
          </c:cat>
          <c:val>
            <c:numRef>
              <c:f>'Tab 5 - Retention Segmentation'!$D$89:$Q$89</c:f>
              <c:numCache/>
            </c:numRef>
          </c:val>
          <c:smooth val="0"/>
        </c:ser>
        <c:ser>
          <c:idx val="7"/>
          <c:order val="7"/>
          <c:tx>
            <c:strRef>
              <c:f>'Tab 5 - Retention Segmentation'!$C$90</c:f>
            </c:strRef>
          </c:tx>
          <c:spPr>
            <a:ln cmpd="sng">
              <a:solidFill>
                <a:srgbClr val="F07B72"/>
              </a:solidFill>
            </a:ln>
          </c:spPr>
          <c:marker>
            <c:symbol val="none"/>
          </c:marker>
          <c:cat>
            <c:strRef>
              <c:f>'Tab 5 - Retention Segmentation'!$D$82:$Q$82</c:f>
            </c:strRef>
          </c:cat>
          <c:val>
            <c:numRef>
              <c:f>'Tab 5 - Retention Segmentation'!$D$90:$Q$90</c:f>
              <c:numCache/>
            </c:numRef>
          </c:val>
          <c:smooth val="0"/>
        </c:ser>
        <c:ser>
          <c:idx val="8"/>
          <c:order val="8"/>
          <c:tx>
            <c:strRef>
              <c:f>'Tab 5 - Retention Segmentation'!$C$91</c:f>
            </c:strRef>
          </c:tx>
          <c:spPr>
            <a:ln cmpd="sng">
              <a:solidFill>
                <a:srgbClr val="FCD04F"/>
              </a:solidFill>
            </a:ln>
          </c:spPr>
          <c:marker>
            <c:symbol val="none"/>
          </c:marker>
          <c:cat>
            <c:strRef>
              <c:f>'Tab 5 - Retention Segmentation'!$D$82:$Q$82</c:f>
            </c:strRef>
          </c:cat>
          <c:val>
            <c:numRef>
              <c:f>'Tab 5 - Retention Segmentation'!$D$91:$Q$91</c:f>
              <c:numCache/>
            </c:numRef>
          </c:val>
          <c:smooth val="0"/>
        </c:ser>
        <c:ser>
          <c:idx val="9"/>
          <c:order val="9"/>
          <c:tx>
            <c:strRef>
              <c:f>'Tab 5 - Retention Segmentation'!$C$92</c:f>
            </c:strRef>
          </c:tx>
          <c:spPr>
            <a:ln cmpd="sng">
              <a:solidFill>
                <a:srgbClr val="71C287"/>
              </a:solidFill>
            </a:ln>
          </c:spPr>
          <c:marker>
            <c:symbol val="none"/>
          </c:marker>
          <c:cat>
            <c:strRef>
              <c:f>'Tab 5 - Retention Segmentation'!$D$82:$Q$82</c:f>
            </c:strRef>
          </c:cat>
          <c:val>
            <c:numRef>
              <c:f>'Tab 5 - Retention Segmentation'!$D$92:$Q$92</c:f>
              <c:numCache/>
            </c:numRef>
          </c:val>
          <c:smooth val="0"/>
        </c:ser>
        <c:axId val="1607269039"/>
        <c:axId val="252631841"/>
      </c:lineChart>
      <c:catAx>
        <c:axId val="1607269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2631841"/>
      </c:catAx>
      <c:valAx>
        <c:axId val="2526318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726903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'Tab 5 - Retention Segmentation'!$C$135</c:f>
            </c:strRef>
          </c:tx>
          <c:spPr>
            <a:ln cmpd="sng">
              <a:solidFill>
                <a:srgbClr val="4285F4"/>
              </a:solidFill>
            </a:ln>
          </c:spPr>
          <c:marker>
            <c:symbol val="none"/>
          </c:marker>
          <c:cat>
            <c:strRef>
              <c:f>'Tab 5 - Retention Segmentation'!$D$134:$Q$134</c:f>
            </c:strRef>
          </c:cat>
          <c:val>
            <c:numRef>
              <c:f>'Tab 5 - Retention Segmentation'!$D$135:$Q$135</c:f>
              <c:numCache/>
            </c:numRef>
          </c:val>
          <c:smooth val="0"/>
        </c:ser>
        <c:ser>
          <c:idx val="1"/>
          <c:order val="1"/>
          <c:tx>
            <c:strRef>
              <c:f>'Tab 5 - Retention Segmentation'!$C$136</c:f>
            </c:strRef>
          </c:tx>
          <c:spPr>
            <a:ln cmpd="sng">
              <a:solidFill>
                <a:srgbClr val="EA4335"/>
              </a:solidFill>
            </a:ln>
          </c:spPr>
          <c:marker>
            <c:symbol val="none"/>
          </c:marker>
          <c:cat>
            <c:strRef>
              <c:f>'Tab 5 - Retention Segmentation'!$D$134:$Q$134</c:f>
            </c:strRef>
          </c:cat>
          <c:val>
            <c:numRef>
              <c:f>'Tab 5 - Retention Segmentation'!$D$136:$Q$136</c:f>
              <c:numCache/>
            </c:numRef>
          </c:val>
          <c:smooth val="0"/>
        </c:ser>
        <c:ser>
          <c:idx val="2"/>
          <c:order val="2"/>
          <c:tx>
            <c:strRef>
              <c:f>'Tab 5 - Retention Segmentation'!$C$137</c:f>
            </c:strRef>
          </c:tx>
          <c:spPr>
            <a:ln cmpd="sng">
              <a:solidFill>
                <a:srgbClr val="FBBC04"/>
              </a:solidFill>
            </a:ln>
          </c:spPr>
          <c:marker>
            <c:symbol val="none"/>
          </c:marker>
          <c:cat>
            <c:strRef>
              <c:f>'Tab 5 - Retention Segmentation'!$D$134:$Q$134</c:f>
            </c:strRef>
          </c:cat>
          <c:val>
            <c:numRef>
              <c:f>'Tab 5 - Retention Segmentation'!$D$137:$Q$137</c:f>
              <c:numCache/>
            </c:numRef>
          </c:val>
          <c:smooth val="0"/>
        </c:ser>
        <c:ser>
          <c:idx val="3"/>
          <c:order val="3"/>
          <c:tx>
            <c:strRef>
              <c:f>'Tab 5 - Retention Segmentation'!$C$138</c:f>
            </c:strRef>
          </c:tx>
          <c:spPr>
            <a:ln cmpd="sng">
              <a:solidFill>
                <a:srgbClr val="34A853"/>
              </a:solidFill>
            </a:ln>
          </c:spPr>
          <c:marker>
            <c:symbol val="none"/>
          </c:marker>
          <c:cat>
            <c:strRef>
              <c:f>'Tab 5 - Retention Segmentation'!$D$134:$Q$134</c:f>
            </c:strRef>
          </c:cat>
          <c:val>
            <c:numRef>
              <c:f>'Tab 5 - Retention Segmentation'!$D$138:$Q$138</c:f>
              <c:numCache/>
            </c:numRef>
          </c:val>
          <c:smooth val="0"/>
        </c:ser>
        <c:ser>
          <c:idx val="4"/>
          <c:order val="4"/>
          <c:tx>
            <c:strRef>
              <c:f>'Tab 5 - Retention Segmentation'!$C$139</c:f>
            </c:strRef>
          </c:tx>
          <c:spPr>
            <a:ln cmpd="sng">
              <a:solidFill>
                <a:srgbClr val="FF6D01"/>
              </a:solidFill>
            </a:ln>
          </c:spPr>
          <c:marker>
            <c:symbol val="none"/>
          </c:marker>
          <c:cat>
            <c:strRef>
              <c:f>'Tab 5 - Retention Segmentation'!$D$134:$Q$134</c:f>
            </c:strRef>
          </c:cat>
          <c:val>
            <c:numRef>
              <c:f>'Tab 5 - Retention Segmentation'!$D$139:$Q$139</c:f>
              <c:numCache/>
            </c:numRef>
          </c:val>
          <c:smooth val="0"/>
        </c:ser>
        <c:ser>
          <c:idx val="5"/>
          <c:order val="5"/>
          <c:tx>
            <c:strRef>
              <c:f>'Tab 5 - Retention Segmentation'!$C$140</c:f>
            </c:strRef>
          </c:tx>
          <c:spPr>
            <a:ln cmpd="sng">
              <a:solidFill>
                <a:srgbClr val="46BDC6"/>
              </a:solidFill>
            </a:ln>
          </c:spPr>
          <c:marker>
            <c:symbol val="none"/>
          </c:marker>
          <c:cat>
            <c:strRef>
              <c:f>'Tab 5 - Retention Segmentation'!$D$134:$Q$134</c:f>
            </c:strRef>
          </c:cat>
          <c:val>
            <c:numRef>
              <c:f>'Tab 5 - Retention Segmentation'!$D$140:$Q$140</c:f>
              <c:numCache/>
            </c:numRef>
          </c:val>
          <c:smooth val="0"/>
        </c:ser>
        <c:ser>
          <c:idx val="6"/>
          <c:order val="6"/>
          <c:tx>
            <c:strRef>
              <c:f>'Tab 5 - Retention Segmentation'!$C$141</c:f>
            </c:strRef>
          </c:tx>
          <c:spPr>
            <a:ln cmpd="sng">
              <a:solidFill>
                <a:srgbClr val="7BAAF7"/>
              </a:solidFill>
            </a:ln>
          </c:spPr>
          <c:marker>
            <c:symbol val="none"/>
          </c:marker>
          <c:cat>
            <c:strRef>
              <c:f>'Tab 5 - Retention Segmentation'!$D$134:$Q$134</c:f>
            </c:strRef>
          </c:cat>
          <c:val>
            <c:numRef>
              <c:f>'Tab 5 - Retention Segmentation'!$D$141:$Q$141</c:f>
              <c:numCache/>
            </c:numRef>
          </c:val>
          <c:smooth val="0"/>
        </c:ser>
        <c:ser>
          <c:idx val="7"/>
          <c:order val="7"/>
          <c:tx>
            <c:strRef>
              <c:f>'Tab 5 - Retention Segmentation'!$C$142</c:f>
            </c:strRef>
          </c:tx>
          <c:spPr>
            <a:ln cmpd="sng">
              <a:solidFill>
                <a:srgbClr val="F07B72"/>
              </a:solidFill>
            </a:ln>
          </c:spPr>
          <c:marker>
            <c:symbol val="none"/>
          </c:marker>
          <c:cat>
            <c:strRef>
              <c:f>'Tab 5 - Retention Segmentation'!$D$134:$Q$134</c:f>
            </c:strRef>
          </c:cat>
          <c:val>
            <c:numRef>
              <c:f>'Tab 5 - Retention Segmentation'!$D$142:$Q$142</c:f>
              <c:numCache/>
            </c:numRef>
          </c:val>
          <c:smooth val="0"/>
        </c:ser>
        <c:ser>
          <c:idx val="8"/>
          <c:order val="8"/>
          <c:tx>
            <c:strRef>
              <c:f>'Tab 5 - Retention Segmentation'!$C$143</c:f>
            </c:strRef>
          </c:tx>
          <c:spPr>
            <a:ln cmpd="sng">
              <a:solidFill>
                <a:srgbClr val="FCD04F"/>
              </a:solidFill>
            </a:ln>
          </c:spPr>
          <c:marker>
            <c:symbol val="none"/>
          </c:marker>
          <c:cat>
            <c:strRef>
              <c:f>'Tab 5 - Retention Segmentation'!$D$134:$Q$134</c:f>
            </c:strRef>
          </c:cat>
          <c:val>
            <c:numRef>
              <c:f>'Tab 5 - Retention Segmentation'!$D$143:$Q$143</c:f>
              <c:numCache/>
            </c:numRef>
          </c:val>
          <c:smooth val="0"/>
        </c:ser>
        <c:axId val="1540230192"/>
        <c:axId val="1255875890"/>
      </c:lineChart>
      <c:catAx>
        <c:axId val="15402301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5875890"/>
      </c:catAx>
      <c:valAx>
        <c:axId val="12558758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023019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1,490, 250, 310, 390, 430…</a:t>
            </a:r>
          </a:p>
        </c:rich>
      </c:tx>
      <c:overlay val="0"/>
    </c:title>
    <c:plotArea>
      <c:layout/>
      <c:lineChart>
        <c:ser>
          <c:idx val="0"/>
          <c:order val="0"/>
          <c:tx>
            <c:strRef>
              <c:f>'Tab 5 - Retention Segmentation'!$C$185</c:f>
            </c:strRef>
          </c:tx>
          <c:spPr>
            <a:ln cmpd="sng">
              <a:solidFill>
                <a:srgbClr val="4285F4"/>
              </a:solidFill>
            </a:ln>
          </c:spPr>
          <c:marker>
            <c:symbol val="none"/>
          </c:marker>
          <c:cat>
            <c:strRef>
              <c:f>'Tab 5 - Retention Segmentation'!$D$184:$Q$184</c:f>
            </c:strRef>
          </c:cat>
          <c:val>
            <c:numRef>
              <c:f>'Tab 5 - Retention Segmentation'!$D$185:$Q$185</c:f>
              <c:numCache/>
            </c:numRef>
          </c:val>
          <c:smooth val="0"/>
        </c:ser>
        <c:ser>
          <c:idx val="1"/>
          <c:order val="1"/>
          <c:tx>
            <c:strRef>
              <c:f>'Tab 5 - Retention Segmentation'!$C$186</c:f>
            </c:strRef>
          </c:tx>
          <c:spPr>
            <a:ln cmpd="sng">
              <a:solidFill>
                <a:srgbClr val="EA4335"/>
              </a:solidFill>
            </a:ln>
          </c:spPr>
          <c:marker>
            <c:symbol val="none"/>
          </c:marker>
          <c:cat>
            <c:strRef>
              <c:f>'Tab 5 - Retention Segmentation'!$D$184:$Q$184</c:f>
            </c:strRef>
          </c:cat>
          <c:val>
            <c:numRef>
              <c:f>'Tab 5 - Retention Segmentation'!$D$186:$Q$186</c:f>
              <c:numCache/>
            </c:numRef>
          </c:val>
          <c:smooth val="0"/>
        </c:ser>
        <c:ser>
          <c:idx val="2"/>
          <c:order val="2"/>
          <c:tx>
            <c:strRef>
              <c:f>'Tab 5 - Retention Segmentation'!$C$187</c:f>
            </c:strRef>
          </c:tx>
          <c:spPr>
            <a:ln cmpd="sng">
              <a:solidFill>
                <a:srgbClr val="FBBC04"/>
              </a:solidFill>
            </a:ln>
          </c:spPr>
          <c:marker>
            <c:symbol val="none"/>
          </c:marker>
          <c:cat>
            <c:strRef>
              <c:f>'Tab 5 - Retention Segmentation'!$D$184:$Q$184</c:f>
            </c:strRef>
          </c:cat>
          <c:val>
            <c:numRef>
              <c:f>'Tab 5 - Retention Segmentation'!$D$187:$Q$187</c:f>
              <c:numCache/>
            </c:numRef>
          </c:val>
          <c:smooth val="0"/>
        </c:ser>
        <c:ser>
          <c:idx val="3"/>
          <c:order val="3"/>
          <c:tx>
            <c:strRef>
              <c:f>'Tab 5 - Retention Segmentation'!$C$188</c:f>
            </c:strRef>
          </c:tx>
          <c:spPr>
            <a:ln cmpd="sng">
              <a:solidFill>
                <a:srgbClr val="34A853"/>
              </a:solidFill>
            </a:ln>
          </c:spPr>
          <c:marker>
            <c:symbol val="none"/>
          </c:marker>
          <c:cat>
            <c:strRef>
              <c:f>'Tab 5 - Retention Segmentation'!$D$184:$Q$184</c:f>
            </c:strRef>
          </c:cat>
          <c:val>
            <c:numRef>
              <c:f>'Tab 5 - Retention Segmentation'!$D$188:$Q$188</c:f>
              <c:numCache/>
            </c:numRef>
          </c:val>
          <c:smooth val="0"/>
        </c:ser>
        <c:ser>
          <c:idx val="4"/>
          <c:order val="4"/>
          <c:tx>
            <c:strRef>
              <c:f>'Tab 5 - Retention Segmentation'!$C$189</c:f>
            </c:strRef>
          </c:tx>
          <c:spPr>
            <a:ln cmpd="sng">
              <a:solidFill>
                <a:srgbClr val="FF6D01"/>
              </a:solidFill>
            </a:ln>
          </c:spPr>
          <c:marker>
            <c:symbol val="none"/>
          </c:marker>
          <c:cat>
            <c:strRef>
              <c:f>'Tab 5 - Retention Segmentation'!$D$184:$Q$184</c:f>
            </c:strRef>
          </c:cat>
          <c:val>
            <c:numRef>
              <c:f>'Tab 5 - Retention Segmentation'!$D$189:$Q$189</c:f>
              <c:numCache/>
            </c:numRef>
          </c:val>
          <c:smooth val="0"/>
        </c:ser>
        <c:ser>
          <c:idx val="5"/>
          <c:order val="5"/>
          <c:tx>
            <c:strRef>
              <c:f>'Tab 5 - Retention Segmentation'!$C$190</c:f>
            </c:strRef>
          </c:tx>
          <c:spPr>
            <a:ln cmpd="sng">
              <a:solidFill>
                <a:srgbClr val="46BDC6"/>
              </a:solidFill>
            </a:ln>
          </c:spPr>
          <c:marker>
            <c:symbol val="none"/>
          </c:marker>
          <c:cat>
            <c:strRef>
              <c:f>'Tab 5 - Retention Segmentation'!$D$184:$Q$184</c:f>
            </c:strRef>
          </c:cat>
          <c:val>
            <c:numRef>
              <c:f>'Tab 5 - Retention Segmentation'!$D$190:$Q$190</c:f>
              <c:numCache/>
            </c:numRef>
          </c:val>
          <c:smooth val="0"/>
        </c:ser>
        <c:ser>
          <c:idx val="6"/>
          <c:order val="6"/>
          <c:tx>
            <c:strRef>
              <c:f>'Tab 5 - Retention Segmentation'!$C$191</c:f>
            </c:strRef>
          </c:tx>
          <c:spPr>
            <a:ln cmpd="sng">
              <a:solidFill>
                <a:srgbClr val="7BAAF7"/>
              </a:solidFill>
            </a:ln>
          </c:spPr>
          <c:marker>
            <c:symbol val="none"/>
          </c:marker>
          <c:cat>
            <c:strRef>
              <c:f>'Tab 5 - Retention Segmentation'!$D$184:$Q$184</c:f>
            </c:strRef>
          </c:cat>
          <c:val>
            <c:numRef>
              <c:f>'Tab 5 - Retention Segmentation'!$D$191:$Q$191</c:f>
              <c:numCache/>
            </c:numRef>
          </c:val>
          <c:smooth val="0"/>
        </c:ser>
        <c:axId val="531878456"/>
        <c:axId val="1619295582"/>
      </c:lineChart>
      <c:catAx>
        <c:axId val="5318784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New Users</a:t>
                </a:r>
              </a:p>
            </c:rich>
          </c:tx>
          <c:overlay val="0"/>
        </c:title>
        <c:numFmt formatCode="General" sourceLinked="1"/>
        <c:majorTickMark val="none"/>
        <c:minorTickMark val="none"/>
        <c:spPr/>
        <c:txPr>
          <a:bodyPr/>
          <a:lstStyle/>
          <a:p>
            <a:pPr lvl="0">
              <a:defRPr b="0">
                <a:solidFill>
                  <a:srgbClr val="000000"/>
                </a:solidFill>
                <a:latin typeface="+mn-lt"/>
              </a:defRPr>
            </a:pPr>
          </a:p>
        </c:txPr>
        <c:crossAx val="1619295582"/>
      </c:catAx>
      <c:valAx>
        <c:axId val="16192955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187845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'Tab 6 - Lifecycle Chart'!$B$43</c:f>
            </c:strRef>
          </c:tx>
          <c:spPr>
            <a:solidFill>
              <a:schemeClr val="accent1"/>
            </a:solidFill>
            <a:ln cmpd="sng">
              <a:solidFill>
                <a:srgbClr val="000000"/>
              </a:solidFill>
            </a:ln>
          </c:spPr>
          <c:cat>
            <c:strRef>
              <c:f>'Tab 6 - Lifecycle Chart'!$A$44:$A$54</c:f>
            </c:strRef>
          </c:cat>
          <c:val>
            <c:numRef>
              <c:f>'Tab 6 - Lifecycle Chart'!$B$44:$B$54</c:f>
              <c:numCache/>
            </c:numRef>
          </c:val>
        </c:ser>
        <c:ser>
          <c:idx val="1"/>
          <c:order val="1"/>
          <c:tx>
            <c:strRef>
              <c:f>'Tab 6 - Lifecycle Chart'!$D$43</c:f>
            </c:strRef>
          </c:tx>
          <c:spPr>
            <a:solidFill>
              <a:schemeClr val="accent2"/>
            </a:solidFill>
            <a:ln cmpd="sng">
              <a:solidFill>
                <a:srgbClr val="000000"/>
              </a:solidFill>
            </a:ln>
          </c:spPr>
          <c:cat>
            <c:strRef>
              <c:f>'Tab 6 - Lifecycle Chart'!$A$44:$A$54</c:f>
            </c:strRef>
          </c:cat>
          <c:val>
            <c:numRef>
              <c:f>'Tab 6 - Lifecycle Chart'!$D$44:$D$54</c:f>
              <c:numCache/>
            </c:numRef>
          </c:val>
        </c:ser>
        <c:ser>
          <c:idx val="2"/>
          <c:order val="2"/>
          <c:tx>
            <c:strRef>
              <c:f>'Tab 6 - Lifecycle Chart'!$E$43</c:f>
            </c:strRef>
          </c:tx>
          <c:spPr>
            <a:solidFill>
              <a:schemeClr val="accent3"/>
            </a:solidFill>
            <a:ln cmpd="sng">
              <a:solidFill>
                <a:srgbClr val="000000"/>
              </a:solidFill>
            </a:ln>
          </c:spPr>
          <c:cat>
            <c:strRef>
              <c:f>'Tab 6 - Lifecycle Chart'!$A$44:$A$54</c:f>
            </c:strRef>
          </c:cat>
          <c:val>
            <c:numRef>
              <c:f>'Tab 6 - Lifecycle Chart'!$E$44:$E$54</c:f>
              <c:numCache/>
            </c:numRef>
          </c:val>
        </c:ser>
        <c:ser>
          <c:idx val="3"/>
          <c:order val="3"/>
          <c:tx>
            <c:strRef>
              <c:f>'Tab 6 - Lifecycle Chart'!$F$43</c:f>
            </c:strRef>
          </c:tx>
          <c:spPr>
            <a:solidFill>
              <a:schemeClr val="accent4"/>
            </a:solidFill>
            <a:ln cmpd="sng">
              <a:solidFill>
                <a:srgbClr val="000000"/>
              </a:solidFill>
            </a:ln>
          </c:spPr>
          <c:cat>
            <c:strRef>
              <c:f>'Tab 6 - Lifecycle Chart'!$A$44:$A$54</c:f>
            </c:strRef>
          </c:cat>
          <c:val>
            <c:numRef>
              <c:f>'Tab 6 - Lifecycle Chart'!$F$44:$F$54</c:f>
              <c:numCache/>
            </c:numRef>
          </c:val>
        </c:ser>
        <c:ser>
          <c:idx val="4"/>
          <c:order val="4"/>
          <c:tx>
            <c:strRef>
              <c:f>'Tab 6 - Lifecycle Chart'!$G$43</c:f>
            </c:strRef>
          </c:tx>
          <c:spPr>
            <a:solidFill>
              <a:schemeClr val="accent5"/>
            </a:solidFill>
            <a:ln cmpd="sng">
              <a:solidFill>
                <a:srgbClr val="000000"/>
              </a:solidFill>
            </a:ln>
          </c:spPr>
          <c:cat>
            <c:strRef>
              <c:f>'Tab 6 - Lifecycle Chart'!$A$44:$A$54</c:f>
            </c:strRef>
          </c:cat>
          <c:val>
            <c:numRef>
              <c:f>'Tab 6 - Lifecycle Chart'!$G$44:$G$54</c:f>
              <c:numCache/>
            </c:numRef>
          </c:val>
        </c:ser>
        <c:overlap val="100"/>
        <c:axId val="2019027292"/>
        <c:axId val="23788089"/>
      </c:barChart>
      <c:catAx>
        <c:axId val="20190272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788089"/>
      </c:catAx>
      <c:valAx>
        <c:axId val="237880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9027292"/>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285750</xdr:colOff>
      <xdr:row>33</xdr:row>
      <xdr:rowOff>9525</xdr:rowOff>
    </xdr:from>
    <xdr:ext cx="3467100" cy="2152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190500</xdr:rowOff>
    </xdr:from>
    <xdr:ext cx="5991225" cy="3609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733425</xdr:colOff>
      <xdr:row>39</xdr:row>
      <xdr:rowOff>190500</xdr:rowOff>
    </xdr:from>
    <xdr:ext cx="6657975" cy="41148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438150</xdr:colOff>
      <xdr:row>94</xdr:row>
      <xdr:rowOff>76200</xdr:rowOff>
    </xdr:from>
    <xdr:ext cx="6191250" cy="382905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209550</xdr:colOff>
      <xdr:row>145</xdr:row>
      <xdr:rowOff>152400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390525</xdr:colOff>
      <xdr:row>193</xdr:row>
      <xdr:rowOff>9525</xdr:rowOff>
    </xdr:from>
    <xdr:ext cx="6800850" cy="4200525"/>
    <xdr:graphicFrame>
      <xdr:nvGraphicFramePr>
        <xdr:cNvPr id="6" name="Chart 6"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933450</xdr:colOff>
      <xdr:row>57</xdr:row>
      <xdr:rowOff>0</xdr:rowOff>
    </xdr:from>
    <xdr:ext cx="8782050" cy="35052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8.75"/>
  </cols>
  <sheetData>
    <row r="1">
      <c r="A1" s="1" t="s">
        <v>0</v>
      </c>
    </row>
    <row r="2" ht="150.0" customHeight="1">
      <c r="A2" s="2" t="s">
        <v>1</v>
      </c>
      <c r="B2" s="3"/>
      <c r="C2" s="3"/>
      <c r="D2" s="3"/>
      <c r="E2" s="4"/>
    </row>
    <row r="3">
      <c r="A3" s="5" t="s">
        <v>2</v>
      </c>
    </row>
    <row r="5">
      <c r="A5" s="6" t="s">
        <v>3</v>
      </c>
      <c r="B5" s="7" t="s">
        <v>4</v>
      </c>
      <c r="C5" s="8" t="s">
        <v>5</v>
      </c>
      <c r="D5" s="3"/>
      <c r="E5" s="4"/>
    </row>
    <row r="6">
      <c r="A6" s="9"/>
      <c r="B6" s="10"/>
      <c r="C6" s="11" t="s">
        <v>6</v>
      </c>
      <c r="D6" s="3"/>
      <c r="E6" s="4"/>
    </row>
    <row r="7">
      <c r="A7" s="12">
        <v>1.0</v>
      </c>
      <c r="B7" s="13" t="b">
        <v>1</v>
      </c>
      <c r="C7" s="14" t="s">
        <v>7</v>
      </c>
      <c r="D7" s="3"/>
      <c r="E7" s="4"/>
    </row>
    <row r="8">
      <c r="A8" s="12">
        <v>2.0</v>
      </c>
      <c r="B8" s="13" t="b">
        <v>1</v>
      </c>
      <c r="C8" s="14" t="s">
        <v>8</v>
      </c>
      <c r="D8" s="3"/>
      <c r="E8" s="4"/>
    </row>
    <row r="9">
      <c r="A9" s="9"/>
      <c r="B9" s="10"/>
      <c r="C9" s="11" t="s">
        <v>9</v>
      </c>
      <c r="D9" s="3"/>
      <c r="E9" s="4"/>
    </row>
    <row r="10">
      <c r="A10" s="12">
        <v>3.0</v>
      </c>
      <c r="B10" s="13" t="b">
        <v>1</v>
      </c>
      <c r="C10" s="14" t="s">
        <v>10</v>
      </c>
      <c r="D10" s="3"/>
      <c r="E10" s="4"/>
    </row>
    <row r="11">
      <c r="A11" s="12">
        <v>4.0</v>
      </c>
      <c r="B11" s="13" t="b">
        <v>1</v>
      </c>
      <c r="C11" s="14" t="s">
        <v>11</v>
      </c>
      <c r="D11" s="3"/>
      <c r="E11" s="4"/>
    </row>
    <row r="12">
      <c r="A12" s="12">
        <v>5.0</v>
      </c>
      <c r="B12" s="13" t="b">
        <v>1</v>
      </c>
      <c r="C12" s="14" t="s">
        <v>12</v>
      </c>
      <c r="D12" s="3"/>
      <c r="E12" s="4"/>
    </row>
    <row r="13">
      <c r="A13" s="15"/>
      <c r="B13" s="15"/>
      <c r="C13" s="16" t="s">
        <v>13</v>
      </c>
      <c r="D13" s="3"/>
      <c r="E13" s="4"/>
    </row>
    <row r="14">
      <c r="A14" s="17">
        <v>6.0</v>
      </c>
      <c r="B14" s="18" t="b">
        <v>1</v>
      </c>
      <c r="C14" s="19" t="s">
        <v>14</v>
      </c>
      <c r="D14" s="20"/>
      <c r="E14" s="21"/>
    </row>
    <row r="15">
      <c r="A15" s="17">
        <v>7.0</v>
      </c>
      <c r="B15" s="18" t="b">
        <v>1</v>
      </c>
      <c r="C15" s="22" t="s">
        <v>15</v>
      </c>
      <c r="D15" s="20"/>
      <c r="E15" s="21"/>
    </row>
    <row r="16">
      <c r="A16" s="23"/>
      <c r="B16" s="15"/>
      <c r="C16" s="24" t="s">
        <v>16</v>
      </c>
      <c r="D16" s="20"/>
      <c r="E16" s="21"/>
    </row>
    <row r="17">
      <c r="A17" s="17">
        <v>8.0</v>
      </c>
      <c r="B17" s="18" t="b">
        <v>1</v>
      </c>
      <c r="C17" s="22" t="s">
        <v>17</v>
      </c>
      <c r="D17" s="20"/>
      <c r="E17" s="21"/>
    </row>
  </sheetData>
  <mergeCells count="16">
    <mergeCell ref="A1:E1"/>
    <mergeCell ref="A2:E2"/>
    <mergeCell ref="A3:E3"/>
    <mergeCell ref="C5:E5"/>
    <mergeCell ref="C6:E6"/>
    <mergeCell ref="C7:E7"/>
    <mergeCell ref="C8:E8"/>
    <mergeCell ref="C16:E16"/>
    <mergeCell ref="C17:E17"/>
    <mergeCell ref="C9:E9"/>
    <mergeCell ref="C10:E10"/>
    <mergeCell ref="C11:E11"/>
    <mergeCell ref="C12:E12"/>
    <mergeCell ref="C13:E13"/>
    <mergeCell ref="C14:E14"/>
    <mergeCell ref="C15:E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6.0"/>
  </cols>
  <sheetData>
    <row r="1">
      <c r="A1" s="25" t="s">
        <v>7</v>
      </c>
      <c r="B1" s="3"/>
      <c r="C1" s="3"/>
      <c r="D1" s="3"/>
      <c r="E1" s="3"/>
      <c r="F1" s="3"/>
      <c r="G1" s="3"/>
      <c r="H1" s="3"/>
      <c r="I1" s="3"/>
      <c r="J1" s="4"/>
    </row>
    <row r="2">
      <c r="A2" s="26" t="s">
        <v>18</v>
      </c>
      <c r="B2" s="3"/>
      <c r="C2" s="3"/>
      <c r="D2" s="3"/>
      <c r="E2" s="3"/>
      <c r="F2" s="3"/>
      <c r="G2" s="3"/>
      <c r="H2" s="3"/>
      <c r="I2" s="3"/>
      <c r="J2" s="4"/>
    </row>
    <row r="3">
      <c r="A3" s="26" t="s">
        <v>19</v>
      </c>
      <c r="B3" s="3"/>
      <c r="C3" s="3"/>
      <c r="D3" s="3"/>
      <c r="E3" s="3"/>
      <c r="F3" s="3"/>
      <c r="G3" s="3"/>
      <c r="H3" s="3"/>
      <c r="I3" s="3"/>
      <c r="J3" s="4"/>
    </row>
    <row r="4">
      <c r="A4" s="27" t="s">
        <v>20</v>
      </c>
      <c r="B4" s="3"/>
      <c r="C4" s="3"/>
      <c r="D4" s="3"/>
      <c r="E4" s="3"/>
      <c r="F4" s="3"/>
      <c r="G4" s="3"/>
      <c r="H4" s="3"/>
      <c r="I4" s="3"/>
      <c r="J4" s="4"/>
    </row>
    <row r="5">
      <c r="A5" s="28" t="s">
        <v>21</v>
      </c>
      <c r="B5" s="3"/>
      <c r="C5" s="3"/>
      <c r="D5" s="3"/>
      <c r="E5" s="3"/>
      <c r="F5" s="3"/>
      <c r="G5" s="3"/>
      <c r="H5" s="3"/>
      <c r="I5" s="3"/>
      <c r="J5" s="4"/>
    </row>
    <row r="6">
      <c r="A6" s="29" t="s">
        <v>22</v>
      </c>
      <c r="B6" s="3"/>
      <c r="C6" s="3"/>
      <c r="D6" s="3"/>
      <c r="E6" s="3"/>
      <c r="F6" s="3"/>
      <c r="G6" s="3"/>
      <c r="H6" s="3"/>
      <c r="I6" s="3"/>
      <c r="J6" s="4"/>
    </row>
    <row r="7">
      <c r="A7" s="29" t="s">
        <v>23</v>
      </c>
      <c r="B7" s="3"/>
      <c r="C7" s="3"/>
      <c r="D7" s="3"/>
      <c r="E7" s="3"/>
      <c r="F7" s="3"/>
      <c r="G7" s="3"/>
      <c r="H7" s="3"/>
      <c r="I7" s="3"/>
      <c r="J7" s="4"/>
    </row>
    <row r="8">
      <c r="A8" s="29" t="s">
        <v>24</v>
      </c>
      <c r="B8" s="3"/>
      <c r="C8" s="3"/>
      <c r="D8" s="3"/>
      <c r="E8" s="3"/>
      <c r="F8" s="3"/>
      <c r="G8" s="3"/>
      <c r="H8" s="3"/>
      <c r="I8" s="3"/>
      <c r="J8" s="4"/>
    </row>
    <row r="9">
      <c r="A9" s="29" t="s">
        <v>25</v>
      </c>
      <c r="B9" s="3"/>
      <c r="C9" s="3"/>
      <c r="D9" s="3"/>
      <c r="E9" s="3"/>
      <c r="F9" s="3"/>
      <c r="G9" s="3"/>
      <c r="H9" s="3"/>
      <c r="I9" s="3"/>
      <c r="J9" s="4"/>
    </row>
    <row r="10">
      <c r="A10" s="29" t="s">
        <v>26</v>
      </c>
      <c r="B10" s="3"/>
      <c r="C10" s="3"/>
      <c r="D10" s="3"/>
      <c r="E10" s="3"/>
      <c r="F10" s="3"/>
      <c r="G10" s="3"/>
      <c r="H10" s="3"/>
      <c r="I10" s="3"/>
      <c r="J10" s="4"/>
    </row>
    <row r="11">
      <c r="A11" s="30" t="s">
        <v>27</v>
      </c>
      <c r="B11" s="3"/>
      <c r="C11" s="3"/>
      <c r="D11" s="3"/>
      <c r="E11" s="3"/>
      <c r="F11" s="3"/>
      <c r="G11" s="3"/>
      <c r="H11" s="3"/>
      <c r="I11" s="3"/>
      <c r="J11" s="4"/>
    </row>
    <row r="12">
      <c r="A12" s="31"/>
      <c r="B12" s="31"/>
      <c r="C12" s="32"/>
      <c r="D12" s="31"/>
      <c r="E12" s="31"/>
      <c r="F12" s="31"/>
      <c r="G12" s="31"/>
      <c r="H12" s="31"/>
      <c r="I12" s="31"/>
      <c r="J12" s="31"/>
    </row>
    <row r="13">
      <c r="A13" s="33"/>
      <c r="B13" s="33"/>
    </row>
    <row r="14">
      <c r="A14" s="34" t="s">
        <v>28</v>
      </c>
      <c r="B14" s="4"/>
    </row>
    <row r="15">
      <c r="A15" s="35" t="s">
        <v>29</v>
      </c>
      <c r="B15" s="4"/>
    </row>
    <row r="16">
      <c r="A16" s="36" t="s">
        <v>30</v>
      </c>
      <c r="B16" s="37" t="s">
        <v>31</v>
      </c>
    </row>
    <row r="17">
      <c r="A17" s="36" t="s">
        <v>32</v>
      </c>
      <c r="B17" s="38" t="s">
        <v>33</v>
      </c>
    </row>
    <row r="18">
      <c r="A18" s="36" t="s">
        <v>34</v>
      </c>
      <c r="B18" s="38" t="s">
        <v>35</v>
      </c>
    </row>
    <row r="19">
      <c r="A19" s="36" t="s">
        <v>36</v>
      </c>
      <c r="B19" s="38" t="s">
        <v>37</v>
      </c>
    </row>
    <row r="20">
      <c r="A20" s="36" t="s">
        <v>38</v>
      </c>
      <c r="B20" s="38" t="s">
        <v>39</v>
      </c>
    </row>
    <row r="21">
      <c r="A21" s="36" t="s">
        <v>40</v>
      </c>
      <c r="B21" s="38" t="s">
        <v>41</v>
      </c>
    </row>
    <row r="23">
      <c r="A23" s="39" t="s">
        <v>42</v>
      </c>
      <c r="B23" s="40"/>
      <c r="C23" s="41" t="s">
        <v>43</v>
      </c>
      <c r="D23" s="40"/>
    </row>
    <row r="24">
      <c r="A24" s="42"/>
      <c r="B24" s="43"/>
      <c r="C24" s="42"/>
      <c r="D24" s="43"/>
    </row>
    <row r="25">
      <c r="A25" s="42"/>
      <c r="B25" s="43"/>
      <c r="C25" s="42"/>
      <c r="D25" s="43"/>
    </row>
    <row r="26" ht="30.75" customHeight="1">
      <c r="A26" s="44"/>
      <c r="B26" s="21"/>
      <c r="C26" s="44"/>
      <c r="D26" s="21"/>
    </row>
    <row r="28">
      <c r="A28" s="45" t="s">
        <v>44</v>
      </c>
      <c r="B28" s="36">
        <v>1.0</v>
      </c>
      <c r="C28" s="46" t="s">
        <v>45</v>
      </c>
      <c r="D28" s="3"/>
      <c r="E28" s="3"/>
      <c r="F28" s="3"/>
      <c r="G28" s="4"/>
    </row>
    <row r="29">
      <c r="A29" s="47"/>
      <c r="B29" s="36">
        <v>2.0</v>
      </c>
      <c r="C29" s="48" t="s">
        <v>46</v>
      </c>
      <c r="D29" s="3"/>
      <c r="E29" s="3"/>
      <c r="F29" s="3"/>
      <c r="G29" s="4"/>
    </row>
    <row r="30">
      <c r="A30" s="47"/>
      <c r="B30" s="36">
        <v>3.0</v>
      </c>
      <c r="C30" s="48" t="s">
        <v>47</v>
      </c>
      <c r="D30" s="3"/>
      <c r="E30" s="3"/>
      <c r="F30" s="3"/>
      <c r="G30" s="4"/>
    </row>
    <row r="31">
      <c r="A31" s="47"/>
      <c r="B31" s="36">
        <v>4.0</v>
      </c>
      <c r="C31" s="48" t="s">
        <v>48</v>
      </c>
      <c r="D31" s="3"/>
      <c r="E31" s="3"/>
      <c r="F31" s="3"/>
      <c r="G31" s="4"/>
    </row>
    <row r="32">
      <c r="A32" s="49"/>
      <c r="B32" s="36">
        <v>5.0</v>
      </c>
      <c r="C32" s="48" t="s">
        <v>49</v>
      </c>
      <c r="D32" s="3"/>
      <c r="E32" s="3"/>
      <c r="F32" s="3"/>
      <c r="G32" s="4"/>
    </row>
    <row r="34">
      <c r="A34" s="34" t="s">
        <v>50</v>
      </c>
      <c r="B34" s="4"/>
    </row>
    <row r="35">
      <c r="A35" s="50" t="s">
        <v>51</v>
      </c>
      <c r="B35" s="40"/>
    </row>
    <row r="36">
      <c r="A36" s="42"/>
      <c r="B36" s="43"/>
    </row>
    <row r="37">
      <c r="A37" s="42"/>
      <c r="B37" s="43"/>
    </row>
    <row r="38">
      <c r="A38" s="44"/>
      <c r="B38" s="21"/>
    </row>
    <row r="39">
      <c r="A39" s="41" t="s">
        <v>52</v>
      </c>
      <c r="B39" s="40"/>
    </row>
    <row r="40">
      <c r="A40" s="42"/>
      <c r="B40" s="43"/>
    </row>
    <row r="41">
      <c r="A41" s="42"/>
      <c r="B41" s="43"/>
    </row>
    <row r="42">
      <c r="A42" s="44"/>
      <c r="B42" s="21"/>
    </row>
    <row r="44">
      <c r="A44" s="45" t="s">
        <v>53</v>
      </c>
      <c r="B44" s="36">
        <v>1.0</v>
      </c>
      <c r="C44" s="46" t="s">
        <v>54</v>
      </c>
      <c r="D44" s="3"/>
      <c r="E44" s="3"/>
      <c r="F44" s="3"/>
      <c r="G44" s="4"/>
    </row>
    <row r="45">
      <c r="A45" s="47"/>
      <c r="B45" s="36">
        <v>2.0</v>
      </c>
      <c r="C45" s="48" t="s">
        <v>55</v>
      </c>
      <c r="D45" s="3"/>
      <c r="E45" s="3"/>
      <c r="F45" s="3"/>
      <c r="G45" s="4"/>
    </row>
    <row r="46">
      <c r="A46" s="47"/>
      <c r="B46" s="36">
        <v>3.0</v>
      </c>
      <c r="C46" s="48" t="s">
        <v>55</v>
      </c>
      <c r="D46" s="3"/>
      <c r="E46" s="3"/>
      <c r="F46" s="3"/>
      <c r="G46" s="4"/>
    </row>
    <row r="47">
      <c r="A47" s="47"/>
      <c r="B47" s="36">
        <v>4.0</v>
      </c>
      <c r="C47" s="48" t="s">
        <v>55</v>
      </c>
      <c r="D47" s="3"/>
      <c r="E47" s="3"/>
      <c r="F47" s="3"/>
      <c r="G47" s="4"/>
    </row>
    <row r="48">
      <c r="A48" s="49"/>
      <c r="B48" s="36">
        <v>5.0</v>
      </c>
      <c r="C48" s="48" t="s">
        <v>56</v>
      </c>
      <c r="D48" s="3"/>
      <c r="E48" s="3"/>
      <c r="F48" s="3"/>
      <c r="G48" s="4"/>
    </row>
    <row r="50">
      <c r="A50" s="34" t="s">
        <v>57</v>
      </c>
      <c r="B50" s="4"/>
    </row>
    <row r="51">
      <c r="A51" s="50" t="s">
        <v>58</v>
      </c>
      <c r="B51" s="40"/>
    </row>
    <row r="52">
      <c r="A52" s="42"/>
      <c r="B52" s="43"/>
    </row>
    <row r="53">
      <c r="A53" s="44"/>
      <c r="B53" s="21"/>
    </row>
    <row r="54">
      <c r="A54" s="50" t="s">
        <v>59</v>
      </c>
      <c r="B54" s="40"/>
    </row>
    <row r="55">
      <c r="A55" s="42"/>
      <c r="B55" s="43"/>
    </row>
    <row r="56">
      <c r="A56" s="44"/>
      <c r="B56" s="21"/>
    </row>
    <row r="57">
      <c r="A57" s="41" t="s">
        <v>60</v>
      </c>
      <c r="B57" s="40"/>
    </row>
    <row r="58">
      <c r="A58" s="42"/>
      <c r="B58" s="43"/>
    </row>
    <row r="59">
      <c r="A59" s="42"/>
      <c r="B59" s="43"/>
    </row>
    <row r="60">
      <c r="A60" s="44"/>
      <c r="B60" s="21"/>
    </row>
    <row r="62">
      <c r="A62" s="34" t="s">
        <v>61</v>
      </c>
      <c r="B62" s="4"/>
    </row>
    <row r="63">
      <c r="A63" s="50" t="s">
        <v>62</v>
      </c>
      <c r="B63" s="40"/>
    </row>
    <row r="64">
      <c r="A64" s="42"/>
      <c r="B64" s="43"/>
    </row>
    <row r="65">
      <c r="A65" s="42"/>
      <c r="B65" s="43"/>
    </row>
    <row r="66">
      <c r="A66" s="44"/>
      <c r="B66" s="21"/>
    </row>
    <row r="67">
      <c r="A67" s="51" t="s">
        <v>63</v>
      </c>
      <c r="B67" s="40"/>
    </row>
    <row r="68">
      <c r="A68" s="42"/>
      <c r="B68" s="43"/>
    </row>
    <row r="69">
      <c r="A69" s="42"/>
      <c r="B69" s="43"/>
    </row>
    <row r="70">
      <c r="A70" s="44"/>
      <c r="B70" s="21"/>
    </row>
    <row r="72">
      <c r="A72" s="52" t="s">
        <v>64</v>
      </c>
      <c r="B72" s="4"/>
    </row>
    <row r="73">
      <c r="A73" s="36" t="s">
        <v>28</v>
      </c>
      <c r="B73" s="53" t="s">
        <v>65</v>
      </c>
    </row>
    <row r="74">
      <c r="A74" s="36" t="s">
        <v>66</v>
      </c>
      <c r="B74" s="53" t="s">
        <v>67</v>
      </c>
    </row>
    <row r="75">
      <c r="A75" s="36" t="s">
        <v>68</v>
      </c>
      <c r="B75" s="53" t="s">
        <v>69</v>
      </c>
    </row>
    <row r="76">
      <c r="A76" s="36" t="s">
        <v>70</v>
      </c>
      <c r="B76" s="53" t="s">
        <v>71</v>
      </c>
    </row>
  </sheetData>
  <mergeCells count="38">
    <mergeCell ref="A1:J1"/>
    <mergeCell ref="A2:J2"/>
    <mergeCell ref="A3:J3"/>
    <mergeCell ref="A4:J4"/>
    <mergeCell ref="A5:J5"/>
    <mergeCell ref="A6:J6"/>
    <mergeCell ref="A7:J7"/>
    <mergeCell ref="A8:J8"/>
    <mergeCell ref="A9:J9"/>
    <mergeCell ref="A10:J10"/>
    <mergeCell ref="A11:J11"/>
    <mergeCell ref="A14:B14"/>
    <mergeCell ref="A15:B15"/>
    <mergeCell ref="C23:D26"/>
    <mergeCell ref="C46:G46"/>
    <mergeCell ref="C47:G47"/>
    <mergeCell ref="C48:G48"/>
    <mergeCell ref="C28:G28"/>
    <mergeCell ref="C29:G29"/>
    <mergeCell ref="C30:G30"/>
    <mergeCell ref="C31:G31"/>
    <mergeCell ref="C32:G32"/>
    <mergeCell ref="C44:G44"/>
    <mergeCell ref="C45:G45"/>
    <mergeCell ref="A51:B53"/>
    <mergeCell ref="A54:B56"/>
    <mergeCell ref="A57:B60"/>
    <mergeCell ref="A62:B62"/>
    <mergeCell ref="A63:B66"/>
    <mergeCell ref="A67:B70"/>
    <mergeCell ref="A72:B72"/>
    <mergeCell ref="A23:B26"/>
    <mergeCell ref="A28:A32"/>
    <mergeCell ref="A34:B34"/>
    <mergeCell ref="A35:B38"/>
    <mergeCell ref="A39:B42"/>
    <mergeCell ref="A44:A48"/>
    <mergeCell ref="A50:B5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6.5"/>
    <col customWidth="1" min="2" max="2" width="23.5"/>
    <col customWidth="1" min="3" max="3" width="35.5"/>
  </cols>
  <sheetData>
    <row r="1">
      <c r="A1" s="54" t="s">
        <v>8</v>
      </c>
      <c r="B1" s="3"/>
      <c r="C1" s="4"/>
    </row>
    <row r="2">
      <c r="A2" s="55" t="s">
        <v>72</v>
      </c>
      <c r="B2" s="3"/>
      <c r="C2" s="4"/>
    </row>
    <row r="3">
      <c r="A3" s="55" t="s">
        <v>73</v>
      </c>
      <c r="B3" s="3"/>
      <c r="C3" s="4"/>
    </row>
    <row r="4">
      <c r="A4" s="56" t="s">
        <v>74</v>
      </c>
      <c r="B4" s="3"/>
      <c r="C4" s="4"/>
    </row>
    <row r="5">
      <c r="A5" s="57" t="s">
        <v>20</v>
      </c>
      <c r="B5" s="3"/>
      <c r="C5" s="4"/>
    </row>
    <row r="6">
      <c r="A6" s="57" t="s">
        <v>75</v>
      </c>
      <c r="B6" s="3"/>
      <c r="C6" s="4"/>
    </row>
    <row r="7">
      <c r="A7" s="57" t="s">
        <v>76</v>
      </c>
      <c r="B7" s="3"/>
      <c r="C7" s="4"/>
    </row>
    <row r="8">
      <c r="A8" s="57" t="s">
        <v>77</v>
      </c>
      <c r="B8" s="3"/>
      <c r="C8" s="4"/>
    </row>
    <row r="9">
      <c r="A9" s="58" t="s">
        <v>27</v>
      </c>
    </row>
    <row r="10">
      <c r="A10" s="59" t="s">
        <v>78</v>
      </c>
      <c r="B10" s="59" t="s">
        <v>79</v>
      </c>
      <c r="C10" s="59" t="s">
        <v>80</v>
      </c>
    </row>
    <row r="11">
      <c r="A11" s="60" t="s">
        <v>81</v>
      </c>
      <c r="B11" s="60" t="s">
        <v>82</v>
      </c>
      <c r="C11" s="60" t="s">
        <v>83</v>
      </c>
    </row>
    <row r="12">
      <c r="A12" s="61" t="s">
        <v>84</v>
      </c>
      <c r="B12" s="62" t="s">
        <v>85</v>
      </c>
      <c r="C12" s="61" t="s">
        <v>86</v>
      </c>
    </row>
    <row r="13">
      <c r="A13" s="47"/>
      <c r="B13" s="47"/>
      <c r="C13" s="47"/>
    </row>
    <row r="14">
      <c r="A14" s="47"/>
      <c r="B14" s="47"/>
      <c r="C14" s="47"/>
    </row>
    <row r="15">
      <c r="A15" s="49"/>
      <c r="B15" s="49"/>
      <c r="C15" s="49"/>
    </row>
  </sheetData>
  <mergeCells count="12">
    <mergeCell ref="A8:C8"/>
    <mergeCell ref="A9:C9"/>
    <mergeCell ref="A12:A15"/>
    <mergeCell ref="B12:B15"/>
    <mergeCell ref="C12:C15"/>
    <mergeCell ref="A1:C1"/>
    <mergeCell ref="A2:C2"/>
    <mergeCell ref="A3:C3"/>
    <mergeCell ref="A4:C4"/>
    <mergeCell ref="A5:C5"/>
    <mergeCell ref="A6:C6"/>
    <mergeCell ref="A7:C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0"/>
    <col customWidth="1" min="2" max="2" width="14.38"/>
  </cols>
  <sheetData>
    <row r="1">
      <c r="A1" s="63" t="s">
        <v>10</v>
      </c>
      <c r="B1" s="3"/>
      <c r="C1" s="3"/>
      <c r="D1" s="3"/>
      <c r="E1" s="3"/>
      <c r="F1" s="3"/>
      <c r="G1" s="3"/>
      <c r="H1" s="3"/>
      <c r="I1" s="3"/>
      <c r="J1" s="3"/>
      <c r="K1" s="3"/>
      <c r="L1" s="3"/>
      <c r="M1" s="4"/>
    </row>
    <row r="2">
      <c r="A2" s="55" t="s">
        <v>87</v>
      </c>
      <c r="B2" s="3"/>
      <c r="C2" s="3"/>
      <c r="D2" s="3"/>
      <c r="E2" s="3"/>
      <c r="F2" s="3"/>
      <c r="G2" s="3"/>
      <c r="H2" s="3"/>
      <c r="I2" s="4"/>
      <c r="J2" s="64"/>
      <c r="K2" s="64"/>
    </row>
    <row r="3">
      <c r="A3" s="65" t="s">
        <v>88</v>
      </c>
      <c r="I3" s="43"/>
      <c r="J3" s="64"/>
      <c r="K3" s="64"/>
    </row>
    <row r="4">
      <c r="A4" s="65" t="s">
        <v>89</v>
      </c>
      <c r="I4" s="43"/>
      <c r="J4" s="64"/>
      <c r="K4" s="64"/>
    </row>
    <row r="5">
      <c r="A5" s="65" t="s">
        <v>90</v>
      </c>
      <c r="I5" s="43"/>
      <c r="J5" s="64"/>
      <c r="K5" s="64"/>
    </row>
    <row r="6">
      <c r="A6" s="55" t="s">
        <v>91</v>
      </c>
      <c r="B6" s="3"/>
      <c r="C6" s="3"/>
      <c r="D6" s="3"/>
      <c r="E6" s="3"/>
      <c r="F6" s="3"/>
      <c r="G6" s="3"/>
      <c r="H6" s="3"/>
      <c r="I6" s="4"/>
      <c r="J6" s="64"/>
      <c r="K6" s="64"/>
    </row>
    <row r="7">
      <c r="A7" s="56" t="s">
        <v>92</v>
      </c>
      <c r="B7" s="3"/>
      <c r="C7" s="3"/>
      <c r="D7" s="3"/>
      <c r="E7" s="3"/>
      <c r="F7" s="3"/>
      <c r="G7" s="3"/>
      <c r="H7" s="3"/>
      <c r="I7" s="4"/>
      <c r="J7" s="64"/>
      <c r="K7" s="64"/>
    </row>
    <row r="8">
      <c r="A8" s="57" t="s">
        <v>20</v>
      </c>
      <c r="B8" s="3"/>
      <c r="C8" s="3"/>
      <c r="D8" s="3"/>
      <c r="E8" s="3"/>
      <c r="F8" s="3"/>
      <c r="G8" s="3"/>
      <c r="H8" s="3"/>
      <c r="I8" s="4"/>
      <c r="J8" s="66"/>
      <c r="K8" s="66"/>
    </row>
    <row r="9">
      <c r="A9" s="57" t="s">
        <v>93</v>
      </c>
      <c r="B9" s="3"/>
      <c r="C9" s="3"/>
      <c r="D9" s="3"/>
      <c r="E9" s="3"/>
      <c r="F9" s="3"/>
      <c r="G9" s="3"/>
      <c r="H9" s="3"/>
      <c r="I9" s="4"/>
      <c r="J9" s="66"/>
      <c r="K9" s="66"/>
      <c r="L9" s="67" t="s">
        <v>94</v>
      </c>
    </row>
    <row r="10">
      <c r="A10" s="57" t="s">
        <v>95</v>
      </c>
      <c r="B10" s="3"/>
      <c r="C10" s="3"/>
      <c r="D10" s="3"/>
      <c r="E10" s="3"/>
      <c r="F10" s="3"/>
      <c r="G10" s="3"/>
      <c r="H10" s="3"/>
      <c r="I10" s="4"/>
      <c r="J10" s="66"/>
      <c r="K10" s="66"/>
    </row>
    <row r="11">
      <c r="A11" s="68" t="s">
        <v>96</v>
      </c>
      <c r="B11" s="3"/>
      <c r="C11" s="3"/>
      <c r="D11" s="3"/>
      <c r="E11" s="3"/>
      <c r="F11" s="3"/>
      <c r="G11" s="3"/>
      <c r="H11" s="3"/>
      <c r="I11" s="4"/>
    </row>
    <row r="12">
      <c r="A12" s="69" t="s">
        <v>97</v>
      </c>
      <c r="B12" s="70"/>
      <c r="C12" s="70"/>
      <c r="D12" s="70"/>
      <c r="E12" s="70"/>
      <c r="F12" s="70"/>
      <c r="G12" s="70"/>
      <c r="H12" s="70"/>
      <c r="I12" s="70"/>
      <c r="J12" s="70"/>
      <c r="K12" s="70"/>
      <c r="L12" s="70"/>
      <c r="M12" s="40"/>
    </row>
    <row r="13">
      <c r="A13" s="71" t="s">
        <v>98</v>
      </c>
      <c r="B13" s="72" t="s">
        <v>99</v>
      </c>
      <c r="C13" s="73" t="s">
        <v>100</v>
      </c>
      <c r="D13" s="70"/>
      <c r="E13" s="70"/>
      <c r="F13" s="70"/>
      <c r="G13" s="70"/>
      <c r="H13" s="70"/>
      <c r="I13" s="70"/>
      <c r="J13" s="70"/>
      <c r="K13" s="70"/>
      <c r="L13" s="70"/>
      <c r="M13" s="40"/>
    </row>
    <row r="14">
      <c r="A14" s="74"/>
      <c r="B14" s="75"/>
      <c r="C14" s="76">
        <v>0.0</v>
      </c>
      <c r="D14" s="76">
        <v>1.0</v>
      </c>
      <c r="E14" s="76">
        <v>2.0</v>
      </c>
      <c r="F14" s="76">
        <v>3.0</v>
      </c>
      <c r="G14" s="76">
        <v>4.0</v>
      </c>
      <c r="H14" s="76">
        <v>5.0</v>
      </c>
      <c r="I14" s="76">
        <v>6.0</v>
      </c>
      <c r="J14" s="76">
        <v>7.0</v>
      </c>
      <c r="K14" s="76">
        <v>8.0</v>
      </c>
      <c r="L14" s="76">
        <v>9.0</v>
      </c>
      <c r="M14" s="77">
        <v>10.0</v>
      </c>
    </row>
    <row r="15">
      <c r="A15" s="78">
        <v>43617.0</v>
      </c>
      <c r="B15" s="79">
        <v>240.0</v>
      </c>
      <c r="C15" s="80">
        <v>237.0</v>
      </c>
      <c r="D15" s="81">
        <f>224*0.8</f>
        <v>179.2</v>
      </c>
      <c r="E15" s="81">
        <f>217*0.8</f>
        <v>173.6</v>
      </c>
      <c r="F15" s="81">
        <f>203*0.8</f>
        <v>162.4</v>
      </c>
      <c r="G15" s="81">
        <f>192*0.8</f>
        <v>153.6</v>
      </c>
      <c r="H15" s="81">
        <f>179*0.8</f>
        <v>143.2</v>
      </c>
      <c r="I15" s="81">
        <f>163*0.8</f>
        <v>130.4</v>
      </c>
      <c r="J15" s="81">
        <f>158*0.8</f>
        <v>126.4</v>
      </c>
      <c r="K15" s="81">
        <f>150*0.8</f>
        <v>120</v>
      </c>
      <c r="L15" s="81">
        <f>147*0.8</f>
        <v>117.6</v>
      </c>
      <c r="M15" s="82">
        <f>143*0.8</f>
        <v>114.4</v>
      </c>
    </row>
    <row r="16">
      <c r="A16" s="78">
        <v>43623.0</v>
      </c>
      <c r="B16" s="79">
        <v>324.0</v>
      </c>
      <c r="C16" s="80">
        <v>307.0</v>
      </c>
      <c r="D16" s="81">
        <f>283*0.8</f>
        <v>226.4</v>
      </c>
      <c r="E16" s="81">
        <f>268*0.8</f>
        <v>214.4</v>
      </c>
      <c r="F16" s="81">
        <f>242*0.8</f>
        <v>193.6</v>
      </c>
      <c r="G16" s="81">
        <f>229*0.8</f>
        <v>183.2</v>
      </c>
      <c r="H16" s="81">
        <f>213*0.8</f>
        <v>170.4</v>
      </c>
      <c r="I16" s="81">
        <f>195*0.8</f>
        <v>156</v>
      </c>
      <c r="J16" s="81">
        <f>190*0.8</f>
        <v>152</v>
      </c>
      <c r="K16" s="81">
        <f>182*0.8</f>
        <v>145.6</v>
      </c>
      <c r="L16" s="81">
        <v>143.0</v>
      </c>
      <c r="M16" s="83"/>
    </row>
    <row r="17">
      <c r="A17" s="78">
        <v>43630.0</v>
      </c>
      <c r="B17" s="79">
        <v>425.0</v>
      </c>
      <c r="C17" s="80">
        <v>414.0</v>
      </c>
      <c r="D17" s="81">
        <f>392*0.8</f>
        <v>313.6</v>
      </c>
      <c r="E17" s="81">
        <f>378*0.8</f>
        <v>302.4</v>
      </c>
      <c r="F17" s="81">
        <f>353*0.8</f>
        <v>282.4</v>
      </c>
      <c r="G17" s="81">
        <f>337*0.8</f>
        <v>269.6</v>
      </c>
      <c r="H17" s="81">
        <f>305*0.8</f>
        <v>244</v>
      </c>
      <c r="I17" s="81">
        <f>293*0.8</f>
        <v>234.4</v>
      </c>
      <c r="J17" s="81">
        <f>285*0.8</f>
        <v>228</v>
      </c>
      <c r="K17" s="81">
        <f>271*0.8</f>
        <v>216.8</v>
      </c>
      <c r="L17" s="84"/>
      <c r="M17" s="83"/>
    </row>
    <row r="18">
      <c r="A18" s="78">
        <v>43637.0</v>
      </c>
      <c r="B18" s="79">
        <v>634.0</v>
      </c>
      <c r="C18" s="80">
        <v>618.0</v>
      </c>
      <c r="D18" s="81">
        <f>587*0.8</f>
        <v>469.6</v>
      </c>
      <c r="E18" s="81">
        <f>554*0.8</f>
        <v>443.2</v>
      </c>
      <c r="F18" s="81">
        <f>530*0.8</f>
        <v>424</v>
      </c>
      <c r="G18" s="81">
        <f>507*0.8</f>
        <v>405.6</v>
      </c>
      <c r="H18" s="81">
        <f>482*0.8</f>
        <v>385.6</v>
      </c>
      <c r="I18" s="81">
        <f>458*0.8</f>
        <v>366.4</v>
      </c>
      <c r="J18" s="81">
        <f>442*0.8</f>
        <v>353.6</v>
      </c>
      <c r="K18" s="84"/>
      <c r="L18" s="84"/>
      <c r="M18" s="83"/>
    </row>
    <row r="19">
      <c r="A19" s="78">
        <v>43644.0</v>
      </c>
      <c r="B19" s="79">
        <v>796.0</v>
      </c>
      <c r="C19" s="80">
        <v>772.0</v>
      </c>
      <c r="D19" s="81">
        <f>753*0.8</f>
        <v>602.4</v>
      </c>
      <c r="E19" s="81">
        <f>729*0.8</f>
        <v>583.2</v>
      </c>
      <c r="F19" s="81">
        <f>694*0.8</f>
        <v>555.2</v>
      </c>
      <c r="G19" s="81">
        <f>649*0.8</f>
        <v>519.2</v>
      </c>
      <c r="H19" s="81">
        <f>612*0.8</f>
        <v>489.6</v>
      </c>
      <c r="I19" s="81">
        <f>586*0.8</f>
        <v>468.8</v>
      </c>
      <c r="M19" s="85"/>
    </row>
    <row r="20">
      <c r="A20" s="78">
        <v>43651.0</v>
      </c>
      <c r="B20" s="79">
        <v>918.0</v>
      </c>
      <c r="C20" s="80">
        <v>885.0</v>
      </c>
      <c r="D20" s="81">
        <f>840*0.8</f>
        <v>672</v>
      </c>
      <c r="E20" s="81">
        <f>803*0.8</f>
        <v>642.4</v>
      </c>
      <c r="F20" s="81">
        <f>773*0.8</f>
        <v>618.4</v>
      </c>
      <c r="G20" s="81">
        <f>748*0.8</f>
        <v>598.4</v>
      </c>
      <c r="H20" s="81">
        <f>704*0.8</f>
        <v>563.2</v>
      </c>
      <c r="M20" s="85"/>
    </row>
    <row r="21">
      <c r="A21" s="78">
        <v>43658.0</v>
      </c>
      <c r="B21" s="79">
        <v>1129.0</v>
      </c>
      <c r="C21" s="80">
        <v>1084.0</v>
      </c>
      <c r="D21" s="81">
        <f>1030*0.8</f>
        <v>824</v>
      </c>
      <c r="E21" s="81">
        <f>974*0.8</f>
        <v>779.2</v>
      </c>
      <c r="F21" s="81">
        <f>928*0.8</f>
        <v>742.4</v>
      </c>
      <c r="G21" s="81">
        <f>894*0.8</f>
        <v>715.2</v>
      </c>
      <c r="M21" s="85"/>
    </row>
    <row r="22">
      <c r="A22" s="78">
        <v>43665.0</v>
      </c>
      <c r="B22" s="79">
        <v>1298.0</v>
      </c>
      <c r="C22" s="80">
        <v>1218.0</v>
      </c>
      <c r="D22" s="81">
        <f>1175*0.8</f>
        <v>940</v>
      </c>
      <c r="E22" s="81">
        <f>1085*0.8</f>
        <v>868</v>
      </c>
      <c r="F22" s="81">
        <f>1005*0.8</f>
        <v>804</v>
      </c>
      <c r="M22" s="85"/>
    </row>
    <row r="23">
      <c r="A23" s="78">
        <v>43672.0</v>
      </c>
      <c r="B23" s="79">
        <v>1420.0</v>
      </c>
      <c r="C23" s="80">
        <v>1350.0</v>
      </c>
      <c r="D23" s="81">
        <f>1297*0.8</f>
        <v>1037.6</v>
      </c>
      <c r="E23" s="81">
        <f>1207*0.8</f>
        <v>965.6</v>
      </c>
      <c r="M23" s="85"/>
    </row>
    <row r="24">
      <c r="A24" s="78">
        <v>43680.0</v>
      </c>
      <c r="B24" s="79">
        <v>1670.0</v>
      </c>
      <c r="C24" s="80">
        <v>1587.0</v>
      </c>
      <c r="D24" s="81">
        <f>1502*0.8</f>
        <v>1201.6</v>
      </c>
      <c r="M24" s="85"/>
    </row>
    <row r="25">
      <c r="A25" s="78">
        <v>43687.0</v>
      </c>
      <c r="B25" s="79">
        <v>1820.0</v>
      </c>
      <c r="C25" s="80">
        <v>1718.0</v>
      </c>
      <c r="M25" s="85"/>
    </row>
    <row r="26">
      <c r="A26" s="86">
        <v>43694.0</v>
      </c>
      <c r="B26" s="87">
        <v>2018.0</v>
      </c>
      <c r="C26" s="88"/>
      <c r="D26" s="88"/>
      <c r="E26" s="88"/>
      <c r="F26" s="88"/>
      <c r="G26" s="88"/>
      <c r="H26" s="88"/>
      <c r="I26" s="88"/>
      <c r="J26" s="88"/>
      <c r="K26" s="88"/>
      <c r="L26" s="88"/>
      <c r="M26" s="89"/>
    </row>
    <row r="27">
      <c r="A27" s="90"/>
    </row>
    <row r="28">
      <c r="A28" s="90"/>
    </row>
    <row r="29">
      <c r="A29" s="69" t="s">
        <v>101</v>
      </c>
      <c r="B29" s="70"/>
      <c r="C29" s="70"/>
      <c r="D29" s="70"/>
      <c r="E29" s="70"/>
      <c r="F29" s="70"/>
      <c r="G29" s="70"/>
      <c r="H29" s="70"/>
      <c r="I29" s="70"/>
      <c r="J29" s="70"/>
      <c r="K29" s="70"/>
      <c r="L29" s="70"/>
      <c r="M29" s="40"/>
    </row>
    <row r="30">
      <c r="A30" s="91" t="s">
        <v>98</v>
      </c>
      <c r="B30" s="72" t="s">
        <v>99</v>
      </c>
      <c r="C30" s="92" t="s">
        <v>100</v>
      </c>
      <c r="D30" s="70"/>
      <c r="E30" s="70"/>
      <c r="F30" s="70"/>
      <c r="G30" s="70"/>
      <c r="H30" s="70"/>
      <c r="I30" s="70"/>
      <c r="J30" s="70"/>
      <c r="K30" s="70"/>
      <c r="L30" s="70"/>
      <c r="M30" s="40"/>
    </row>
    <row r="31">
      <c r="A31" s="93"/>
      <c r="B31" s="75"/>
      <c r="C31" s="94">
        <v>0.0</v>
      </c>
      <c r="D31" s="76">
        <v>1.0</v>
      </c>
      <c r="E31" s="76">
        <v>2.0</v>
      </c>
      <c r="F31" s="76">
        <v>3.0</v>
      </c>
      <c r="G31" s="76">
        <v>4.0</v>
      </c>
      <c r="H31" s="76">
        <v>5.0</v>
      </c>
      <c r="I31" s="76">
        <v>6.0</v>
      </c>
      <c r="J31" s="76">
        <v>7.0</v>
      </c>
      <c r="K31" s="76">
        <v>8.0</v>
      </c>
      <c r="L31" s="76">
        <v>9.0</v>
      </c>
      <c r="M31" s="77">
        <v>10.0</v>
      </c>
    </row>
    <row r="32">
      <c r="A32" s="95">
        <v>43617.0</v>
      </c>
      <c r="B32" s="96">
        <v>240.0</v>
      </c>
      <c r="C32" s="97">
        <v>0.99</v>
      </c>
      <c r="D32" s="98">
        <f t="shared" ref="D32:D41" si="2">D15/B15</f>
        <v>0.7466666667</v>
      </c>
      <c r="E32" s="98">
        <f t="shared" ref="E32:E40" si="3">E15/B32</f>
        <v>0.7233333333</v>
      </c>
      <c r="F32" s="98">
        <f t="shared" ref="F32:M32" si="1">F15/$B15</f>
        <v>0.6766666667</v>
      </c>
      <c r="G32" s="98">
        <f t="shared" si="1"/>
        <v>0.64</v>
      </c>
      <c r="H32" s="98">
        <f t="shared" si="1"/>
        <v>0.5966666667</v>
      </c>
      <c r="I32" s="98">
        <f t="shared" si="1"/>
        <v>0.5433333333</v>
      </c>
      <c r="J32" s="98">
        <f t="shared" si="1"/>
        <v>0.5266666667</v>
      </c>
      <c r="K32" s="98">
        <f t="shared" si="1"/>
        <v>0.5</v>
      </c>
      <c r="L32" s="98">
        <f t="shared" si="1"/>
        <v>0.49</v>
      </c>
      <c r="M32" s="98">
        <f t="shared" si="1"/>
        <v>0.4766666667</v>
      </c>
    </row>
    <row r="33">
      <c r="A33" s="95">
        <v>43623.0</v>
      </c>
      <c r="B33" s="96">
        <v>324.0</v>
      </c>
      <c r="C33" s="99">
        <f t="shared" ref="C33:C43" si="5">C16/B16</f>
        <v>0.9475308642</v>
      </c>
      <c r="D33" s="98">
        <f t="shared" si="2"/>
        <v>0.6987654321</v>
      </c>
      <c r="E33" s="98">
        <f t="shared" si="3"/>
        <v>0.6617283951</v>
      </c>
      <c r="F33" s="98">
        <f t="shared" ref="F33:L33" si="4">F16/$B16</f>
        <v>0.5975308642</v>
      </c>
      <c r="G33" s="98">
        <f t="shared" si="4"/>
        <v>0.5654320988</v>
      </c>
      <c r="H33" s="98">
        <f t="shared" si="4"/>
        <v>0.5259259259</v>
      </c>
      <c r="I33" s="98">
        <f t="shared" si="4"/>
        <v>0.4814814815</v>
      </c>
      <c r="J33" s="98">
        <f t="shared" si="4"/>
        <v>0.4691358025</v>
      </c>
      <c r="K33" s="98">
        <f t="shared" si="4"/>
        <v>0.449382716</v>
      </c>
      <c r="L33" s="98">
        <f t="shared" si="4"/>
        <v>0.4413580247</v>
      </c>
      <c r="M33" s="85"/>
    </row>
    <row r="34">
      <c r="A34" s="95">
        <v>43630.0</v>
      </c>
      <c r="B34" s="96">
        <v>425.0</v>
      </c>
      <c r="C34" s="99">
        <f t="shared" si="5"/>
        <v>0.9741176471</v>
      </c>
      <c r="D34" s="98">
        <f t="shared" si="2"/>
        <v>0.7378823529</v>
      </c>
      <c r="E34" s="98">
        <f t="shared" si="3"/>
        <v>0.7115294118</v>
      </c>
      <c r="F34" s="98">
        <f t="shared" ref="F34:K34" si="6">F17/$B17</f>
        <v>0.6644705882</v>
      </c>
      <c r="G34" s="98">
        <f t="shared" si="6"/>
        <v>0.6343529412</v>
      </c>
      <c r="H34" s="98">
        <f t="shared" si="6"/>
        <v>0.5741176471</v>
      </c>
      <c r="I34" s="98">
        <f t="shared" si="6"/>
        <v>0.5515294118</v>
      </c>
      <c r="J34" s="98">
        <f t="shared" si="6"/>
        <v>0.5364705882</v>
      </c>
      <c r="K34" s="98">
        <f t="shared" si="6"/>
        <v>0.5101176471</v>
      </c>
      <c r="M34" s="85"/>
    </row>
    <row r="35">
      <c r="A35" s="95">
        <v>43637.0</v>
      </c>
      <c r="B35" s="96">
        <v>634.0</v>
      </c>
      <c r="C35" s="99">
        <f t="shared" si="5"/>
        <v>0.9747634069</v>
      </c>
      <c r="D35" s="98">
        <f t="shared" si="2"/>
        <v>0.7406940063</v>
      </c>
      <c r="E35" s="98">
        <f t="shared" si="3"/>
        <v>0.6990536278</v>
      </c>
      <c r="F35" s="98">
        <f t="shared" ref="F35:J35" si="7">F18/$B18</f>
        <v>0.6687697161</v>
      </c>
      <c r="G35" s="98">
        <f t="shared" si="7"/>
        <v>0.6397476341</v>
      </c>
      <c r="H35" s="98">
        <f t="shared" si="7"/>
        <v>0.6082018927</v>
      </c>
      <c r="I35" s="98">
        <f t="shared" si="7"/>
        <v>0.5779179811</v>
      </c>
      <c r="J35" s="98">
        <f t="shared" si="7"/>
        <v>0.5577287066</v>
      </c>
      <c r="M35" s="85"/>
    </row>
    <row r="36">
      <c r="A36" s="95">
        <v>43644.0</v>
      </c>
      <c r="B36" s="96">
        <v>796.0</v>
      </c>
      <c r="C36" s="99">
        <f t="shared" si="5"/>
        <v>0.9698492462</v>
      </c>
      <c r="D36" s="98">
        <f t="shared" si="2"/>
        <v>0.7567839196</v>
      </c>
      <c r="E36" s="98">
        <f t="shared" si="3"/>
        <v>0.7326633166</v>
      </c>
      <c r="F36" s="98">
        <f t="shared" ref="F36:I36" si="8">F19/$B19</f>
        <v>0.6974874372</v>
      </c>
      <c r="G36" s="98">
        <f t="shared" si="8"/>
        <v>0.6522613065</v>
      </c>
      <c r="H36" s="98">
        <f t="shared" si="8"/>
        <v>0.6150753769</v>
      </c>
      <c r="I36" s="98">
        <f t="shared" si="8"/>
        <v>0.5889447236</v>
      </c>
      <c r="M36" s="85"/>
    </row>
    <row r="37">
      <c r="A37" s="95">
        <v>43651.0</v>
      </c>
      <c r="B37" s="96">
        <v>918.0</v>
      </c>
      <c r="C37" s="99">
        <f t="shared" si="5"/>
        <v>0.9640522876</v>
      </c>
      <c r="D37" s="98">
        <f t="shared" si="2"/>
        <v>0.7320261438</v>
      </c>
      <c r="E37" s="98">
        <f t="shared" si="3"/>
        <v>0.6997821351</v>
      </c>
      <c r="F37" s="98">
        <f t="shared" ref="F37:H37" si="9">F20/$B20</f>
        <v>0.6736383442</v>
      </c>
      <c r="G37" s="98">
        <f t="shared" si="9"/>
        <v>0.6518518519</v>
      </c>
      <c r="H37" s="98">
        <f t="shared" si="9"/>
        <v>0.6135076253</v>
      </c>
      <c r="M37" s="85"/>
    </row>
    <row r="38">
      <c r="A38" s="95">
        <v>43658.0</v>
      </c>
      <c r="B38" s="96">
        <v>1129.0</v>
      </c>
      <c r="C38" s="99">
        <f t="shared" si="5"/>
        <v>0.9601417183</v>
      </c>
      <c r="D38" s="98">
        <f t="shared" si="2"/>
        <v>0.7298494243</v>
      </c>
      <c r="E38" s="98">
        <f t="shared" si="3"/>
        <v>0.6901682905</v>
      </c>
      <c r="F38" s="98">
        <f t="shared" ref="F38:G38" si="10">F21/$B21</f>
        <v>0.6575730735</v>
      </c>
      <c r="G38" s="98">
        <f t="shared" si="10"/>
        <v>0.6334809566</v>
      </c>
      <c r="M38" s="85"/>
    </row>
    <row r="39">
      <c r="A39" s="95">
        <v>43665.0</v>
      </c>
      <c r="B39" s="96">
        <v>1298.0</v>
      </c>
      <c r="C39" s="99">
        <f t="shared" si="5"/>
        <v>0.938366718</v>
      </c>
      <c r="D39" s="98">
        <f t="shared" si="2"/>
        <v>0.7241910632</v>
      </c>
      <c r="E39" s="98">
        <f t="shared" si="3"/>
        <v>0.6687211094</v>
      </c>
      <c r="F39" s="98">
        <f>F22/$B22</f>
        <v>0.6194144838</v>
      </c>
      <c r="M39" s="85"/>
    </row>
    <row r="40">
      <c r="A40" s="95">
        <v>43672.0</v>
      </c>
      <c r="B40" s="96">
        <v>1420.0</v>
      </c>
      <c r="C40" s="99">
        <f t="shared" si="5"/>
        <v>0.9507042254</v>
      </c>
      <c r="D40" s="98">
        <f t="shared" si="2"/>
        <v>0.7307042254</v>
      </c>
      <c r="E40" s="98">
        <f t="shared" si="3"/>
        <v>0.68</v>
      </c>
      <c r="M40" s="85"/>
    </row>
    <row r="41">
      <c r="A41" s="95">
        <v>43680.0</v>
      </c>
      <c r="B41" s="96">
        <v>1670.0</v>
      </c>
      <c r="C41" s="99">
        <f t="shared" si="5"/>
        <v>0.9502994012</v>
      </c>
      <c r="D41" s="98">
        <f t="shared" si="2"/>
        <v>0.7195209581</v>
      </c>
      <c r="M41" s="85"/>
    </row>
    <row r="42">
      <c r="A42" s="95">
        <v>43687.0</v>
      </c>
      <c r="B42" s="96">
        <v>1820.0</v>
      </c>
      <c r="C42" s="99">
        <f t="shared" si="5"/>
        <v>0.943956044</v>
      </c>
      <c r="M42" s="85"/>
    </row>
    <row r="43">
      <c r="A43" s="100">
        <v>43694.0</v>
      </c>
      <c r="B43" s="87">
        <v>2018.0</v>
      </c>
      <c r="C43" s="99">
        <f t="shared" si="5"/>
        <v>0</v>
      </c>
      <c r="M43" s="85"/>
    </row>
    <row r="44">
      <c r="A44" s="101" t="s">
        <v>102</v>
      </c>
      <c r="B44" s="4"/>
      <c r="C44" s="102">
        <f t="shared" ref="C44:M44" si="11">AVERAGE(C32:C43)</f>
        <v>0.8803151299</v>
      </c>
      <c r="D44" s="102">
        <f t="shared" si="11"/>
        <v>0.7317084192</v>
      </c>
      <c r="E44" s="102">
        <f t="shared" si="11"/>
        <v>0.6963310688</v>
      </c>
      <c r="F44" s="102">
        <f t="shared" si="11"/>
        <v>0.6569438967</v>
      </c>
      <c r="G44" s="102">
        <f t="shared" si="11"/>
        <v>0.6310181127</v>
      </c>
      <c r="H44" s="102">
        <f t="shared" si="11"/>
        <v>0.5889158558</v>
      </c>
      <c r="I44" s="102">
        <f t="shared" si="11"/>
        <v>0.5486413863</v>
      </c>
      <c r="J44" s="102">
        <f t="shared" si="11"/>
        <v>0.522500441</v>
      </c>
      <c r="K44" s="102">
        <f t="shared" si="11"/>
        <v>0.486500121</v>
      </c>
      <c r="L44" s="102">
        <f t="shared" si="11"/>
        <v>0.4656790123</v>
      </c>
      <c r="M44" s="102">
        <f t="shared" si="11"/>
        <v>0.4766666667</v>
      </c>
    </row>
    <row r="45">
      <c r="A45" s="90"/>
    </row>
    <row r="46">
      <c r="A46" s="90"/>
    </row>
  </sheetData>
  <mergeCells count="16">
    <mergeCell ref="A1:M1"/>
    <mergeCell ref="A2:I2"/>
    <mergeCell ref="A3:I3"/>
    <mergeCell ref="A4:I4"/>
    <mergeCell ref="A5:I5"/>
    <mergeCell ref="A6:I6"/>
    <mergeCell ref="A7:I7"/>
    <mergeCell ref="C30:M30"/>
    <mergeCell ref="A44:B44"/>
    <mergeCell ref="A8:I8"/>
    <mergeCell ref="A9:I9"/>
    <mergeCell ref="A10:I10"/>
    <mergeCell ref="A11:I11"/>
    <mergeCell ref="A12:M12"/>
    <mergeCell ref="C13:M13"/>
    <mergeCell ref="A29:M2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03" t="s">
        <v>11</v>
      </c>
      <c r="B1" s="3"/>
      <c r="C1" s="3"/>
      <c r="D1" s="3"/>
      <c r="E1" s="3"/>
      <c r="F1" s="3"/>
      <c r="G1" s="3"/>
      <c r="H1" s="4"/>
    </row>
    <row r="2">
      <c r="A2" s="55" t="s">
        <v>103</v>
      </c>
      <c r="B2" s="3"/>
      <c r="C2" s="3"/>
      <c r="D2" s="3"/>
      <c r="E2" s="3"/>
      <c r="F2" s="3"/>
      <c r="G2" s="3"/>
      <c r="H2" s="4"/>
    </row>
    <row r="3">
      <c r="A3" s="55" t="s">
        <v>104</v>
      </c>
      <c r="B3" s="3"/>
      <c r="C3" s="3"/>
      <c r="D3" s="3"/>
      <c r="E3" s="3"/>
      <c r="F3" s="3"/>
      <c r="G3" s="3"/>
      <c r="H3" s="4"/>
    </row>
    <row r="4">
      <c r="A4" s="104" t="s">
        <v>105</v>
      </c>
      <c r="B4" s="3"/>
      <c r="C4" s="3"/>
      <c r="D4" s="3"/>
      <c r="E4" s="3"/>
      <c r="F4" s="3"/>
      <c r="G4" s="3"/>
      <c r="H4" s="4"/>
    </row>
    <row r="5">
      <c r="A5" s="104" t="s">
        <v>106</v>
      </c>
      <c r="B5" s="3"/>
      <c r="C5" s="3"/>
      <c r="D5" s="3"/>
      <c r="E5" s="3"/>
      <c r="F5" s="3"/>
      <c r="G5" s="3"/>
      <c r="H5" s="4"/>
    </row>
    <row r="6">
      <c r="A6" s="104" t="s">
        <v>107</v>
      </c>
      <c r="B6" s="3"/>
      <c r="C6" s="3"/>
      <c r="D6" s="3"/>
      <c r="E6" s="3"/>
      <c r="F6" s="3"/>
      <c r="G6" s="3"/>
      <c r="H6" s="4"/>
    </row>
    <row r="8">
      <c r="B8" s="105"/>
      <c r="C8" s="70"/>
      <c r="D8" s="70"/>
      <c r="E8" s="70"/>
      <c r="F8" s="70"/>
      <c r="G8" s="40"/>
    </row>
    <row r="9">
      <c r="B9" s="42"/>
      <c r="G9" s="43"/>
    </row>
    <row r="10">
      <c r="B10" s="42"/>
      <c r="G10" s="43"/>
    </row>
    <row r="11">
      <c r="B11" s="42"/>
      <c r="G11" s="43"/>
    </row>
    <row r="12">
      <c r="B12" s="42"/>
      <c r="G12" s="43"/>
    </row>
    <row r="13">
      <c r="B13" s="42"/>
      <c r="G13" s="43"/>
    </row>
    <row r="14">
      <c r="B14" s="42"/>
      <c r="G14" s="43"/>
    </row>
    <row r="15">
      <c r="B15" s="42"/>
      <c r="G15" s="43"/>
    </row>
    <row r="16">
      <c r="B16" s="42"/>
      <c r="G16" s="43"/>
    </row>
    <row r="17">
      <c r="B17" s="42"/>
      <c r="G17" s="43"/>
    </row>
    <row r="18">
      <c r="B18" s="42"/>
      <c r="G18" s="43"/>
    </row>
    <row r="19">
      <c r="B19" s="42"/>
      <c r="G19" s="43"/>
    </row>
    <row r="20">
      <c r="B20" s="42"/>
      <c r="G20" s="43"/>
    </row>
    <row r="21">
      <c r="B21" s="42"/>
      <c r="G21" s="43"/>
    </row>
    <row r="22">
      <c r="B22" s="42"/>
      <c r="G22" s="43"/>
    </row>
    <row r="23">
      <c r="B23" s="42"/>
      <c r="G23" s="43"/>
    </row>
    <row r="24">
      <c r="B24" s="42"/>
      <c r="G24" s="43"/>
    </row>
    <row r="25">
      <c r="B25" s="42"/>
      <c r="G25" s="43"/>
    </row>
    <row r="26">
      <c r="B26" s="42"/>
      <c r="G26" s="43"/>
    </row>
    <row r="27">
      <c r="B27" s="42"/>
      <c r="G27" s="43"/>
    </row>
    <row r="28">
      <c r="B28" s="42"/>
      <c r="G28" s="43"/>
    </row>
    <row r="29">
      <c r="B29" s="44"/>
      <c r="C29" s="20"/>
      <c r="D29" s="20"/>
      <c r="E29" s="20"/>
      <c r="F29" s="20"/>
      <c r="G29" s="21"/>
    </row>
    <row r="32">
      <c r="A32" s="106" t="s">
        <v>108</v>
      </c>
      <c r="B32" s="40"/>
      <c r="C32" s="41" t="s">
        <v>109</v>
      </c>
      <c r="D32" s="40"/>
    </row>
    <row r="33">
      <c r="A33" s="44"/>
      <c r="B33" s="21"/>
      <c r="C33" s="44"/>
      <c r="D33" s="21"/>
    </row>
    <row r="34">
      <c r="A34" s="107"/>
      <c r="B34" s="107"/>
      <c r="C34" s="107"/>
      <c r="D34" s="107"/>
    </row>
    <row r="35">
      <c r="A35" s="106" t="s">
        <v>110</v>
      </c>
      <c r="B35" s="40"/>
      <c r="C35" s="41" t="s">
        <v>111</v>
      </c>
      <c r="D35" s="40"/>
    </row>
    <row r="36">
      <c r="A36" s="44"/>
      <c r="B36" s="21"/>
      <c r="C36" s="44"/>
      <c r="D36" s="21"/>
    </row>
    <row r="37">
      <c r="A37" s="107"/>
      <c r="B37" s="107"/>
    </row>
    <row r="38">
      <c r="A38" s="106" t="s">
        <v>112</v>
      </c>
      <c r="B38" s="40"/>
      <c r="C38" s="41" t="s">
        <v>113</v>
      </c>
      <c r="D38" s="70"/>
      <c r="E38" s="70"/>
      <c r="F38" s="70"/>
      <c r="G38" s="40"/>
    </row>
    <row r="39">
      <c r="A39" s="44"/>
      <c r="B39" s="21"/>
      <c r="C39" s="44"/>
      <c r="D39" s="20"/>
      <c r="E39" s="20"/>
      <c r="F39" s="20"/>
      <c r="G39" s="21"/>
    </row>
    <row r="40">
      <c r="A40" s="107"/>
      <c r="B40" s="107"/>
      <c r="C40" s="107"/>
      <c r="D40" s="107"/>
      <c r="E40" s="107"/>
    </row>
    <row r="41">
      <c r="A41" s="106" t="s">
        <v>114</v>
      </c>
      <c r="B41" s="40"/>
      <c r="C41" s="41" t="s">
        <v>115</v>
      </c>
      <c r="D41" s="70"/>
      <c r="E41" s="70"/>
      <c r="F41" s="70"/>
      <c r="G41" s="40"/>
    </row>
    <row r="42">
      <c r="A42" s="44"/>
      <c r="B42" s="21"/>
      <c r="C42" s="44"/>
      <c r="D42" s="20"/>
      <c r="E42" s="20"/>
      <c r="F42" s="20"/>
      <c r="G42" s="21"/>
    </row>
  </sheetData>
  <mergeCells count="15">
    <mergeCell ref="A32:B33"/>
    <mergeCell ref="C32:D33"/>
    <mergeCell ref="A35:B36"/>
    <mergeCell ref="C35:D36"/>
    <mergeCell ref="A38:B39"/>
    <mergeCell ref="C38:G39"/>
    <mergeCell ref="A41:B42"/>
    <mergeCell ref="C41:G42"/>
    <mergeCell ref="A1:H1"/>
    <mergeCell ref="A2:H2"/>
    <mergeCell ref="A3:H3"/>
    <mergeCell ref="A4:H4"/>
    <mergeCell ref="A5:H5"/>
    <mergeCell ref="A6:H6"/>
    <mergeCell ref="B8:G2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5"/>
  </cols>
  <sheetData>
    <row r="1">
      <c r="A1" s="103" t="s">
        <v>116</v>
      </c>
      <c r="B1" s="3"/>
      <c r="C1" s="3"/>
      <c r="D1" s="3"/>
      <c r="E1" s="3"/>
      <c r="F1" s="3"/>
      <c r="G1" s="3"/>
      <c r="H1" s="3"/>
      <c r="I1" s="3"/>
      <c r="J1" s="3"/>
      <c r="K1" s="3"/>
      <c r="L1" s="3"/>
      <c r="M1" s="3"/>
      <c r="N1" s="3"/>
      <c r="O1" s="3"/>
      <c r="P1" s="3"/>
      <c r="Q1" s="4"/>
    </row>
    <row r="2">
      <c r="A2" s="108" t="s">
        <v>117</v>
      </c>
      <c r="B2" s="3"/>
      <c r="C2" s="3"/>
      <c r="D2" s="3"/>
      <c r="E2" s="3"/>
      <c r="F2" s="3"/>
      <c r="G2" s="3"/>
      <c r="H2" s="3"/>
      <c r="I2" s="3"/>
      <c r="J2" s="3"/>
      <c r="K2" s="3"/>
      <c r="L2" s="3"/>
      <c r="M2" s="4"/>
    </row>
    <row r="3">
      <c r="A3" s="109" t="s">
        <v>118</v>
      </c>
      <c r="B3" s="70"/>
      <c r="C3" s="70"/>
      <c r="D3" s="70"/>
      <c r="E3" s="70"/>
      <c r="F3" s="70"/>
      <c r="G3" s="70"/>
      <c r="H3" s="70"/>
      <c r="I3" s="70"/>
      <c r="J3" s="70"/>
      <c r="K3" s="70"/>
      <c r="L3" s="70"/>
      <c r="M3" s="40"/>
    </row>
    <row r="4">
      <c r="A4" s="110" t="s">
        <v>119</v>
      </c>
      <c r="B4" s="70"/>
      <c r="C4" s="70"/>
      <c r="D4" s="70"/>
      <c r="E4" s="70"/>
      <c r="F4" s="70"/>
      <c r="G4" s="70"/>
      <c r="H4" s="70"/>
      <c r="I4" s="70"/>
      <c r="J4" s="70"/>
      <c r="K4" s="70"/>
      <c r="L4" s="70"/>
      <c r="M4" s="40"/>
    </row>
    <row r="5">
      <c r="A5" s="111" t="s">
        <v>120</v>
      </c>
      <c r="M5" s="43"/>
    </row>
    <row r="6">
      <c r="A6" s="111" t="s">
        <v>121</v>
      </c>
      <c r="M6" s="43"/>
    </row>
    <row r="7">
      <c r="A7" s="111" t="s">
        <v>122</v>
      </c>
      <c r="M7" s="43"/>
    </row>
    <row r="8">
      <c r="A8" s="112" t="s">
        <v>123</v>
      </c>
      <c r="B8" s="20"/>
      <c r="C8" s="20"/>
      <c r="D8" s="20"/>
      <c r="E8" s="20"/>
      <c r="F8" s="20"/>
      <c r="G8" s="20"/>
      <c r="H8" s="20"/>
      <c r="I8" s="20"/>
      <c r="J8" s="20"/>
      <c r="K8" s="20"/>
      <c r="L8" s="20"/>
      <c r="M8" s="21"/>
    </row>
    <row r="9">
      <c r="A9" s="113" t="s">
        <v>124</v>
      </c>
      <c r="B9" s="3"/>
      <c r="C9" s="3"/>
      <c r="D9" s="3"/>
      <c r="E9" s="3"/>
      <c r="F9" s="3"/>
      <c r="G9" s="3"/>
      <c r="H9" s="3"/>
      <c r="I9" s="3"/>
      <c r="J9" s="3"/>
      <c r="K9" s="3"/>
      <c r="L9" s="3"/>
      <c r="M9" s="4"/>
    </row>
    <row r="10">
      <c r="A10" s="114"/>
      <c r="B10" s="114"/>
      <c r="D10" s="67"/>
    </row>
    <row r="11">
      <c r="A11" s="115"/>
      <c r="B11" s="40"/>
      <c r="C11" s="116" t="s">
        <v>125</v>
      </c>
      <c r="D11" s="3"/>
      <c r="E11" s="3"/>
      <c r="F11" s="3"/>
      <c r="G11" s="3"/>
      <c r="H11" s="3"/>
      <c r="I11" s="3"/>
      <c r="J11" s="3"/>
      <c r="K11" s="3"/>
      <c r="L11" s="3"/>
      <c r="M11" s="3"/>
      <c r="N11" s="3"/>
      <c r="O11" s="3"/>
      <c r="P11" s="3"/>
      <c r="Q11" s="4"/>
    </row>
    <row r="12">
      <c r="A12" s="44"/>
      <c r="B12" s="21"/>
      <c r="C12" s="116" t="s">
        <v>126</v>
      </c>
      <c r="D12" s="3"/>
      <c r="E12" s="3"/>
      <c r="F12" s="3"/>
      <c r="G12" s="3"/>
      <c r="H12" s="3"/>
      <c r="I12" s="3"/>
      <c r="J12" s="3"/>
      <c r="K12" s="3"/>
      <c r="L12" s="3"/>
      <c r="M12" s="3"/>
      <c r="N12" s="3"/>
      <c r="O12" s="3"/>
      <c r="P12" s="3"/>
      <c r="Q12" s="4"/>
    </row>
    <row r="13">
      <c r="A13" s="117" t="s">
        <v>127</v>
      </c>
      <c r="B13" s="118" t="s">
        <v>128</v>
      </c>
      <c r="C13" s="119">
        <v>0.0</v>
      </c>
      <c r="D13" s="119">
        <v>1.0</v>
      </c>
      <c r="E13" s="119">
        <v>2.0</v>
      </c>
      <c r="F13" s="119">
        <v>3.0</v>
      </c>
      <c r="G13" s="119">
        <v>4.0</v>
      </c>
      <c r="H13" s="119">
        <v>5.0</v>
      </c>
      <c r="I13" s="119">
        <v>6.0</v>
      </c>
      <c r="J13" s="119">
        <v>7.0</v>
      </c>
      <c r="K13" s="119">
        <v>8.0</v>
      </c>
      <c r="L13" s="119">
        <v>9.0</v>
      </c>
      <c r="M13" s="119">
        <v>10.0</v>
      </c>
      <c r="N13" s="119">
        <v>11.0</v>
      </c>
      <c r="O13" s="119">
        <v>12.0</v>
      </c>
      <c r="P13" s="119">
        <v>13.0</v>
      </c>
      <c r="Q13" s="119">
        <v>14.0</v>
      </c>
    </row>
    <row r="14">
      <c r="A14" s="120" t="s">
        <v>129</v>
      </c>
      <c r="B14" s="121">
        <f>sum(B15:B22)</f>
        <v>920.6</v>
      </c>
      <c r="C14" s="122">
        <v>870.0</v>
      </c>
      <c r="D14" s="123">
        <f>C14*0.92</f>
        <v>800.4</v>
      </c>
      <c r="E14" s="123">
        <f t="shared" ref="E14:F14" si="1">D14*0.93</f>
        <v>744.372</v>
      </c>
      <c r="F14" s="123">
        <f t="shared" si="1"/>
        <v>692.26596</v>
      </c>
      <c r="G14" s="123">
        <f>F14*0.98</f>
        <v>678.4206408</v>
      </c>
      <c r="H14" s="123">
        <f>G14*0.94</f>
        <v>637.7154024</v>
      </c>
      <c r="I14" s="123">
        <f>H14*0.98</f>
        <v>624.9610943</v>
      </c>
      <c r="J14" s="123">
        <f>I14*0.92</f>
        <v>574.9642068</v>
      </c>
      <c r="K14" s="123">
        <f>J14*0.9</f>
        <v>517.4677861</v>
      </c>
      <c r="L14" s="123">
        <f>K14*0.98</f>
        <v>507.1184304</v>
      </c>
      <c r="M14" s="123">
        <f>L14*0.99</f>
        <v>502.0472461</v>
      </c>
      <c r="N14" s="123">
        <f>M14*0.95</f>
        <v>476.9448838</v>
      </c>
      <c r="O14" s="123">
        <f>N14*0.91</f>
        <v>434.0198442</v>
      </c>
      <c r="P14" s="123">
        <f>O14*0.9</f>
        <v>390.6178598</v>
      </c>
      <c r="Q14" s="124">
        <f>P14*0.98</f>
        <v>382.8055026</v>
      </c>
    </row>
    <row r="15">
      <c r="A15" s="125" t="s">
        <v>130</v>
      </c>
      <c r="B15" s="126">
        <f>310*0.9</f>
        <v>279</v>
      </c>
      <c r="C15" s="127">
        <v>262.0</v>
      </c>
      <c r="D15" s="84">
        <f>C15*0.93</f>
        <v>243.66</v>
      </c>
      <c r="E15" s="84">
        <f t="shared" ref="E15:G15" si="2">D15*0.95</f>
        <v>231.477</v>
      </c>
      <c r="F15" s="84">
        <f t="shared" si="2"/>
        <v>219.90315</v>
      </c>
      <c r="G15" s="84">
        <f t="shared" si="2"/>
        <v>208.9079925</v>
      </c>
      <c r="H15" s="84">
        <f>G15*0.9</f>
        <v>188.0171933</v>
      </c>
      <c r="I15" s="84">
        <f>H15*0.94</f>
        <v>176.7361617</v>
      </c>
      <c r="J15" s="84">
        <f t="shared" ref="J15:Q15" si="3">I15*0.95</f>
        <v>167.8993536</v>
      </c>
      <c r="K15" s="84">
        <f t="shared" si="3"/>
        <v>159.5043859</v>
      </c>
      <c r="L15" s="84">
        <f t="shared" si="3"/>
        <v>151.5291666</v>
      </c>
      <c r="M15" s="84">
        <f t="shared" si="3"/>
        <v>143.9527083</v>
      </c>
      <c r="N15" s="84">
        <f t="shared" si="3"/>
        <v>136.7550729</v>
      </c>
      <c r="O15" s="84">
        <f t="shared" si="3"/>
        <v>129.9173192</v>
      </c>
      <c r="P15" s="84">
        <f t="shared" si="3"/>
        <v>123.4214533</v>
      </c>
      <c r="Q15" s="83">
        <f t="shared" si="3"/>
        <v>117.2503806</v>
      </c>
    </row>
    <row r="16">
      <c r="A16" s="125" t="s">
        <v>131</v>
      </c>
      <c r="B16" s="126">
        <f>206*0.8</f>
        <v>164.8</v>
      </c>
      <c r="C16" s="127">
        <v>162.0</v>
      </c>
      <c r="D16" s="84">
        <f t="shared" ref="D16:Q16" si="4">C16*0.95</f>
        <v>153.9</v>
      </c>
      <c r="E16" s="84">
        <f t="shared" si="4"/>
        <v>146.205</v>
      </c>
      <c r="F16" s="84">
        <f t="shared" si="4"/>
        <v>138.89475</v>
      </c>
      <c r="G16" s="84">
        <f t="shared" si="4"/>
        <v>131.9500125</v>
      </c>
      <c r="H16" s="84">
        <f t="shared" si="4"/>
        <v>125.3525119</v>
      </c>
      <c r="I16" s="84">
        <f t="shared" si="4"/>
        <v>119.0848863</v>
      </c>
      <c r="J16" s="84">
        <f t="shared" si="4"/>
        <v>113.130642</v>
      </c>
      <c r="K16" s="84">
        <f t="shared" si="4"/>
        <v>107.4741099</v>
      </c>
      <c r="L16" s="84">
        <f t="shared" si="4"/>
        <v>102.1004044</v>
      </c>
      <c r="M16" s="84">
        <f t="shared" si="4"/>
        <v>96.99538416</v>
      </c>
      <c r="N16" s="84">
        <f t="shared" si="4"/>
        <v>92.14561495</v>
      </c>
      <c r="O16" s="84">
        <f t="shared" si="4"/>
        <v>87.5383342</v>
      </c>
      <c r="P16" s="84">
        <f t="shared" si="4"/>
        <v>83.16141749</v>
      </c>
      <c r="Q16" s="83">
        <f t="shared" si="4"/>
        <v>79.00334662</v>
      </c>
    </row>
    <row r="17">
      <c r="A17" s="125" t="s">
        <v>132</v>
      </c>
      <c r="B17" s="126">
        <f>172*0.8</f>
        <v>137.6</v>
      </c>
      <c r="C17" s="127">
        <v>132.0</v>
      </c>
      <c r="D17" s="84">
        <f>C17*0.92</f>
        <v>121.44</v>
      </c>
      <c r="E17" s="84">
        <f t="shared" ref="E17:Q17" si="5">D17*0.95</f>
        <v>115.368</v>
      </c>
      <c r="F17" s="84">
        <f t="shared" si="5"/>
        <v>109.5996</v>
      </c>
      <c r="G17" s="84">
        <f t="shared" si="5"/>
        <v>104.11962</v>
      </c>
      <c r="H17" s="84">
        <f t="shared" si="5"/>
        <v>98.913639</v>
      </c>
      <c r="I17" s="84">
        <f t="shared" si="5"/>
        <v>93.96795705</v>
      </c>
      <c r="J17" s="84">
        <f t="shared" si="5"/>
        <v>89.2695592</v>
      </c>
      <c r="K17" s="84">
        <f t="shared" si="5"/>
        <v>84.80608124</v>
      </c>
      <c r="L17" s="84">
        <f t="shared" si="5"/>
        <v>80.56577718</v>
      </c>
      <c r="M17" s="84">
        <f t="shared" si="5"/>
        <v>76.53748832</v>
      </c>
      <c r="N17" s="84">
        <f t="shared" si="5"/>
        <v>72.7106139</v>
      </c>
      <c r="O17" s="84">
        <f t="shared" si="5"/>
        <v>69.07508321</v>
      </c>
      <c r="P17" s="84">
        <f t="shared" si="5"/>
        <v>65.62132905</v>
      </c>
      <c r="Q17" s="83">
        <f t="shared" si="5"/>
        <v>62.34026259</v>
      </c>
    </row>
    <row r="18">
      <c r="A18" s="125" t="s">
        <v>133</v>
      </c>
      <c r="B18" s="126">
        <f>138*0.8</f>
        <v>110.4</v>
      </c>
      <c r="C18" s="127">
        <v>106.0</v>
      </c>
      <c r="D18" s="84">
        <f>C18*0.97</f>
        <v>102.82</v>
      </c>
      <c r="E18" s="84">
        <f t="shared" ref="E18:Q18" si="6">D18*0.95</f>
        <v>97.679</v>
      </c>
      <c r="F18" s="84">
        <f t="shared" si="6"/>
        <v>92.79505</v>
      </c>
      <c r="G18" s="84">
        <f t="shared" si="6"/>
        <v>88.1552975</v>
      </c>
      <c r="H18" s="84">
        <f t="shared" si="6"/>
        <v>83.74753263</v>
      </c>
      <c r="I18" s="84">
        <f t="shared" si="6"/>
        <v>79.56015599</v>
      </c>
      <c r="J18" s="84">
        <f t="shared" si="6"/>
        <v>75.58214819</v>
      </c>
      <c r="K18" s="84">
        <f t="shared" si="6"/>
        <v>71.80304078</v>
      </c>
      <c r="L18" s="84">
        <f t="shared" si="6"/>
        <v>68.21288875</v>
      </c>
      <c r="M18" s="84">
        <f t="shared" si="6"/>
        <v>64.80224431</v>
      </c>
      <c r="N18" s="84">
        <f t="shared" si="6"/>
        <v>61.56213209</v>
      </c>
      <c r="O18" s="84">
        <f t="shared" si="6"/>
        <v>58.48402549</v>
      </c>
      <c r="P18" s="84">
        <f t="shared" si="6"/>
        <v>55.55982421</v>
      </c>
      <c r="Q18" s="83">
        <f t="shared" si="6"/>
        <v>52.781833</v>
      </c>
    </row>
    <row r="19">
      <c r="A19" s="125" t="s">
        <v>134</v>
      </c>
      <c r="B19" s="126">
        <f>112*0.8</f>
        <v>89.6</v>
      </c>
      <c r="C19" s="127">
        <v>72.0</v>
      </c>
      <c r="D19" s="84">
        <f>C19*0.93</f>
        <v>66.96</v>
      </c>
      <c r="E19" s="84">
        <f t="shared" ref="E19:Q19" si="7">D19*0.95</f>
        <v>63.612</v>
      </c>
      <c r="F19" s="84">
        <f t="shared" si="7"/>
        <v>60.4314</v>
      </c>
      <c r="G19" s="84">
        <f t="shared" si="7"/>
        <v>57.40983</v>
      </c>
      <c r="H19" s="84">
        <f t="shared" si="7"/>
        <v>54.5393385</v>
      </c>
      <c r="I19" s="84">
        <f t="shared" si="7"/>
        <v>51.81237158</v>
      </c>
      <c r="J19" s="84">
        <f t="shared" si="7"/>
        <v>49.221753</v>
      </c>
      <c r="K19" s="84">
        <f t="shared" si="7"/>
        <v>46.76066535</v>
      </c>
      <c r="L19" s="84">
        <f t="shared" si="7"/>
        <v>44.42263208</v>
      </c>
      <c r="M19" s="84">
        <f t="shared" si="7"/>
        <v>42.20150048</v>
      </c>
      <c r="N19" s="84">
        <f t="shared" si="7"/>
        <v>40.09142545</v>
      </c>
      <c r="O19" s="84">
        <f t="shared" si="7"/>
        <v>38.08685418</v>
      </c>
      <c r="P19" s="84">
        <f t="shared" si="7"/>
        <v>36.18251147</v>
      </c>
      <c r="Q19" s="83">
        <f t="shared" si="7"/>
        <v>34.3733859</v>
      </c>
    </row>
    <row r="20">
      <c r="A20" s="125" t="s">
        <v>135</v>
      </c>
      <c r="B20" s="126">
        <f>92*0.8</f>
        <v>73.6</v>
      </c>
      <c r="C20" s="127">
        <v>68.0</v>
      </c>
      <c r="D20" s="84">
        <f t="shared" ref="D20:Q20" si="8">C20*0.95</f>
        <v>64.6</v>
      </c>
      <c r="E20" s="84">
        <f t="shared" si="8"/>
        <v>61.37</v>
      </c>
      <c r="F20" s="84">
        <f t="shared" si="8"/>
        <v>58.3015</v>
      </c>
      <c r="G20" s="84">
        <f t="shared" si="8"/>
        <v>55.386425</v>
      </c>
      <c r="H20" s="84">
        <f t="shared" si="8"/>
        <v>52.61710375</v>
      </c>
      <c r="I20" s="84">
        <f t="shared" si="8"/>
        <v>49.98624856</v>
      </c>
      <c r="J20" s="84">
        <f t="shared" si="8"/>
        <v>47.48693613</v>
      </c>
      <c r="K20" s="84">
        <f t="shared" si="8"/>
        <v>45.11258933</v>
      </c>
      <c r="L20" s="84">
        <f t="shared" si="8"/>
        <v>42.85695986</v>
      </c>
      <c r="M20" s="84">
        <f t="shared" si="8"/>
        <v>40.71411187</v>
      </c>
      <c r="N20" s="84">
        <f t="shared" si="8"/>
        <v>38.67840627</v>
      </c>
      <c r="O20" s="84">
        <f t="shared" si="8"/>
        <v>36.74448596</v>
      </c>
      <c r="P20" s="84">
        <f t="shared" si="8"/>
        <v>34.90726166</v>
      </c>
      <c r="Q20" s="83">
        <f t="shared" si="8"/>
        <v>33.16189858</v>
      </c>
    </row>
    <row r="21">
      <c r="A21" s="125" t="s">
        <v>136</v>
      </c>
      <c r="B21" s="126">
        <f>58*0.8</f>
        <v>46.4</v>
      </c>
      <c r="C21" s="127">
        <v>42.0</v>
      </c>
      <c r="D21" s="84">
        <f>C21*0.94</f>
        <v>39.48</v>
      </c>
      <c r="E21" s="84">
        <f t="shared" ref="E21:Q21" si="9">D21*0.95</f>
        <v>37.506</v>
      </c>
      <c r="F21" s="84">
        <f t="shared" si="9"/>
        <v>35.6307</v>
      </c>
      <c r="G21" s="84">
        <f t="shared" si="9"/>
        <v>33.849165</v>
      </c>
      <c r="H21" s="84">
        <f t="shared" si="9"/>
        <v>32.15670675</v>
      </c>
      <c r="I21" s="84">
        <f t="shared" si="9"/>
        <v>30.54887141</v>
      </c>
      <c r="J21" s="84">
        <f t="shared" si="9"/>
        <v>29.02142784</v>
      </c>
      <c r="K21" s="84">
        <f t="shared" si="9"/>
        <v>27.57035645</v>
      </c>
      <c r="L21" s="84">
        <f t="shared" si="9"/>
        <v>26.19183863</v>
      </c>
      <c r="M21" s="84">
        <f t="shared" si="9"/>
        <v>24.8822467</v>
      </c>
      <c r="N21" s="84">
        <f t="shared" si="9"/>
        <v>23.63813436</v>
      </c>
      <c r="O21" s="84">
        <f t="shared" si="9"/>
        <v>22.45622764</v>
      </c>
      <c r="P21" s="84">
        <f t="shared" si="9"/>
        <v>21.33341626</v>
      </c>
      <c r="Q21" s="83">
        <f t="shared" si="9"/>
        <v>20.26674545</v>
      </c>
    </row>
    <row r="22">
      <c r="A22" s="125" t="s">
        <v>137</v>
      </c>
      <c r="B22" s="126">
        <f>24*0.8</f>
        <v>19.2</v>
      </c>
      <c r="C22" s="128">
        <v>17.0</v>
      </c>
      <c r="D22" s="129">
        <f>C22*0.96</f>
        <v>16.32</v>
      </c>
      <c r="E22" s="129">
        <f t="shared" ref="E22:Q22" si="10">D22*0.95</f>
        <v>15.504</v>
      </c>
      <c r="F22" s="129">
        <f t="shared" si="10"/>
        <v>14.7288</v>
      </c>
      <c r="G22" s="129">
        <f t="shared" si="10"/>
        <v>13.99236</v>
      </c>
      <c r="H22" s="129">
        <f t="shared" si="10"/>
        <v>13.292742</v>
      </c>
      <c r="I22" s="129">
        <f t="shared" si="10"/>
        <v>12.6281049</v>
      </c>
      <c r="J22" s="129">
        <f t="shared" si="10"/>
        <v>11.99669966</v>
      </c>
      <c r="K22" s="129">
        <f t="shared" si="10"/>
        <v>11.39686467</v>
      </c>
      <c r="L22" s="129">
        <f t="shared" si="10"/>
        <v>10.82702144</v>
      </c>
      <c r="M22" s="129">
        <f t="shared" si="10"/>
        <v>10.28567037</v>
      </c>
      <c r="N22" s="129">
        <f t="shared" si="10"/>
        <v>9.771386848</v>
      </c>
      <c r="O22" s="129">
        <f t="shared" si="10"/>
        <v>9.282817506</v>
      </c>
      <c r="P22" s="129">
        <f t="shared" si="10"/>
        <v>8.818676631</v>
      </c>
      <c r="Q22" s="130">
        <f t="shared" si="10"/>
        <v>8.377742799</v>
      </c>
    </row>
    <row r="25">
      <c r="C25" s="67"/>
      <c r="D25" s="67"/>
      <c r="E25" s="67"/>
      <c r="F25" s="67"/>
      <c r="G25" s="67"/>
      <c r="H25" s="67"/>
      <c r="I25" s="67"/>
      <c r="J25" s="67"/>
      <c r="K25" s="67"/>
      <c r="L25" s="67"/>
      <c r="M25" s="67"/>
      <c r="N25" s="67"/>
      <c r="O25" s="67"/>
      <c r="P25" s="67"/>
      <c r="Q25" s="67"/>
    </row>
    <row r="26">
      <c r="A26" s="115"/>
      <c r="B26" s="40"/>
      <c r="C26" s="116" t="s">
        <v>138</v>
      </c>
      <c r="D26" s="3"/>
      <c r="E26" s="3"/>
      <c r="F26" s="3"/>
      <c r="G26" s="3"/>
      <c r="H26" s="3"/>
      <c r="I26" s="3"/>
      <c r="J26" s="3"/>
      <c r="K26" s="3"/>
      <c r="L26" s="3"/>
      <c r="M26" s="3"/>
      <c r="N26" s="3"/>
      <c r="O26" s="3"/>
      <c r="P26" s="3"/>
      <c r="Q26" s="4"/>
    </row>
    <row r="27">
      <c r="A27" s="44"/>
      <c r="B27" s="21"/>
      <c r="C27" s="116" t="s">
        <v>126</v>
      </c>
      <c r="D27" s="3"/>
      <c r="E27" s="3"/>
      <c r="F27" s="3"/>
      <c r="G27" s="3"/>
      <c r="H27" s="3"/>
      <c r="I27" s="3"/>
      <c r="J27" s="3"/>
      <c r="K27" s="3"/>
      <c r="L27" s="3"/>
      <c r="M27" s="3"/>
      <c r="N27" s="3"/>
      <c r="O27" s="3"/>
      <c r="P27" s="3"/>
      <c r="Q27" s="4"/>
    </row>
    <row r="28">
      <c r="A28" s="117" t="s">
        <v>127</v>
      </c>
      <c r="B28" s="118" t="s">
        <v>128</v>
      </c>
      <c r="C28" s="119">
        <v>0.0</v>
      </c>
      <c r="D28" s="119">
        <v>1.0</v>
      </c>
      <c r="E28" s="119">
        <v>2.0</v>
      </c>
      <c r="F28" s="119">
        <v>3.0</v>
      </c>
      <c r="G28" s="119">
        <v>4.0</v>
      </c>
      <c r="H28" s="119">
        <v>5.0</v>
      </c>
      <c r="I28" s="119">
        <v>6.0</v>
      </c>
      <c r="J28" s="119">
        <v>7.0</v>
      </c>
      <c r="K28" s="119">
        <v>8.0</v>
      </c>
      <c r="L28" s="119">
        <v>9.0</v>
      </c>
      <c r="M28" s="119">
        <v>10.0</v>
      </c>
      <c r="N28" s="119">
        <v>11.0</v>
      </c>
      <c r="O28" s="119">
        <v>12.0</v>
      </c>
      <c r="P28" s="119">
        <v>13.0</v>
      </c>
      <c r="Q28" s="119">
        <v>14.0</v>
      </c>
    </row>
    <row r="29">
      <c r="A29" s="120" t="s">
        <v>129</v>
      </c>
      <c r="B29" s="126">
        <f>sum(B30:B37)</f>
        <v>920.6</v>
      </c>
      <c r="C29" s="131">
        <v>0.95</v>
      </c>
      <c r="D29" s="132">
        <f t="shared" ref="D29:Q29" si="11">D14/$B14</f>
        <v>0.8694329785</v>
      </c>
      <c r="E29" s="132">
        <f t="shared" si="11"/>
        <v>0.80857267</v>
      </c>
      <c r="F29" s="132">
        <f t="shared" si="11"/>
        <v>0.7519725831</v>
      </c>
      <c r="G29" s="132">
        <f t="shared" si="11"/>
        <v>0.7369331314</v>
      </c>
      <c r="H29" s="132">
        <f t="shared" si="11"/>
        <v>0.6927171435</v>
      </c>
      <c r="I29" s="132">
        <f t="shared" si="11"/>
        <v>0.6788628007</v>
      </c>
      <c r="J29" s="132">
        <f t="shared" si="11"/>
        <v>0.6245537766</v>
      </c>
      <c r="K29" s="132">
        <f t="shared" si="11"/>
        <v>0.562098399</v>
      </c>
      <c r="L29" s="132">
        <f t="shared" si="11"/>
        <v>0.550856431</v>
      </c>
      <c r="M29" s="132">
        <f t="shared" si="11"/>
        <v>0.5453478667</v>
      </c>
      <c r="N29" s="132">
        <f t="shared" si="11"/>
        <v>0.5180804733</v>
      </c>
      <c r="O29" s="132">
        <f t="shared" si="11"/>
        <v>0.4714532307</v>
      </c>
      <c r="P29" s="132">
        <f t="shared" si="11"/>
        <v>0.4243079077</v>
      </c>
      <c r="Q29" s="132">
        <f t="shared" si="11"/>
        <v>0.4158217495</v>
      </c>
    </row>
    <row r="30">
      <c r="A30" s="125" t="s">
        <v>130</v>
      </c>
      <c r="B30" s="126">
        <f>310*0.9</f>
        <v>279</v>
      </c>
      <c r="C30" s="133">
        <f t="shared" ref="C30:Q30" si="12">C15/$B15</f>
        <v>0.9390681004</v>
      </c>
      <c r="D30" s="133">
        <f t="shared" si="12"/>
        <v>0.8733333333</v>
      </c>
      <c r="E30" s="133">
        <f t="shared" si="12"/>
        <v>0.8296666667</v>
      </c>
      <c r="F30" s="133">
        <f t="shared" si="12"/>
        <v>0.7881833333</v>
      </c>
      <c r="G30" s="133">
        <f t="shared" si="12"/>
        <v>0.7487741667</v>
      </c>
      <c r="H30" s="133">
        <f t="shared" si="12"/>
        <v>0.67389675</v>
      </c>
      <c r="I30" s="133">
        <f t="shared" si="12"/>
        <v>0.633462945</v>
      </c>
      <c r="J30" s="133">
        <f t="shared" si="12"/>
        <v>0.6017897978</v>
      </c>
      <c r="K30" s="133">
        <f t="shared" si="12"/>
        <v>0.5717003079</v>
      </c>
      <c r="L30" s="133">
        <f t="shared" si="12"/>
        <v>0.5431152925</v>
      </c>
      <c r="M30" s="133">
        <f t="shared" si="12"/>
        <v>0.5159595278</v>
      </c>
      <c r="N30" s="133">
        <f t="shared" si="12"/>
        <v>0.4901615515</v>
      </c>
      <c r="O30" s="133">
        <f t="shared" si="12"/>
        <v>0.4656534739</v>
      </c>
      <c r="P30" s="133">
        <f t="shared" si="12"/>
        <v>0.4423708002</v>
      </c>
      <c r="Q30" s="133">
        <f t="shared" si="12"/>
        <v>0.4202522602</v>
      </c>
    </row>
    <row r="31">
      <c r="A31" s="125" t="s">
        <v>131</v>
      </c>
      <c r="B31" s="126">
        <f>206*0.8</f>
        <v>164.8</v>
      </c>
      <c r="C31" s="133">
        <f t="shared" ref="C31:Q31" si="13">C16/$B16</f>
        <v>0.9830097087</v>
      </c>
      <c r="D31" s="133">
        <f t="shared" si="13"/>
        <v>0.9338592233</v>
      </c>
      <c r="E31" s="133">
        <f t="shared" si="13"/>
        <v>0.8871662621</v>
      </c>
      <c r="F31" s="133">
        <f t="shared" si="13"/>
        <v>0.842807949</v>
      </c>
      <c r="G31" s="133">
        <f t="shared" si="13"/>
        <v>0.8006675516</v>
      </c>
      <c r="H31" s="133">
        <f t="shared" si="13"/>
        <v>0.760634174</v>
      </c>
      <c r="I31" s="133">
        <f t="shared" si="13"/>
        <v>0.7226024653</v>
      </c>
      <c r="J31" s="133">
        <f t="shared" si="13"/>
        <v>0.686472342</v>
      </c>
      <c r="K31" s="133">
        <f t="shared" si="13"/>
        <v>0.6521487249</v>
      </c>
      <c r="L31" s="133">
        <f t="shared" si="13"/>
        <v>0.6195412887</v>
      </c>
      <c r="M31" s="133">
        <f t="shared" si="13"/>
        <v>0.5885642243</v>
      </c>
      <c r="N31" s="133">
        <f t="shared" si="13"/>
        <v>0.559136013</v>
      </c>
      <c r="O31" s="133">
        <f t="shared" si="13"/>
        <v>0.5311792124</v>
      </c>
      <c r="P31" s="133">
        <f t="shared" si="13"/>
        <v>0.5046202518</v>
      </c>
      <c r="Q31" s="133">
        <f t="shared" si="13"/>
        <v>0.4793892392</v>
      </c>
    </row>
    <row r="32">
      <c r="A32" s="125" t="s">
        <v>132</v>
      </c>
      <c r="B32" s="126">
        <f>172*0.8</f>
        <v>137.6</v>
      </c>
      <c r="C32" s="133">
        <f t="shared" ref="C32:Q32" si="14">C17/$B17</f>
        <v>0.9593023256</v>
      </c>
      <c r="D32" s="133">
        <f t="shared" si="14"/>
        <v>0.8825581395</v>
      </c>
      <c r="E32" s="133">
        <f t="shared" si="14"/>
        <v>0.8384302326</v>
      </c>
      <c r="F32" s="133">
        <f t="shared" si="14"/>
        <v>0.7965087209</v>
      </c>
      <c r="G32" s="133">
        <f t="shared" si="14"/>
        <v>0.7566832849</v>
      </c>
      <c r="H32" s="133">
        <f t="shared" si="14"/>
        <v>0.7188491206</v>
      </c>
      <c r="I32" s="133">
        <f t="shared" si="14"/>
        <v>0.6829066646</v>
      </c>
      <c r="J32" s="133">
        <f t="shared" si="14"/>
        <v>0.6487613314</v>
      </c>
      <c r="K32" s="133">
        <f t="shared" si="14"/>
        <v>0.6163232648</v>
      </c>
      <c r="L32" s="133">
        <f t="shared" si="14"/>
        <v>0.5855071016</v>
      </c>
      <c r="M32" s="133">
        <f t="shared" si="14"/>
        <v>0.5562317465</v>
      </c>
      <c r="N32" s="133">
        <f t="shared" si="14"/>
        <v>0.5284201592</v>
      </c>
      <c r="O32" s="133">
        <f t="shared" si="14"/>
        <v>0.5019991512</v>
      </c>
      <c r="P32" s="133">
        <f t="shared" si="14"/>
        <v>0.4768991936</v>
      </c>
      <c r="Q32" s="133">
        <f t="shared" si="14"/>
        <v>0.453054234</v>
      </c>
    </row>
    <row r="33">
      <c r="A33" s="125" t="s">
        <v>133</v>
      </c>
      <c r="B33" s="126">
        <f>138*0.8</f>
        <v>110.4</v>
      </c>
      <c r="C33" s="133">
        <f t="shared" ref="C33:Q33" si="15">C18/$B18</f>
        <v>0.9601449275</v>
      </c>
      <c r="D33" s="133">
        <f t="shared" si="15"/>
        <v>0.9313405797</v>
      </c>
      <c r="E33" s="133">
        <f t="shared" si="15"/>
        <v>0.8847735507</v>
      </c>
      <c r="F33" s="133">
        <f t="shared" si="15"/>
        <v>0.8405348732</v>
      </c>
      <c r="G33" s="133">
        <f t="shared" si="15"/>
        <v>0.7985081295</v>
      </c>
      <c r="H33" s="133">
        <f t="shared" si="15"/>
        <v>0.7585827231</v>
      </c>
      <c r="I33" s="133">
        <f t="shared" si="15"/>
        <v>0.7206535869</v>
      </c>
      <c r="J33" s="133">
        <f t="shared" si="15"/>
        <v>0.6846209076</v>
      </c>
      <c r="K33" s="133">
        <f t="shared" si="15"/>
        <v>0.6503898622</v>
      </c>
      <c r="L33" s="133">
        <f t="shared" si="15"/>
        <v>0.6178703691</v>
      </c>
      <c r="M33" s="133">
        <f t="shared" si="15"/>
        <v>0.5869768506</v>
      </c>
      <c r="N33" s="133">
        <f t="shared" si="15"/>
        <v>0.5576280081</v>
      </c>
      <c r="O33" s="133">
        <f t="shared" si="15"/>
        <v>0.5297466077</v>
      </c>
      <c r="P33" s="133">
        <f t="shared" si="15"/>
        <v>0.5032592773</v>
      </c>
      <c r="Q33" s="133">
        <f t="shared" si="15"/>
        <v>0.4780963134</v>
      </c>
    </row>
    <row r="34">
      <c r="A34" s="125" t="s">
        <v>134</v>
      </c>
      <c r="B34" s="126">
        <f>112*0.8</f>
        <v>89.6</v>
      </c>
      <c r="C34" s="133">
        <f t="shared" ref="C34:Q34" si="16">C19/$B19</f>
        <v>0.8035714286</v>
      </c>
      <c r="D34" s="133">
        <f t="shared" si="16"/>
        <v>0.7473214286</v>
      </c>
      <c r="E34" s="133">
        <f t="shared" si="16"/>
        <v>0.7099553571</v>
      </c>
      <c r="F34" s="133">
        <f t="shared" si="16"/>
        <v>0.6744575893</v>
      </c>
      <c r="G34" s="133">
        <f t="shared" si="16"/>
        <v>0.6407347098</v>
      </c>
      <c r="H34" s="133">
        <f t="shared" si="16"/>
        <v>0.6086979743</v>
      </c>
      <c r="I34" s="133">
        <f t="shared" si="16"/>
        <v>0.5782630756</v>
      </c>
      <c r="J34" s="133">
        <f t="shared" si="16"/>
        <v>0.5493499218</v>
      </c>
      <c r="K34" s="133">
        <f t="shared" si="16"/>
        <v>0.5218824257</v>
      </c>
      <c r="L34" s="133">
        <f t="shared" si="16"/>
        <v>0.4957883045</v>
      </c>
      <c r="M34" s="133">
        <f t="shared" si="16"/>
        <v>0.4709988892</v>
      </c>
      <c r="N34" s="133">
        <f t="shared" si="16"/>
        <v>0.4474489448</v>
      </c>
      <c r="O34" s="133">
        <f t="shared" si="16"/>
        <v>0.4250764975</v>
      </c>
      <c r="P34" s="133">
        <f t="shared" si="16"/>
        <v>0.4038226727</v>
      </c>
      <c r="Q34" s="133">
        <f t="shared" si="16"/>
        <v>0.383631539</v>
      </c>
    </row>
    <row r="35">
      <c r="A35" s="125" t="s">
        <v>135</v>
      </c>
      <c r="B35" s="126">
        <f>92*0.8</f>
        <v>73.6</v>
      </c>
      <c r="C35" s="133">
        <f t="shared" ref="C35:Q35" si="17">C20/$B20</f>
        <v>0.9239130435</v>
      </c>
      <c r="D35" s="133">
        <f t="shared" si="17"/>
        <v>0.8777173913</v>
      </c>
      <c r="E35" s="133">
        <f t="shared" si="17"/>
        <v>0.8338315217</v>
      </c>
      <c r="F35" s="133">
        <f t="shared" si="17"/>
        <v>0.7921399457</v>
      </c>
      <c r="G35" s="133">
        <f t="shared" si="17"/>
        <v>0.7525329484</v>
      </c>
      <c r="H35" s="133">
        <f t="shared" si="17"/>
        <v>0.714906301</v>
      </c>
      <c r="I35" s="133">
        <f t="shared" si="17"/>
        <v>0.6791609859</v>
      </c>
      <c r="J35" s="133">
        <f t="shared" si="17"/>
        <v>0.6452029366</v>
      </c>
      <c r="K35" s="133">
        <f t="shared" si="17"/>
        <v>0.6129427898</v>
      </c>
      <c r="L35" s="133">
        <f t="shared" si="17"/>
        <v>0.5822956503</v>
      </c>
      <c r="M35" s="133">
        <f t="shared" si="17"/>
        <v>0.5531808678</v>
      </c>
      <c r="N35" s="133">
        <f t="shared" si="17"/>
        <v>0.5255218244</v>
      </c>
      <c r="O35" s="133">
        <f t="shared" si="17"/>
        <v>0.4992457332</v>
      </c>
      <c r="P35" s="133">
        <f t="shared" si="17"/>
        <v>0.4742834465</v>
      </c>
      <c r="Q35" s="133">
        <f t="shared" si="17"/>
        <v>0.4505692742</v>
      </c>
    </row>
    <row r="36">
      <c r="A36" s="125" t="s">
        <v>136</v>
      </c>
      <c r="B36" s="126">
        <f>58*0.8</f>
        <v>46.4</v>
      </c>
      <c r="C36" s="133">
        <f t="shared" ref="C36:Q36" si="18">C21/$B21</f>
        <v>0.9051724138</v>
      </c>
      <c r="D36" s="133">
        <f t="shared" si="18"/>
        <v>0.850862069</v>
      </c>
      <c r="E36" s="133">
        <f t="shared" si="18"/>
        <v>0.8083189655</v>
      </c>
      <c r="F36" s="133">
        <f t="shared" si="18"/>
        <v>0.7679030172</v>
      </c>
      <c r="G36" s="133">
        <f t="shared" si="18"/>
        <v>0.7295078664</v>
      </c>
      <c r="H36" s="133">
        <f t="shared" si="18"/>
        <v>0.6930324731</v>
      </c>
      <c r="I36" s="133">
        <f t="shared" si="18"/>
        <v>0.6583808494</v>
      </c>
      <c r="J36" s="133">
        <f t="shared" si="18"/>
        <v>0.6254618069</v>
      </c>
      <c r="K36" s="133">
        <f t="shared" si="18"/>
        <v>0.5941887166</v>
      </c>
      <c r="L36" s="133">
        <f t="shared" si="18"/>
        <v>0.5644792808</v>
      </c>
      <c r="M36" s="133">
        <f t="shared" si="18"/>
        <v>0.5362553167</v>
      </c>
      <c r="N36" s="133">
        <f t="shared" si="18"/>
        <v>0.5094425509</v>
      </c>
      <c r="O36" s="133">
        <f t="shared" si="18"/>
        <v>0.4839704233</v>
      </c>
      <c r="P36" s="133">
        <f t="shared" si="18"/>
        <v>0.4597719022</v>
      </c>
      <c r="Q36" s="133">
        <f t="shared" si="18"/>
        <v>0.4367833071</v>
      </c>
    </row>
    <row r="37">
      <c r="A37" s="125" t="s">
        <v>137</v>
      </c>
      <c r="B37" s="126">
        <f>24*0.8</f>
        <v>19.2</v>
      </c>
      <c r="C37" s="133">
        <f t="shared" ref="C37:Q37" si="19">C22/$B22</f>
        <v>0.8854166667</v>
      </c>
      <c r="D37" s="133">
        <f t="shared" si="19"/>
        <v>0.85</v>
      </c>
      <c r="E37" s="133">
        <f t="shared" si="19"/>
        <v>0.8075</v>
      </c>
      <c r="F37" s="133">
        <f t="shared" si="19"/>
        <v>0.767125</v>
      </c>
      <c r="G37" s="133">
        <f t="shared" si="19"/>
        <v>0.72876875</v>
      </c>
      <c r="H37" s="133">
        <f t="shared" si="19"/>
        <v>0.6923303125</v>
      </c>
      <c r="I37" s="133">
        <f t="shared" si="19"/>
        <v>0.6577137969</v>
      </c>
      <c r="J37" s="133">
        <f t="shared" si="19"/>
        <v>0.624828107</v>
      </c>
      <c r="K37" s="133">
        <f t="shared" si="19"/>
        <v>0.5935867017</v>
      </c>
      <c r="L37" s="133">
        <f t="shared" si="19"/>
        <v>0.5639073666</v>
      </c>
      <c r="M37" s="133">
        <f t="shared" si="19"/>
        <v>0.5357119983</v>
      </c>
      <c r="N37" s="133">
        <f t="shared" si="19"/>
        <v>0.5089263984</v>
      </c>
      <c r="O37" s="133">
        <f t="shared" si="19"/>
        <v>0.4834800784</v>
      </c>
      <c r="P37" s="133">
        <f t="shared" si="19"/>
        <v>0.4593060745</v>
      </c>
      <c r="Q37" s="133">
        <f t="shared" si="19"/>
        <v>0.4363407708</v>
      </c>
    </row>
    <row r="38">
      <c r="A38" s="134" t="s">
        <v>102</v>
      </c>
      <c r="B38" s="21"/>
      <c r="C38" s="102">
        <f t="shared" ref="C38:Q38" si="20">AVERAGE(C29:C37)</f>
        <v>0.923288735</v>
      </c>
      <c r="D38" s="102">
        <f t="shared" si="20"/>
        <v>0.8684916826</v>
      </c>
      <c r="E38" s="102">
        <f t="shared" si="20"/>
        <v>0.8231350252</v>
      </c>
      <c r="F38" s="102">
        <f t="shared" si="20"/>
        <v>0.7801814458</v>
      </c>
      <c r="G38" s="102">
        <f t="shared" si="20"/>
        <v>0.7436789487</v>
      </c>
      <c r="H38" s="102">
        <f t="shared" si="20"/>
        <v>0.7015163302</v>
      </c>
      <c r="I38" s="102">
        <f t="shared" si="20"/>
        <v>0.6680007967</v>
      </c>
      <c r="J38" s="102">
        <f t="shared" si="20"/>
        <v>0.6323378809</v>
      </c>
      <c r="K38" s="102">
        <f t="shared" si="20"/>
        <v>0.5972512436</v>
      </c>
      <c r="L38" s="102">
        <f t="shared" si="20"/>
        <v>0.5692623428</v>
      </c>
      <c r="M38" s="102">
        <f t="shared" si="20"/>
        <v>0.5432474764</v>
      </c>
      <c r="N38" s="102">
        <f t="shared" si="20"/>
        <v>0.5160851026</v>
      </c>
      <c r="O38" s="102">
        <f t="shared" si="20"/>
        <v>0.4879782676</v>
      </c>
      <c r="P38" s="102">
        <f t="shared" si="20"/>
        <v>0.4609601696</v>
      </c>
      <c r="Q38" s="102">
        <f t="shared" si="20"/>
        <v>0.4393265208</v>
      </c>
    </row>
    <row r="41">
      <c r="B41" s="105"/>
      <c r="C41" s="70"/>
      <c r="D41" s="70"/>
      <c r="E41" s="70"/>
      <c r="F41" s="70"/>
      <c r="G41" s="70"/>
      <c r="H41" s="70"/>
      <c r="I41" s="70"/>
      <c r="J41" s="40"/>
    </row>
    <row r="42">
      <c r="B42" s="42"/>
      <c r="J42" s="43"/>
      <c r="L42" s="135" t="s">
        <v>139</v>
      </c>
      <c r="N42" s="136" t="s">
        <v>133</v>
      </c>
    </row>
    <row r="43">
      <c r="B43" s="42"/>
      <c r="J43" s="43"/>
    </row>
    <row r="44">
      <c r="B44" s="42"/>
      <c r="J44" s="43"/>
      <c r="L44" s="137"/>
      <c r="M44" s="137"/>
    </row>
    <row r="45">
      <c r="B45" s="42"/>
      <c r="J45" s="43"/>
      <c r="L45" s="135" t="s">
        <v>140</v>
      </c>
      <c r="N45" s="136" t="s">
        <v>134</v>
      </c>
    </row>
    <row r="46">
      <c r="B46" s="42"/>
      <c r="J46" s="43"/>
    </row>
    <row r="47">
      <c r="B47" s="42"/>
      <c r="J47" s="43"/>
      <c r="L47" s="137"/>
      <c r="M47" s="137"/>
    </row>
    <row r="48">
      <c r="B48" s="42"/>
      <c r="J48" s="43"/>
      <c r="L48" s="135" t="s">
        <v>141</v>
      </c>
      <c r="N48" s="138" t="s">
        <v>142</v>
      </c>
    </row>
    <row r="49">
      <c r="B49" s="42"/>
      <c r="J49" s="43"/>
    </row>
    <row r="50">
      <c r="B50" s="42"/>
      <c r="J50" s="43"/>
    </row>
    <row r="51">
      <c r="B51" s="42"/>
      <c r="J51" s="43"/>
    </row>
    <row r="52">
      <c r="B52" s="42"/>
      <c r="J52" s="43"/>
    </row>
    <row r="53">
      <c r="B53" s="42"/>
      <c r="J53" s="43"/>
    </row>
    <row r="54">
      <c r="B54" s="42"/>
      <c r="J54" s="43"/>
    </row>
    <row r="55">
      <c r="B55" s="42"/>
      <c r="J55" s="43"/>
    </row>
    <row r="56">
      <c r="B56" s="42"/>
      <c r="J56" s="43"/>
    </row>
    <row r="57">
      <c r="B57" s="42"/>
      <c r="J57" s="43"/>
    </row>
    <row r="58">
      <c r="B58" s="42"/>
      <c r="J58" s="43"/>
    </row>
    <row r="59">
      <c r="B59" s="42"/>
      <c r="J59" s="43"/>
    </row>
    <row r="60">
      <c r="B60" s="42"/>
      <c r="J60" s="43"/>
    </row>
    <row r="61">
      <c r="B61" s="44"/>
      <c r="C61" s="20"/>
      <c r="D61" s="20"/>
      <c r="E61" s="20"/>
      <c r="F61" s="20"/>
      <c r="G61" s="20"/>
      <c r="H61" s="20"/>
      <c r="I61" s="20"/>
      <c r="J61" s="21"/>
    </row>
    <row r="65">
      <c r="A65" s="115"/>
      <c r="B65" s="40"/>
      <c r="C65" s="116" t="s">
        <v>143</v>
      </c>
      <c r="D65" s="3"/>
      <c r="E65" s="3"/>
      <c r="F65" s="3"/>
      <c r="G65" s="3"/>
      <c r="H65" s="3"/>
      <c r="I65" s="3"/>
      <c r="J65" s="3"/>
      <c r="K65" s="3"/>
      <c r="L65" s="3"/>
      <c r="M65" s="3"/>
      <c r="N65" s="3"/>
      <c r="O65" s="3"/>
      <c r="P65" s="3"/>
      <c r="Q65" s="4"/>
    </row>
    <row r="66">
      <c r="A66" s="44"/>
      <c r="B66" s="21"/>
      <c r="C66" s="116" t="s">
        <v>126</v>
      </c>
      <c r="D66" s="3"/>
      <c r="E66" s="3"/>
      <c r="F66" s="3"/>
      <c r="G66" s="3"/>
      <c r="H66" s="3"/>
      <c r="I66" s="3"/>
      <c r="J66" s="3"/>
      <c r="K66" s="3"/>
      <c r="L66" s="3"/>
      <c r="M66" s="3"/>
      <c r="N66" s="3"/>
      <c r="O66" s="3"/>
      <c r="P66" s="3"/>
      <c r="Q66" s="4"/>
    </row>
    <row r="67">
      <c r="A67" s="139" t="s">
        <v>144</v>
      </c>
      <c r="B67" s="140" t="s">
        <v>145</v>
      </c>
      <c r="C67" s="119">
        <v>0.0</v>
      </c>
      <c r="D67" s="119">
        <v>1.0</v>
      </c>
      <c r="E67" s="119">
        <v>2.0</v>
      </c>
      <c r="F67" s="119">
        <v>3.0</v>
      </c>
      <c r="G67" s="119">
        <v>4.0</v>
      </c>
      <c r="H67" s="119">
        <v>5.0</v>
      </c>
      <c r="I67" s="119">
        <v>6.0</v>
      </c>
      <c r="J67" s="119">
        <v>7.0</v>
      </c>
      <c r="K67" s="119">
        <v>8.0</v>
      </c>
      <c r="L67" s="119">
        <v>9.0</v>
      </c>
      <c r="M67" s="119">
        <v>10.0</v>
      </c>
      <c r="N67" s="119">
        <v>11.0</v>
      </c>
      <c r="O67" s="119">
        <v>12.0</v>
      </c>
      <c r="P67" s="119">
        <v>13.0</v>
      </c>
      <c r="Q67" s="119">
        <v>14.0</v>
      </c>
    </row>
    <row r="68">
      <c r="A68" s="120" t="s">
        <v>129</v>
      </c>
      <c r="B68" s="121">
        <f>sum(B69:B76)</f>
        <v>1484</v>
      </c>
      <c r="C68" s="122">
        <v>870.0</v>
      </c>
      <c r="D68" s="123">
        <f>C68*0.92</f>
        <v>800.4</v>
      </c>
      <c r="E68" s="123">
        <f t="shared" ref="E68:F68" si="21">D68*0.93</f>
        <v>744.372</v>
      </c>
      <c r="F68" s="123">
        <f t="shared" si="21"/>
        <v>692.26596</v>
      </c>
      <c r="G68" s="123">
        <f>F68*0.98</f>
        <v>678.4206408</v>
      </c>
      <c r="H68" s="123">
        <f>G68*0.94</f>
        <v>637.7154024</v>
      </c>
      <c r="I68" s="123">
        <f>H68*0.98</f>
        <v>624.9610943</v>
      </c>
      <c r="J68" s="123">
        <f>I68*0.92</f>
        <v>574.9642068</v>
      </c>
      <c r="K68" s="123">
        <f>J68*0.9</f>
        <v>517.4677861</v>
      </c>
      <c r="L68" s="123">
        <f>K68*0.98</f>
        <v>507.1184304</v>
      </c>
      <c r="M68" s="123">
        <f>L68*0.99</f>
        <v>502.0472461</v>
      </c>
      <c r="N68" s="123">
        <f>M68*0.95</f>
        <v>476.9448838</v>
      </c>
      <c r="O68" s="123">
        <f>N68*0.91</f>
        <v>434.0198442</v>
      </c>
      <c r="P68" s="123">
        <f>O68*0.9</f>
        <v>390.6178598</v>
      </c>
      <c r="Q68" s="124">
        <f>P68*0.98</f>
        <v>382.8055026</v>
      </c>
    </row>
    <row r="69">
      <c r="A69" s="141" t="s">
        <v>146</v>
      </c>
      <c r="B69" s="142">
        <v>379.0</v>
      </c>
      <c r="C69" s="127">
        <v>262.0</v>
      </c>
      <c r="D69" s="84">
        <f>C69*0.93</f>
        <v>243.66</v>
      </c>
      <c r="E69" s="84">
        <f t="shared" ref="E69:G69" si="22">D69*0.95</f>
        <v>231.477</v>
      </c>
      <c r="F69" s="84">
        <f t="shared" si="22"/>
        <v>219.90315</v>
      </c>
      <c r="G69" s="84">
        <f t="shared" si="22"/>
        <v>208.9079925</v>
      </c>
      <c r="H69" s="84">
        <f>G69*0.9</f>
        <v>188.0171933</v>
      </c>
      <c r="I69" s="84">
        <f>H69*0.94</f>
        <v>176.7361617</v>
      </c>
      <c r="J69" s="84">
        <f t="shared" ref="J69:Q69" si="23">I69*0.95</f>
        <v>167.8993536</v>
      </c>
      <c r="K69" s="84">
        <f t="shared" si="23"/>
        <v>159.5043859</v>
      </c>
      <c r="L69" s="84">
        <f t="shared" si="23"/>
        <v>151.5291666</v>
      </c>
      <c r="M69" s="84">
        <f t="shared" si="23"/>
        <v>143.9527083</v>
      </c>
      <c r="N69" s="84">
        <f t="shared" si="23"/>
        <v>136.7550729</v>
      </c>
      <c r="O69" s="84">
        <f t="shared" si="23"/>
        <v>129.9173192</v>
      </c>
      <c r="P69" s="84">
        <f t="shared" si="23"/>
        <v>123.4214533</v>
      </c>
      <c r="Q69" s="83">
        <f t="shared" si="23"/>
        <v>117.2503806</v>
      </c>
    </row>
    <row r="70">
      <c r="A70" s="141" t="s">
        <v>147</v>
      </c>
      <c r="B70" s="142">
        <v>280.0</v>
      </c>
      <c r="C70" s="127">
        <v>162.0</v>
      </c>
      <c r="D70" s="84">
        <f t="shared" ref="D70:Q70" si="24">C70*0.95</f>
        <v>153.9</v>
      </c>
      <c r="E70" s="84">
        <f t="shared" si="24"/>
        <v>146.205</v>
      </c>
      <c r="F70" s="84">
        <f t="shared" si="24"/>
        <v>138.89475</v>
      </c>
      <c r="G70" s="84">
        <f t="shared" si="24"/>
        <v>131.9500125</v>
      </c>
      <c r="H70" s="84">
        <f t="shared" si="24"/>
        <v>125.3525119</v>
      </c>
      <c r="I70" s="84">
        <f t="shared" si="24"/>
        <v>119.0848863</v>
      </c>
      <c r="J70" s="84">
        <f t="shared" si="24"/>
        <v>113.130642</v>
      </c>
      <c r="K70" s="84">
        <f t="shared" si="24"/>
        <v>107.4741099</v>
      </c>
      <c r="L70" s="84">
        <f t="shared" si="24"/>
        <v>102.1004044</v>
      </c>
      <c r="M70" s="84">
        <f t="shared" si="24"/>
        <v>96.99538416</v>
      </c>
      <c r="N70" s="84">
        <f t="shared" si="24"/>
        <v>92.14561495</v>
      </c>
      <c r="O70" s="84">
        <f t="shared" si="24"/>
        <v>87.5383342</v>
      </c>
      <c r="P70" s="84">
        <f t="shared" si="24"/>
        <v>83.16141749</v>
      </c>
      <c r="Q70" s="83">
        <f t="shared" si="24"/>
        <v>79.00334662</v>
      </c>
    </row>
    <row r="71">
      <c r="A71" s="141" t="s">
        <v>148</v>
      </c>
      <c r="B71" s="126">
        <v>200.0</v>
      </c>
      <c r="C71" s="127">
        <v>132.0</v>
      </c>
      <c r="D71" s="84">
        <f>C71*0.92</f>
        <v>121.44</v>
      </c>
      <c r="E71" s="84">
        <f t="shared" ref="E71:Q71" si="25">D71*0.95</f>
        <v>115.368</v>
      </c>
      <c r="F71" s="84">
        <f t="shared" si="25"/>
        <v>109.5996</v>
      </c>
      <c r="G71" s="84">
        <f t="shared" si="25"/>
        <v>104.11962</v>
      </c>
      <c r="H71" s="84">
        <f t="shared" si="25"/>
        <v>98.913639</v>
      </c>
      <c r="I71" s="84">
        <f t="shared" si="25"/>
        <v>93.96795705</v>
      </c>
      <c r="J71" s="84">
        <f t="shared" si="25"/>
        <v>89.2695592</v>
      </c>
      <c r="K71" s="84">
        <f t="shared" si="25"/>
        <v>84.80608124</v>
      </c>
      <c r="L71" s="84">
        <f t="shared" si="25"/>
        <v>80.56577718</v>
      </c>
      <c r="M71" s="84">
        <f t="shared" si="25"/>
        <v>76.53748832</v>
      </c>
      <c r="N71" s="84">
        <f t="shared" si="25"/>
        <v>72.7106139</v>
      </c>
      <c r="O71" s="84">
        <f t="shared" si="25"/>
        <v>69.07508321</v>
      </c>
      <c r="P71" s="84">
        <f t="shared" si="25"/>
        <v>65.62132905</v>
      </c>
      <c r="Q71" s="83">
        <f t="shared" si="25"/>
        <v>62.34026259</v>
      </c>
    </row>
    <row r="72">
      <c r="A72" s="141" t="s">
        <v>149</v>
      </c>
      <c r="B72" s="126">
        <v>175.0</v>
      </c>
      <c r="C72" s="127">
        <v>106.0</v>
      </c>
      <c r="D72" s="84">
        <f>C72*0.97</f>
        <v>102.82</v>
      </c>
      <c r="E72" s="84">
        <f t="shared" ref="E72:Q72" si="26">D72*0.95</f>
        <v>97.679</v>
      </c>
      <c r="F72" s="84">
        <f t="shared" si="26"/>
        <v>92.79505</v>
      </c>
      <c r="G72" s="84">
        <f t="shared" si="26"/>
        <v>88.1552975</v>
      </c>
      <c r="H72" s="84">
        <f t="shared" si="26"/>
        <v>83.74753263</v>
      </c>
      <c r="I72" s="84">
        <f t="shared" si="26"/>
        <v>79.56015599</v>
      </c>
      <c r="J72" s="84">
        <f t="shared" si="26"/>
        <v>75.58214819</v>
      </c>
      <c r="K72" s="84">
        <f t="shared" si="26"/>
        <v>71.80304078</v>
      </c>
      <c r="L72" s="84">
        <f t="shared" si="26"/>
        <v>68.21288875</v>
      </c>
      <c r="M72" s="84">
        <f t="shared" si="26"/>
        <v>64.80224431</v>
      </c>
      <c r="N72" s="84">
        <f t="shared" si="26"/>
        <v>61.56213209</v>
      </c>
      <c r="O72" s="84">
        <f t="shared" si="26"/>
        <v>58.48402549</v>
      </c>
      <c r="P72" s="84">
        <f t="shared" si="26"/>
        <v>55.55982421</v>
      </c>
      <c r="Q72" s="83">
        <f t="shared" si="26"/>
        <v>52.781833</v>
      </c>
    </row>
    <row r="73">
      <c r="A73" s="141" t="s">
        <v>150</v>
      </c>
      <c r="B73" s="126">
        <v>120.0</v>
      </c>
      <c r="C73" s="127">
        <v>72.0</v>
      </c>
      <c r="D73" s="84">
        <f>C73*0.93</f>
        <v>66.96</v>
      </c>
      <c r="E73" s="84">
        <f t="shared" ref="E73:Q73" si="27">D73*0.95</f>
        <v>63.612</v>
      </c>
      <c r="F73" s="84">
        <f t="shared" si="27"/>
        <v>60.4314</v>
      </c>
      <c r="G73" s="84">
        <f t="shared" si="27"/>
        <v>57.40983</v>
      </c>
      <c r="H73" s="84">
        <f t="shared" si="27"/>
        <v>54.5393385</v>
      </c>
      <c r="I73" s="84">
        <f t="shared" si="27"/>
        <v>51.81237158</v>
      </c>
      <c r="J73" s="84">
        <f t="shared" si="27"/>
        <v>49.221753</v>
      </c>
      <c r="K73" s="84">
        <f t="shared" si="27"/>
        <v>46.76066535</v>
      </c>
      <c r="L73" s="84">
        <f t="shared" si="27"/>
        <v>44.42263208</v>
      </c>
      <c r="M73" s="84">
        <f t="shared" si="27"/>
        <v>42.20150048</v>
      </c>
      <c r="N73" s="84">
        <f t="shared" si="27"/>
        <v>40.09142545</v>
      </c>
      <c r="O73" s="84">
        <f t="shared" si="27"/>
        <v>38.08685418</v>
      </c>
      <c r="P73" s="84">
        <f t="shared" si="27"/>
        <v>36.18251147</v>
      </c>
      <c r="Q73" s="83">
        <f t="shared" si="27"/>
        <v>34.3733859</v>
      </c>
    </row>
    <row r="74">
      <c r="A74" s="141" t="s">
        <v>151</v>
      </c>
      <c r="B74" s="142">
        <v>100.0</v>
      </c>
      <c r="C74" s="127">
        <v>68.0</v>
      </c>
      <c r="D74" s="84">
        <f t="shared" ref="D74:Q74" si="28">C74*0.95</f>
        <v>64.6</v>
      </c>
      <c r="E74" s="84">
        <f t="shared" si="28"/>
        <v>61.37</v>
      </c>
      <c r="F74" s="84">
        <f t="shared" si="28"/>
        <v>58.3015</v>
      </c>
      <c r="G74" s="84">
        <f t="shared" si="28"/>
        <v>55.386425</v>
      </c>
      <c r="H74" s="84">
        <f t="shared" si="28"/>
        <v>52.61710375</v>
      </c>
      <c r="I74" s="84">
        <f t="shared" si="28"/>
        <v>49.98624856</v>
      </c>
      <c r="J74" s="84">
        <f t="shared" si="28"/>
        <v>47.48693613</v>
      </c>
      <c r="K74" s="84">
        <f t="shared" si="28"/>
        <v>45.11258933</v>
      </c>
      <c r="L74" s="84">
        <f t="shared" si="28"/>
        <v>42.85695986</v>
      </c>
      <c r="M74" s="84">
        <f t="shared" si="28"/>
        <v>40.71411187</v>
      </c>
      <c r="N74" s="84">
        <f t="shared" si="28"/>
        <v>38.67840627</v>
      </c>
      <c r="O74" s="84">
        <f t="shared" si="28"/>
        <v>36.74448596</v>
      </c>
      <c r="P74" s="84">
        <f t="shared" si="28"/>
        <v>34.90726166</v>
      </c>
      <c r="Q74" s="83">
        <f t="shared" si="28"/>
        <v>33.16189858</v>
      </c>
    </row>
    <row r="75">
      <c r="A75" s="141" t="s">
        <v>152</v>
      </c>
      <c r="B75" s="126">
        <v>130.0</v>
      </c>
      <c r="C75" s="127">
        <v>42.0</v>
      </c>
      <c r="D75" s="84">
        <f>C75*0.94</f>
        <v>39.48</v>
      </c>
      <c r="E75" s="84">
        <f t="shared" ref="E75:Q75" si="29">D75*0.95</f>
        <v>37.506</v>
      </c>
      <c r="F75" s="84">
        <f t="shared" si="29"/>
        <v>35.6307</v>
      </c>
      <c r="G75" s="84">
        <f t="shared" si="29"/>
        <v>33.849165</v>
      </c>
      <c r="H75" s="84">
        <f t="shared" si="29"/>
        <v>32.15670675</v>
      </c>
      <c r="I75" s="84">
        <f t="shared" si="29"/>
        <v>30.54887141</v>
      </c>
      <c r="J75" s="84">
        <f t="shared" si="29"/>
        <v>29.02142784</v>
      </c>
      <c r="K75" s="84">
        <f t="shared" si="29"/>
        <v>27.57035645</v>
      </c>
      <c r="L75" s="84">
        <f t="shared" si="29"/>
        <v>26.19183863</v>
      </c>
      <c r="M75" s="84">
        <f t="shared" si="29"/>
        <v>24.8822467</v>
      </c>
      <c r="N75" s="84">
        <f t="shared" si="29"/>
        <v>23.63813436</v>
      </c>
      <c r="O75" s="84">
        <f t="shared" si="29"/>
        <v>22.45622764</v>
      </c>
      <c r="P75" s="84">
        <f t="shared" si="29"/>
        <v>21.33341626</v>
      </c>
      <c r="Q75" s="83">
        <f t="shared" si="29"/>
        <v>20.26674545</v>
      </c>
    </row>
    <row r="76">
      <c r="A76" s="141" t="s">
        <v>153</v>
      </c>
      <c r="B76" s="126">
        <v>100.0</v>
      </c>
      <c r="C76" s="128">
        <v>17.0</v>
      </c>
      <c r="D76" s="129">
        <f>C76*0.96</f>
        <v>16.32</v>
      </c>
      <c r="E76" s="129">
        <f t="shared" ref="E76:Q76" si="30">D76*0.95</f>
        <v>15.504</v>
      </c>
      <c r="F76" s="129">
        <f t="shared" si="30"/>
        <v>14.7288</v>
      </c>
      <c r="G76" s="129">
        <f t="shared" si="30"/>
        <v>13.99236</v>
      </c>
      <c r="H76" s="129">
        <f t="shared" si="30"/>
        <v>13.292742</v>
      </c>
      <c r="I76" s="129">
        <f t="shared" si="30"/>
        <v>12.6281049</v>
      </c>
      <c r="J76" s="129">
        <f t="shared" si="30"/>
        <v>11.99669966</v>
      </c>
      <c r="K76" s="129">
        <f t="shared" si="30"/>
        <v>11.39686467</v>
      </c>
      <c r="L76" s="129">
        <f t="shared" si="30"/>
        <v>10.82702144</v>
      </c>
      <c r="M76" s="129">
        <f t="shared" si="30"/>
        <v>10.28567037</v>
      </c>
      <c r="N76" s="129">
        <f t="shared" si="30"/>
        <v>9.771386848</v>
      </c>
      <c r="O76" s="129">
        <f t="shared" si="30"/>
        <v>9.282817506</v>
      </c>
      <c r="P76" s="129">
        <f t="shared" si="30"/>
        <v>8.818676631</v>
      </c>
      <c r="Q76" s="130">
        <f t="shared" si="30"/>
        <v>8.377742799</v>
      </c>
    </row>
    <row r="79">
      <c r="C79" s="67"/>
      <c r="D79" s="67"/>
      <c r="E79" s="67"/>
      <c r="F79" s="67"/>
      <c r="G79" s="67"/>
      <c r="H79" s="67"/>
      <c r="I79" s="67"/>
      <c r="J79" s="67"/>
      <c r="K79" s="67"/>
      <c r="L79" s="67"/>
      <c r="M79" s="67"/>
      <c r="N79" s="67"/>
      <c r="O79" s="67"/>
      <c r="P79" s="67"/>
      <c r="Q79" s="67"/>
    </row>
    <row r="80">
      <c r="A80" s="115"/>
      <c r="B80" s="40"/>
      <c r="C80" s="116" t="s">
        <v>154</v>
      </c>
      <c r="D80" s="3"/>
      <c r="E80" s="3"/>
      <c r="F80" s="3"/>
      <c r="G80" s="3"/>
      <c r="H80" s="3"/>
      <c r="I80" s="3"/>
      <c r="J80" s="3"/>
      <c r="K80" s="3"/>
      <c r="L80" s="3"/>
      <c r="M80" s="3"/>
      <c r="N80" s="3"/>
      <c r="O80" s="3"/>
      <c r="P80" s="3"/>
      <c r="Q80" s="4"/>
    </row>
    <row r="81">
      <c r="A81" s="44"/>
      <c r="B81" s="21"/>
      <c r="C81" s="116" t="s">
        <v>126</v>
      </c>
      <c r="D81" s="3"/>
      <c r="E81" s="3"/>
      <c r="F81" s="3"/>
      <c r="G81" s="3"/>
      <c r="H81" s="3"/>
      <c r="I81" s="3"/>
      <c r="J81" s="3"/>
      <c r="K81" s="3"/>
      <c r="L81" s="3"/>
      <c r="M81" s="3"/>
      <c r="N81" s="3"/>
      <c r="O81" s="3"/>
      <c r="P81" s="3"/>
      <c r="Q81" s="4"/>
    </row>
    <row r="82">
      <c r="A82" s="117" t="s">
        <v>127</v>
      </c>
      <c r="B82" s="118" t="s">
        <v>128</v>
      </c>
      <c r="C82" s="119">
        <v>0.0</v>
      </c>
      <c r="D82" s="119">
        <v>1.0</v>
      </c>
      <c r="E82" s="119">
        <v>2.0</v>
      </c>
      <c r="F82" s="119">
        <v>3.0</v>
      </c>
      <c r="G82" s="119">
        <v>4.0</v>
      </c>
      <c r="H82" s="119">
        <v>5.0</v>
      </c>
      <c r="I82" s="119">
        <v>6.0</v>
      </c>
      <c r="J82" s="119">
        <v>7.0</v>
      </c>
      <c r="K82" s="119">
        <v>8.0</v>
      </c>
      <c r="L82" s="119">
        <v>9.0</v>
      </c>
      <c r="M82" s="119">
        <v>10.0</v>
      </c>
      <c r="N82" s="119">
        <v>11.0</v>
      </c>
      <c r="O82" s="119">
        <v>12.0</v>
      </c>
      <c r="P82" s="119">
        <v>13.0</v>
      </c>
      <c r="Q82" s="119">
        <v>14.0</v>
      </c>
    </row>
    <row r="83">
      <c r="A83" s="120" t="s">
        <v>129</v>
      </c>
      <c r="B83" s="121">
        <f>sum(B84:B91)</f>
        <v>1484</v>
      </c>
      <c r="C83" s="143">
        <f t="shared" ref="C83:Q83" si="31">C68/$B83</f>
        <v>0.5862533693</v>
      </c>
      <c r="D83" s="143">
        <f t="shared" si="31"/>
        <v>0.5393530997</v>
      </c>
      <c r="E83" s="143">
        <f t="shared" si="31"/>
        <v>0.5015983827</v>
      </c>
      <c r="F83" s="143">
        <f t="shared" si="31"/>
        <v>0.466486496</v>
      </c>
      <c r="G83" s="143">
        <f t="shared" si="31"/>
        <v>0.457156766</v>
      </c>
      <c r="H83" s="143">
        <f t="shared" si="31"/>
        <v>0.4297273601</v>
      </c>
      <c r="I83" s="143">
        <f t="shared" si="31"/>
        <v>0.4211328129</v>
      </c>
      <c r="J83" s="143">
        <f t="shared" si="31"/>
        <v>0.3874421878</v>
      </c>
      <c r="K83" s="143">
        <f t="shared" si="31"/>
        <v>0.3486979691</v>
      </c>
      <c r="L83" s="143">
        <f t="shared" si="31"/>
        <v>0.3417240097</v>
      </c>
      <c r="M83" s="143">
        <f t="shared" si="31"/>
        <v>0.3383067696</v>
      </c>
      <c r="N83" s="143">
        <f t="shared" si="31"/>
        <v>0.3213914311</v>
      </c>
      <c r="O83" s="143">
        <f t="shared" si="31"/>
        <v>0.2924662023</v>
      </c>
      <c r="P83" s="143">
        <f t="shared" si="31"/>
        <v>0.2632195821</v>
      </c>
      <c r="Q83" s="143">
        <f t="shared" si="31"/>
        <v>0.2579551904</v>
      </c>
    </row>
    <row r="84">
      <c r="A84" s="141" t="s">
        <v>146</v>
      </c>
      <c r="B84" s="142">
        <v>379.0</v>
      </c>
      <c r="C84" s="143">
        <f t="shared" ref="C84:Q84" si="32">C69/$B84</f>
        <v>0.691292876</v>
      </c>
      <c r="D84" s="143">
        <f t="shared" si="32"/>
        <v>0.6429023747</v>
      </c>
      <c r="E84" s="143">
        <f t="shared" si="32"/>
        <v>0.6107572559</v>
      </c>
      <c r="F84" s="143">
        <f t="shared" si="32"/>
        <v>0.5802193931</v>
      </c>
      <c r="G84" s="143">
        <f t="shared" si="32"/>
        <v>0.5512084235</v>
      </c>
      <c r="H84" s="143">
        <f t="shared" si="32"/>
        <v>0.4960875811</v>
      </c>
      <c r="I84" s="143">
        <f t="shared" si="32"/>
        <v>0.4663223263</v>
      </c>
      <c r="J84" s="143">
        <f t="shared" si="32"/>
        <v>0.44300621</v>
      </c>
      <c r="K84" s="143">
        <f t="shared" si="32"/>
        <v>0.4208558995</v>
      </c>
      <c r="L84" s="143">
        <f t="shared" si="32"/>
        <v>0.3998131045</v>
      </c>
      <c r="M84" s="143">
        <f t="shared" si="32"/>
        <v>0.3798224493</v>
      </c>
      <c r="N84" s="143">
        <f t="shared" si="32"/>
        <v>0.3608313268</v>
      </c>
      <c r="O84" s="143">
        <f t="shared" si="32"/>
        <v>0.3427897605</v>
      </c>
      <c r="P84" s="143">
        <f t="shared" si="32"/>
        <v>0.3256502724</v>
      </c>
      <c r="Q84" s="143">
        <f t="shared" si="32"/>
        <v>0.3093677588</v>
      </c>
    </row>
    <row r="85">
      <c r="A85" s="141" t="s">
        <v>147</v>
      </c>
      <c r="B85" s="142">
        <v>280.0</v>
      </c>
      <c r="C85" s="143">
        <f t="shared" ref="C85:Q85" si="33">C70/$B85</f>
        <v>0.5785714286</v>
      </c>
      <c r="D85" s="143">
        <f t="shared" si="33"/>
        <v>0.5496428571</v>
      </c>
      <c r="E85" s="143">
        <f t="shared" si="33"/>
        <v>0.5221607143</v>
      </c>
      <c r="F85" s="143">
        <f t="shared" si="33"/>
        <v>0.4960526786</v>
      </c>
      <c r="G85" s="143">
        <f t="shared" si="33"/>
        <v>0.4712500446</v>
      </c>
      <c r="H85" s="143">
        <f t="shared" si="33"/>
        <v>0.4476875424</v>
      </c>
      <c r="I85" s="143">
        <f t="shared" si="33"/>
        <v>0.4253031653</v>
      </c>
      <c r="J85" s="143">
        <f t="shared" si="33"/>
        <v>0.404038007</v>
      </c>
      <c r="K85" s="143">
        <f t="shared" si="33"/>
        <v>0.3838361067</v>
      </c>
      <c r="L85" s="143">
        <f t="shared" si="33"/>
        <v>0.3646443013</v>
      </c>
      <c r="M85" s="143">
        <f t="shared" si="33"/>
        <v>0.3464120863</v>
      </c>
      <c r="N85" s="143">
        <f t="shared" si="33"/>
        <v>0.329091482</v>
      </c>
      <c r="O85" s="143">
        <f t="shared" si="33"/>
        <v>0.3126369079</v>
      </c>
      <c r="P85" s="143">
        <f t="shared" si="33"/>
        <v>0.2970050625</v>
      </c>
      <c r="Q85" s="143">
        <f t="shared" si="33"/>
        <v>0.2821548093</v>
      </c>
    </row>
    <row r="86">
      <c r="A86" s="141" t="s">
        <v>148</v>
      </c>
      <c r="B86" s="126">
        <v>200.0</v>
      </c>
      <c r="C86" s="143">
        <f t="shared" ref="C86:Q86" si="34">C71/$B86</f>
        <v>0.66</v>
      </c>
      <c r="D86" s="143">
        <f t="shared" si="34"/>
        <v>0.6072</v>
      </c>
      <c r="E86" s="143">
        <f t="shared" si="34"/>
        <v>0.57684</v>
      </c>
      <c r="F86" s="143">
        <f t="shared" si="34"/>
        <v>0.547998</v>
      </c>
      <c r="G86" s="143">
        <f t="shared" si="34"/>
        <v>0.5205981</v>
      </c>
      <c r="H86" s="143">
        <f t="shared" si="34"/>
        <v>0.494568195</v>
      </c>
      <c r="I86" s="143">
        <f t="shared" si="34"/>
        <v>0.4698397853</v>
      </c>
      <c r="J86" s="143">
        <f t="shared" si="34"/>
        <v>0.446347796</v>
      </c>
      <c r="K86" s="143">
        <f t="shared" si="34"/>
        <v>0.4240304062</v>
      </c>
      <c r="L86" s="143">
        <f t="shared" si="34"/>
        <v>0.4028288859</v>
      </c>
      <c r="M86" s="143">
        <f t="shared" si="34"/>
        <v>0.3826874416</v>
      </c>
      <c r="N86" s="143">
        <f t="shared" si="34"/>
        <v>0.3635530695</v>
      </c>
      <c r="O86" s="143">
        <f t="shared" si="34"/>
        <v>0.345375416</v>
      </c>
      <c r="P86" s="143">
        <f t="shared" si="34"/>
        <v>0.3281066452</v>
      </c>
      <c r="Q86" s="143">
        <f t="shared" si="34"/>
        <v>0.311701313</v>
      </c>
    </row>
    <row r="87">
      <c r="A87" s="141" t="s">
        <v>149</v>
      </c>
      <c r="B87" s="126">
        <v>175.0</v>
      </c>
      <c r="C87" s="143">
        <f t="shared" ref="C87:Q87" si="35">C72/$B87</f>
        <v>0.6057142857</v>
      </c>
      <c r="D87" s="143">
        <f t="shared" si="35"/>
        <v>0.5875428571</v>
      </c>
      <c r="E87" s="143">
        <f t="shared" si="35"/>
        <v>0.5581657143</v>
      </c>
      <c r="F87" s="143">
        <f t="shared" si="35"/>
        <v>0.5302574286</v>
      </c>
      <c r="G87" s="143">
        <f t="shared" si="35"/>
        <v>0.5037445571</v>
      </c>
      <c r="H87" s="143">
        <f t="shared" si="35"/>
        <v>0.4785573293</v>
      </c>
      <c r="I87" s="143">
        <f t="shared" si="35"/>
        <v>0.4546294628</v>
      </c>
      <c r="J87" s="143">
        <f t="shared" si="35"/>
        <v>0.4318979897</v>
      </c>
      <c r="K87" s="143">
        <f t="shared" si="35"/>
        <v>0.4103030902</v>
      </c>
      <c r="L87" s="143">
        <f t="shared" si="35"/>
        <v>0.3897879357</v>
      </c>
      <c r="M87" s="143">
        <f t="shared" si="35"/>
        <v>0.3702985389</v>
      </c>
      <c r="N87" s="143">
        <f t="shared" si="35"/>
        <v>0.351783612</v>
      </c>
      <c r="O87" s="143">
        <f t="shared" si="35"/>
        <v>0.3341944314</v>
      </c>
      <c r="P87" s="143">
        <f t="shared" si="35"/>
        <v>0.3174847098</v>
      </c>
      <c r="Q87" s="143">
        <f t="shared" si="35"/>
        <v>0.3016104743</v>
      </c>
    </row>
    <row r="88">
      <c r="A88" s="141" t="s">
        <v>150</v>
      </c>
      <c r="B88" s="126">
        <v>120.0</v>
      </c>
      <c r="C88" s="143">
        <f t="shared" ref="C88:Q88" si="36">C73/$B88</f>
        <v>0.6</v>
      </c>
      <c r="D88" s="143">
        <f t="shared" si="36"/>
        <v>0.558</v>
      </c>
      <c r="E88" s="143">
        <f t="shared" si="36"/>
        <v>0.5301</v>
      </c>
      <c r="F88" s="143">
        <f t="shared" si="36"/>
        <v>0.503595</v>
      </c>
      <c r="G88" s="143">
        <f t="shared" si="36"/>
        <v>0.47841525</v>
      </c>
      <c r="H88" s="143">
        <f t="shared" si="36"/>
        <v>0.4544944875</v>
      </c>
      <c r="I88" s="143">
        <f t="shared" si="36"/>
        <v>0.4317697631</v>
      </c>
      <c r="J88" s="143">
        <f t="shared" si="36"/>
        <v>0.410181275</v>
      </c>
      <c r="K88" s="143">
        <f t="shared" si="36"/>
        <v>0.3896722112</v>
      </c>
      <c r="L88" s="143">
        <f t="shared" si="36"/>
        <v>0.3701886007</v>
      </c>
      <c r="M88" s="143">
        <f t="shared" si="36"/>
        <v>0.3516791706</v>
      </c>
      <c r="N88" s="143">
        <f t="shared" si="36"/>
        <v>0.3340952121</v>
      </c>
      <c r="O88" s="143">
        <f t="shared" si="36"/>
        <v>0.3173904515</v>
      </c>
      <c r="P88" s="143">
        <f t="shared" si="36"/>
        <v>0.3015209289</v>
      </c>
      <c r="Q88" s="143">
        <f t="shared" si="36"/>
        <v>0.2864448825</v>
      </c>
    </row>
    <row r="89">
      <c r="A89" s="141" t="s">
        <v>151</v>
      </c>
      <c r="B89" s="142">
        <v>100.0</v>
      </c>
      <c r="C89" s="143">
        <f t="shared" ref="C89:Q89" si="37">C74/$B89</f>
        <v>0.68</v>
      </c>
      <c r="D89" s="143">
        <f t="shared" si="37"/>
        <v>0.646</v>
      </c>
      <c r="E89" s="143">
        <f t="shared" si="37"/>
        <v>0.6137</v>
      </c>
      <c r="F89" s="143">
        <f t="shared" si="37"/>
        <v>0.583015</v>
      </c>
      <c r="G89" s="143">
        <f t="shared" si="37"/>
        <v>0.55386425</v>
      </c>
      <c r="H89" s="143">
        <f t="shared" si="37"/>
        <v>0.5261710375</v>
      </c>
      <c r="I89" s="143">
        <f t="shared" si="37"/>
        <v>0.4998624856</v>
      </c>
      <c r="J89" s="143">
        <f t="shared" si="37"/>
        <v>0.4748693613</v>
      </c>
      <c r="K89" s="143">
        <f t="shared" si="37"/>
        <v>0.4511258933</v>
      </c>
      <c r="L89" s="143">
        <f t="shared" si="37"/>
        <v>0.4285695986</v>
      </c>
      <c r="M89" s="143">
        <f t="shared" si="37"/>
        <v>0.4071411187</v>
      </c>
      <c r="N89" s="143">
        <f t="shared" si="37"/>
        <v>0.3867840627</v>
      </c>
      <c r="O89" s="143">
        <f t="shared" si="37"/>
        <v>0.3674448596</v>
      </c>
      <c r="P89" s="143">
        <f t="shared" si="37"/>
        <v>0.3490726166</v>
      </c>
      <c r="Q89" s="143">
        <f t="shared" si="37"/>
        <v>0.3316189858</v>
      </c>
    </row>
    <row r="90">
      <c r="A90" s="141" t="s">
        <v>152</v>
      </c>
      <c r="B90" s="126">
        <v>130.0</v>
      </c>
      <c r="C90" s="143">
        <f t="shared" ref="C90:Q90" si="38">C75/$B90</f>
        <v>0.3230769231</v>
      </c>
      <c r="D90" s="143">
        <f t="shared" si="38"/>
        <v>0.3036923077</v>
      </c>
      <c r="E90" s="143">
        <f t="shared" si="38"/>
        <v>0.2885076923</v>
      </c>
      <c r="F90" s="143">
        <f t="shared" si="38"/>
        <v>0.2740823077</v>
      </c>
      <c r="G90" s="143">
        <f t="shared" si="38"/>
        <v>0.2603781923</v>
      </c>
      <c r="H90" s="143">
        <f t="shared" si="38"/>
        <v>0.2473592827</v>
      </c>
      <c r="I90" s="143">
        <f t="shared" si="38"/>
        <v>0.2349913186</v>
      </c>
      <c r="J90" s="143">
        <f t="shared" si="38"/>
        <v>0.2232417526</v>
      </c>
      <c r="K90" s="143">
        <f t="shared" si="38"/>
        <v>0.212079665</v>
      </c>
      <c r="L90" s="143">
        <f t="shared" si="38"/>
        <v>0.2014756817</v>
      </c>
      <c r="M90" s="143">
        <f t="shared" si="38"/>
        <v>0.1914018977</v>
      </c>
      <c r="N90" s="143">
        <f t="shared" si="38"/>
        <v>0.1818318028</v>
      </c>
      <c r="O90" s="143">
        <f t="shared" si="38"/>
        <v>0.1727402126</v>
      </c>
      <c r="P90" s="143">
        <f t="shared" si="38"/>
        <v>0.164103202</v>
      </c>
      <c r="Q90" s="143">
        <f t="shared" si="38"/>
        <v>0.1558980419</v>
      </c>
    </row>
    <row r="91">
      <c r="A91" s="141" t="s">
        <v>153</v>
      </c>
      <c r="B91" s="126">
        <v>100.0</v>
      </c>
      <c r="C91" s="143">
        <f t="shared" ref="C91:Q91" si="39">C76/$B91</f>
        <v>0.17</v>
      </c>
      <c r="D91" s="143">
        <f t="shared" si="39"/>
        <v>0.1632</v>
      </c>
      <c r="E91" s="143">
        <f t="shared" si="39"/>
        <v>0.15504</v>
      </c>
      <c r="F91" s="143">
        <f t="shared" si="39"/>
        <v>0.147288</v>
      </c>
      <c r="G91" s="143">
        <f t="shared" si="39"/>
        <v>0.1399236</v>
      </c>
      <c r="H91" s="143">
        <f t="shared" si="39"/>
        <v>0.13292742</v>
      </c>
      <c r="I91" s="143">
        <f t="shared" si="39"/>
        <v>0.126281049</v>
      </c>
      <c r="J91" s="143">
        <f t="shared" si="39"/>
        <v>0.1199669966</v>
      </c>
      <c r="K91" s="143">
        <f t="shared" si="39"/>
        <v>0.1139686467</v>
      </c>
      <c r="L91" s="143">
        <f t="shared" si="39"/>
        <v>0.1082702144</v>
      </c>
      <c r="M91" s="143">
        <f t="shared" si="39"/>
        <v>0.1028567037</v>
      </c>
      <c r="N91" s="143">
        <f t="shared" si="39"/>
        <v>0.09771386848</v>
      </c>
      <c r="O91" s="143">
        <f t="shared" si="39"/>
        <v>0.09282817506</v>
      </c>
      <c r="P91" s="143">
        <f t="shared" si="39"/>
        <v>0.08818676631</v>
      </c>
      <c r="Q91" s="143">
        <f t="shared" si="39"/>
        <v>0.08377742799</v>
      </c>
    </row>
    <row r="92">
      <c r="A92" s="134" t="s">
        <v>102</v>
      </c>
      <c r="B92" s="21"/>
      <c r="C92" s="102">
        <f t="shared" ref="C92:Q92" si="40">AVERAGE(C83:C91)</f>
        <v>0.5438787647</v>
      </c>
      <c r="D92" s="102">
        <f t="shared" si="40"/>
        <v>0.5108370552</v>
      </c>
      <c r="E92" s="102">
        <f t="shared" si="40"/>
        <v>0.48409664</v>
      </c>
      <c r="F92" s="102">
        <f t="shared" si="40"/>
        <v>0.4587771449</v>
      </c>
      <c r="G92" s="102">
        <f t="shared" si="40"/>
        <v>0.4373932426</v>
      </c>
      <c r="H92" s="102">
        <f t="shared" si="40"/>
        <v>0.4119533595</v>
      </c>
      <c r="I92" s="102">
        <f t="shared" si="40"/>
        <v>0.3922369076</v>
      </c>
      <c r="J92" s="102">
        <f t="shared" si="40"/>
        <v>0.3712212862</v>
      </c>
      <c r="K92" s="102">
        <f t="shared" si="40"/>
        <v>0.3505077653</v>
      </c>
      <c r="L92" s="102">
        <f t="shared" si="40"/>
        <v>0.3341447036</v>
      </c>
      <c r="M92" s="102">
        <f t="shared" si="40"/>
        <v>0.3189562418</v>
      </c>
      <c r="N92" s="102">
        <f t="shared" si="40"/>
        <v>0.3030084297</v>
      </c>
      <c r="O92" s="102">
        <f t="shared" si="40"/>
        <v>0.2864296019</v>
      </c>
      <c r="P92" s="102">
        <f t="shared" si="40"/>
        <v>0.2704833095</v>
      </c>
      <c r="Q92" s="102">
        <f t="shared" si="40"/>
        <v>0.2578365427</v>
      </c>
    </row>
    <row r="95">
      <c r="B95" s="105"/>
      <c r="C95" s="70"/>
      <c r="D95" s="70"/>
      <c r="E95" s="70"/>
      <c r="F95" s="70"/>
      <c r="G95" s="70"/>
      <c r="H95" s="70"/>
      <c r="I95" s="70"/>
      <c r="J95" s="40"/>
    </row>
    <row r="96">
      <c r="B96" s="42"/>
      <c r="J96" s="43"/>
      <c r="L96" s="135" t="s">
        <v>155</v>
      </c>
      <c r="N96" s="136" t="s">
        <v>151</v>
      </c>
    </row>
    <row r="97">
      <c r="B97" s="42"/>
      <c r="J97" s="43"/>
    </row>
    <row r="98">
      <c r="B98" s="42"/>
      <c r="J98" s="43"/>
      <c r="L98" s="137"/>
      <c r="M98" s="137"/>
    </row>
    <row r="99">
      <c r="B99" s="42"/>
      <c r="J99" s="43"/>
      <c r="L99" s="135" t="s">
        <v>156</v>
      </c>
      <c r="N99" s="144" t="s">
        <v>157</v>
      </c>
    </row>
    <row r="100">
      <c r="B100" s="42"/>
      <c r="J100" s="43"/>
    </row>
    <row r="101">
      <c r="B101" s="42"/>
      <c r="J101" s="43"/>
      <c r="L101" s="137"/>
      <c r="M101" s="137"/>
    </row>
    <row r="102">
      <c r="B102" s="42"/>
      <c r="J102" s="43"/>
      <c r="L102" s="135" t="s">
        <v>141</v>
      </c>
      <c r="N102" s="138" t="s">
        <v>158</v>
      </c>
    </row>
    <row r="103">
      <c r="B103" s="42"/>
      <c r="J103" s="43"/>
    </row>
    <row r="104">
      <c r="B104" s="42"/>
      <c r="J104" s="43"/>
    </row>
    <row r="105">
      <c r="B105" s="42"/>
      <c r="J105" s="43"/>
    </row>
    <row r="106">
      <c r="B106" s="42"/>
      <c r="J106" s="43"/>
    </row>
    <row r="107">
      <c r="B107" s="42"/>
      <c r="J107" s="43"/>
    </row>
    <row r="108">
      <c r="B108" s="42"/>
      <c r="J108" s="43"/>
    </row>
    <row r="109">
      <c r="B109" s="42"/>
      <c r="J109" s="43"/>
    </row>
    <row r="110">
      <c r="B110" s="42"/>
      <c r="J110" s="43"/>
    </row>
    <row r="111">
      <c r="B111" s="42"/>
      <c r="J111" s="43"/>
    </row>
    <row r="112">
      <c r="B112" s="42"/>
      <c r="J112" s="43"/>
    </row>
    <row r="113">
      <c r="B113" s="42"/>
      <c r="J113" s="43"/>
    </row>
    <row r="114">
      <c r="B114" s="42"/>
      <c r="J114" s="43"/>
    </row>
    <row r="115">
      <c r="B115" s="44"/>
      <c r="C115" s="20"/>
      <c r="D115" s="20"/>
      <c r="E115" s="20"/>
      <c r="F115" s="20"/>
      <c r="G115" s="20"/>
      <c r="H115" s="20"/>
      <c r="I115" s="20"/>
      <c r="J115" s="21"/>
    </row>
    <row r="118">
      <c r="A118" s="115"/>
      <c r="B118" s="40"/>
      <c r="C118" s="116" t="s">
        <v>159</v>
      </c>
      <c r="D118" s="3"/>
      <c r="E118" s="3"/>
      <c r="F118" s="3"/>
      <c r="G118" s="3"/>
      <c r="H118" s="3"/>
      <c r="I118" s="3"/>
      <c r="J118" s="3"/>
      <c r="K118" s="3"/>
      <c r="L118" s="3"/>
      <c r="M118" s="3"/>
      <c r="N118" s="3"/>
      <c r="O118" s="3"/>
      <c r="P118" s="3"/>
      <c r="Q118" s="4"/>
    </row>
    <row r="119">
      <c r="A119" s="44"/>
      <c r="B119" s="21"/>
      <c r="C119" s="116" t="s">
        <v>126</v>
      </c>
      <c r="D119" s="3"/>
      <c r="E119" s="3"/>
      <c r="F119" s="3"/>
      <c r="G119" s="3"/>
      <c r="H119" s="3"/>
      <c r="I119" s="3"/>
      <c r="J119" s="3"/>
      <c r="K119" s="3"/>
      <c r="L119" s="3"/>
      <c r="M119" s="3"/>
      <c r="N119" s="3"/>
      <c r="O119" s="3"/>
      <c r="P119" s="3"/>
      <c r="Q119" s="4"/>
    </row>
    <row r="120">
      <c r="A120" s="145" t="s">
        <v>160</v>
      </c>
      <c r="B120" s="140" t="s">
        <v>145</v>
      </c>
      <c r="C120" s="119">
        <v>0.0</v>
      </c>
      <c r="D120" s="119">
        <v>1.0</v>
      </c>
      <c r="E120" s="119">
        <v>2.0</v>
      </c>
      <c r="F120" s="119">
        <v>3.0</v>
      </c>
      <c r="G120" s="119">
        <v>4.0</v>
      </c>
      <c r="H120" s="119">
        <v>5.0</v>
      </c>
      <c r="I120" s="119">
        <v>6.0</v>
      </c>
      <c r="J120" s="119">
        <v>7.0</v>
      </c>
      <c r="K120" s="119">
        <v>8.0</v>
      </c>
      <c r="L120" s="119">
        <v>9.0</v>
      </c>
      <c r="M120" s="119">
        <v>10.0</v>
      </c>
      <c r="N120" s="119">
        <v>11.0</v>
      </c>
      <c r="O120" s="119">
        <v>12.0</v>
      </c>
      <c r="P120" s="119">
        <v>13.0</v>
      </c>
      <c r="Q120" s="119">
        <v>14.0</v>
      </c>
    </row>
    <row r="121">
      <c r="A121" s="120" t="s">
        <v>129</v>
      </c>
      <c r="B121" s="121">
        <f>sum(B122:B128)</f>
        <v>1900</v>
      </c>
      <c r="C121" s="122">
        <v>870.0</v>
      </c>
      <c r="D121" s="123">
        <f>C121*0.92</f>
        <v>800.4</v>
      </c>
      <c r="E121" s="123">
        <f t="shared" ref="E121:F121" si="41">D121*0.93</f>
        <v>744.372</v>
      </c>
      <c r="F121" s="123">
        <f t="shared" si="41"/>
        <v>692.26596</v>
      </c>
      <c r="G121" s="123">
        <f>F121*0.98</f>
        <v>678.4206408</v>
      </c>
      <c r="H121" s="123">
        <f>G121*0.94</f>
        <v>637.7154024</v>
      </c>
      <c r="I121" s="123">
        <f>H121*0.98</f>
        <v>624.9610943</v>
      </c>
      <c r="J121" s="123">
        <f>I121*0.92</f>
        <v>574.9642068</v>
      </c>
      <c r="K121" s="123">
        <f>J121*0.9</f>
        <v>517.4677861</v>
      </c>
      <c r="L121" s="123">
        <f>K121*0.98</f>
        <v>507.1184304</v>
      </c>
      <c r="M121" s="123">
        <f>L121*0.99</f>
        <v>502.0472461</v>
      </c>
      <c r="N121" s="123">
        <f>M121*0.95</f>
        <v>476.9448838</v>
      </c>
      <c r="O121" s="123">
        <f>N121*0.91</f>
        <v>434.0198442</v>
      </c>
      <c r="P121" s="123">
        <f>O121*0.9</f>
        <v>390.6178598</v>
      </c>
      <c r="Q121" s="124">
        <f>P121*0.98</f>
        <v>382.8055026</v>
      </c>
    </row>
    <row r="122">
      <c r="A122" s="141" t="s">
        <v>161</v>
      </c>
      <c r="B122" s="142">
        <v>500.0</v>
      </c>
      <c r="C122" s="127">
        <v>262.0</v>
      </c>
      <c r="D122" s="84">
        <f>C122*0.93</f>
        <v>243.66</v>
      </c>
      <c r="E122" s="84">
        <f t="shared" ref="E122:G122" si="42">D122*0.95</f>
        <v>231.477</v>
      </c>
      <c r="F122" s="84">
        <f t="shared" si="42"/>
        <v>219.90315</v>
      </c>
      <c r="G122" s="84">
        <f t="shared" si="42"/>
        <v>208.9079925</v>
      </c>
      <c r="H122" s="84">
        <f>G122*0.9</f>
        <v>188.0171933</v>
      </c>
      <c r="I122" s="84">
        <f>H122*0.94</f>
        <v>176.7361617</v>
      </c>
      <c r="J122" s="84">
        <f t="shared" ref="J122:Q122" si="43">I122*0.95</f>
        <v>167.8993536</v>
      </c>
      <c r="K122" s="84">
        <f t="shared" si="43"/>
        <v>159.5043859</v>
      </c>
      <c r="L122" s="84">
        <f t="shared" si="43"/>
        <v>151.5291666</v>
      </c>
      <c r="M122" s="84">
        <f t="shared" si="43"/>
        <v>143.9527083</v>
      </c>
      <c r="N122" s="84">
        <f t="shared" si="43"/>
        <v>136.7550729</v>
      </c>
      <c r="O122" s="84">
        <f t="shared" si="43"/>
        <v>129.9173192</v>
      </c>
      <c r="P122" s="84">
        <f t="shared" si="43"/>
        <v>123.4214533</v>
      </c>
      <c r="Q122" s="83">
        <f t="shared" si="43"/>
        <v>117.2503806</v>
      </c>
    </row>
    <row r="123">
      <c r="A123" s="141" t="s">
        <v>162</v>
      </c>
      <c r="B123" s="126">
        <v>250.0</v>
      </c>
      <c r="C123" s="127">
        <v>162.0</v>
      </c>
      <c r="D123" s="84">
        <f t="shared" ref="D123:Q123" si="44">C123*0.95</f>
        <v>153.9</v>
      </c>
      <c r="E123" s="84">
        <f t="shared" si="44"/>
        <v>146.205</v>
      </c>
      <c r="F123" s="84">
        <f t="shared" si="44"/>
        <v>138.89475</v>
      </c>
      <c r="G123" s="84">
        <f t="shared" si="44"/>
        <v>131.9500125</v>
      </c>
      <c r="H123" s="84">
        <f t="shared" si="44"/>
        <v>125.3525119</v>
      </c>
      <c r="I123" s="84">
        <f t="shared" si="44"/>
        <v>119.0848863</v>
      </c>
      <c r="J123" s="84">
        <f t="shared" si="44"/>
        <v>113.130642</v>
      </c>
      <c r="K123" s="84">
        <f t="shared" si="44"/>
        <v>107.4741099</v>
      </c>
      <c r="L123" s="84">
        <f t="shared" si="44"/>
        <v>102.1004044</v>
      </c>
      <c r="M123" s="84">
        <f t="shared" si="44"/>
        <v>96.99538416</v>
      </c>
      <c r="N123" s="84">
        <f t="shared" si="44"/>
        <v>92.14561495</v>
      </c>
      <c r="O123" s="84">
        <f t="shared" si="44"/>
        <v>87.5383342</v>
      </c>
      <c r="P123" s="84">
        <f t="shared" si="44"/>
        <v>83.16141749</v>
      </c>
      <c r="Q123" s="83">
        <f t="shared" si="44"/>
        <v>79.00334662</v>
      </c>
    </row>
    <row r="124">
      <c r="A124" s="141" t="s">
        <v>163</v>
      </c>
      <c r="B124" s="126">
        <v>210.0</v>
      </c>
      <c r="C124" s="127">
        <v>132.0</v>
      </c>
      <c r="D124" s="84">
        <f>C124*0.92</f>
        <v>121.44</v>
      </c>
      <c r="E124" s="84">
        <f t="shared" ref="E124:Q124" si="45">D124*0.95</f>
        <v>115.368</v>
      </c>
      <c r="F124" s="84">
        <f t="shared" si="45"/>
        <v>109.5996</v>
      </c>
      <c r="G124" s="84">
        <f t="shared" si="45"/>
        <v>104.11962</v>
      </c>
      <c r="H124" s="84">
        <f t="shared" si="45"/>
        <v>98.913639</v>
      </c>
      <c r="I124" s="84">
        <f t="shared" si="45"/>
        <v>93.96795705</v>
      </c>
      <c r="J124" s="84">
        <f t="shared" si="45"/>
        <v>89.2695592</v>
      </c>
      <c r="K124" s="84">
        <f t="shared" si="45"/>
        <v>84.80608124</v>
      </c>
      <c r="L124" s="84">
        <f t="shared" si="45"/>
        <v>80.56577718</v>
      </c>
      <c r="M124" s="84">
        <f t="shared" si="45"/>
        <v>76.53748832</v>
      </c>
      <c r="N124" s="84">
        <f t="shared" si="45"/>
        <v>72.7106139</v>
      </c>
      <c r="O124" s="84">
        <f t="shared" si="45"/>
        <v>69.07508321</v>
      </c>
      <c r="P124" s="84">
        <f t="shared" si="45"/>
        <v>65.62132905</v>
      </c>
      <c r="Q124" s="83">
        <f t="shared" si="45"/>
        <v>62.34026259</v>
      </c>
    </row>
    <row r="125">
      <c r="A125" s="141" t="s">
        <v>164</v>
      </c>
      <c r="B125" s="126">
        <v>250.0</v>
      </c>
      <c r="C125" s="127">
        <v>106.0</v>
      </c>
      <c r="D125" s="84">
        <f>C125*0.97</f>
        <v>102.82</v>
      </c>
      <c r="E125" s="84">
        <f t="shared" ref="E125:Q125" si="46">D125*0.95</f>
        <v>97.679</v>
      </c>
      <c r="F125" s="84">
        <f t="shared" si="46"/>
        <v>92.79505</v>
      </c>
      <c r="G125" s="84">
        <f t="shared" si="46"/>
        <v>88.1552975</v>
      </c>
      <c r="H125" s="84">
        <f t="shared" si="46"/>
        <v>83.74753263</v>
      </c>
      <c r="I125" s="84">
        <f t="shared" si="46"/>
        <v>79.56015599</v>
      </c>
      <c r="J125" s="84">
        <f t="shared" si="46"/>
        <v>75.58214819</v>
      </c>
      <c r="K125" s="84">
        <f t="shared" si="46"/>
        <v>71.80304078</v>
      </c>
      <c r="L125" s="84">
        <f t="shared" si="46"/>
        <v>68.21288875</v>
      </c>
      <c r="M125" s="84">
        <f t="shared" si="46"/>
        <v>64.80224431</v>
      </c>
      <c r="N125" s="84">
        <f t="shared" si="46"/>
        <v>61.56213209</v>
      </c>
      <c r="O125" s="84">
        <f t="shared" si="46"/>
        <v>58.48402549</v>
      </c>
      <c r="P125" s="84">
        <f t="shared" si="46"/>
        <v>55.55982421</v>
      </c>
      <c r="Q125" s="83">
        <f t="shared" si="46"/>
        <v>52.781833</v>
      </c>
    </row>
    <row r="126">
      <c r="A126" s="141" t="s">
        <v>165</v>
      </c>
      <c r="B126" s="126">
        <v>220.0</v>
      </c>
      <c r="C126" s="127">
        <v>72.0</v>
      </c>
      <c r="D126" s="84">
        <f>C126*0.93</f>
        <v>66.96</v>
      </c>
      <c r="E126" s="84">
        <f t="shared" ref="E126:Q126" si="47">D126*0.95</f>
        <v>63.612</v>
      </c>
      <c r="F126" s="84">
        <f t="shared" si="47"/>
        <v>60.4314</v>
      </c>
      <c r="G126" s="84">
        <f t="shared" si="47"/>
        <v>57.40983</v>
      </c>
      <c r="H126" s="84">
        <f t="shared" si="47"/>
        <v>54.5393385</v>
      </c>
      <c r="I126" s="84">
        <f t="shared" si="47"/>
        <v>51.81237158</v>
      </c>
      <c r="J126" s="84">
        <f t="shared" si="47"/>
        <v>49.221753</v>
      </c>
      <c r="K126" s="84">
        <f t="shared" si="47"/>
        <v>46.76066535</v>
      </c>
      <c r="L126" s="84">
        <f t="shared" si="47"/>
        <v>44.42263208</v>
      </c>
      <c r="M126" s="84">
        <f t="shared" si="47"/>
        <v>42.20150048</v>
      </c>
      <c r="N126" s="84">
        <f t="shared" si="47"/>
        <v>40.09142545</v>
      </c>
      <c r="O126" s="84">
        <f t="shared" si="47"/>
        <v>38.08685418</v>
      </c>
      <c r="P126" s="84">
        <f t="shared" si="47"/>
        <v>36.18251147</v>
      </c>
      <c r="Q126" s="83">
        <f t="shared" si="47"/>
        <v>34.3733859</v>
      </c>
    </row>
    <row r="127">
      <c r="A127" s="141" t="s">
        <v>166</v>
      </c>
      <c r="B127" s="126">
        <v>270.0</v>
      </c>
      <c r="C127" s="127">
        <v>68.0</v>
      </c>
      <c r="D127" s="84">
        <f t="shared" ref="D127:Q127" si="48">C127*0.95</f>
        <v>64.6</v>
      </c>
      <c r="E127" s="84">
        <f t="shared" si="48"/>
        <v>61.37</v>
      </c>
      <c r="F127" s="84">
        <f t="shared" si="48"/>
        <v>58.3015</v>
      </c>
      <c r="G127" s="84">
        <f t="shared" si="48"/>
        <v>55.386425</v>
      </c>
      <c r="H127" s="84">
        <f t="shared" si="48"/>
        <v>52.61710375</v>
      </c>
      <c r="I127" s="84">
        <f t="shared" si="48"/>
        <v>49.98624856</v>
      </c>
      <c r="J127" s="84">
        <f t="shared" si="48"/>
        <v>47.48693613</v>
      </c>
      <c r="K127" s="84">
        <f t="shared" si="48"/>
        <v>45.11258933</v>
      </c>
      <c r="L127" s="84">
        <f t="shared" si="48"/>
        <v>42.85695986</v>
      </c>
      <c r="M127" s="84">
        <f t="shared" si="48"/>
        <v>40.71411187</v>
      </c>
      <c r="N127" s="84">
        <f t="shared" si="48"/>
        <v>38.67840627</v>
      </c>
      <c r="O127" s="84">
        <f t="shared" si="48"/>
        <v>36.74448596</v>
      </c>
      <c r="P127" s="84">
        <f t="shared" si="48"/>
        <v>34.90726166</v>
      </c>
      <c r="Q127" s="83">
        <f t="shared" si="48"/>
        <v>33.16189858</v>
      </c>
    </row>
    <row r="128">
      <c r="A128" s="141" t="s">
        <v>167</v>
      </c>
      <c r="B128" s="126">
        <v>200.0</v>
      </c>
      <c r="C128" s="128">
        <v>42.0</v>
      </c>
      <c r="D128" s="129">
        <f>C128*0.94</f>
        <v>39.48</v>
      </c>
      <c r="E128" s="129">
        <f t="shared" ref="E128:Q128" si="49">D128*0.95</f>
        <v>37.506</v>
      </c>
      <c r="F128" s="129">
        <f t="shared" si="49"/>
        <v>35.6307</v>
      </c>
      <c r="G128" s="129">
        <f t="shared" si="49"/>
        <v>33.849165</v>
      </c>
      <c r="H128" s="129">
        <f t="shared" si="49"/>
        <v>32.15670675</v>
      </c>
      <c r="I128" s="129">
        <f t="shared" si="49"/>
        <v>30.54887141</v>
      </c>
      <c r="J128" s="129">
        <f t="shared" si="49"/>
        <v>29.02142784</v>
      </c>
      <c r="K128" s="129">
        <f t="shared" si="49"/>
        <v>27.57035645</v>
      </c>
      <c r="L128" s="129">
        <f t="shared" si="49"/>
        <v>26.19183863</v>
      </c>
      <c r="M128" s="129">
        <f t="shared" si="49"/>
        <v>24.8822467</v>
      </c>
      <c r="N128" s="129">
        <f t="shared" si="49"/>
        <v>23.63813436</v>
      </c>
      <c r="O128" s="129">
        <f t="shared" si="49"/>
        <v>22.45622764</v>
      </c>
      <c r="P128" s="129">
        <f t="shared" si="49"/>
        <v>21.33341626</v>
      </c>
      <c r="Q128" s="130">
        <f t="shared" si="49"/>
        <v>20.26674545</v>
      </c>
    </row>
    <row r="131">
      <c r="C131" s="67"/>
      <c r="D131" s="67"/>
      <c r="E131" s="67"/>
      <c r="F131" s="67"/>
      <c r="G131" s="67"/>
      <c r="H131" s="67"/>
      <c r="I131" s="67"/>
      <c r="J131" s="67"/>
      <c r="K131" s="67"/>
      <c r="L131" s="67"/>
      <c r="M131" s="67"/>
      <c r="N131" s="67"/>
      <c r="O131" s="67"/>
      <c r="P131" s="67"/>
      <c r="Q131" s="67"/>
    </row>
    <row r="132">
      <c r="A132" s="115"/>
      <c r="B132" s="40"/>
      <c r="C132" s="116" t="s">
        <v>168</v>
      </c>
      <c r="D132" s="3"/>
      <c r="E132" s="3"/>
      <c r="F132" s="3"/>
      <c r="G132" s="3"/>
      <c r="H132" s="3"/>
      <c r="I132" s="3"/>
      <c r="J132" s="3"/>
      <c r="K132" s="3"/>
      <c r="L132" s="3"/>
      <c r="M132" s="3"/>
      <c r="N132" s="3"/>
      <c r="O132" s="3"/>
      <c r="P132" s="3"/>
      <c r="Q132" s="4"/>
    </row>
    <row r="133">
      <c r="A133" s="44"/>
      <c r="B133" s="21"/>
      <c r="C133" s="116" t="s">
        <v>126</v>
      </c>
      <c r="D133" s="3"/>
      <c r="E133" s="3"/>
      <c r="F133" s="3"/>
      <c r="G133" s="3"/>
      <c r="H133" s="3"/>
      <c r="I133" s="3"/>
      <c r="J133" s="3"/>
      <c r="K133" s="3"/>
      <c r="L133" s="3"/>
      <c r="M133" s="3"/>
      <c r="N133" s="3"/>
      <c r="O133" s="3"/>
      <c r="P133" s="3"/>
      <c r="Q133" s="4"/>
    </row>
    <row r="134">
      <c r="A134" s="139" t="s">
        <v>160</v>
      </c>
      <c r="B134" s="140" t="s">
        <v>145</v>
      </c>
      <c r="C134" s="119">
        <v>0.0</v>
      </c>
      <c r="D134" s="119">
        <v>1.0</v>
      </c>
      <c r="E134" s="119">
        <v>2.0</v>
      </c>
      <c r="F134" s="119">
        <v>3.0</v>
      </c>
      <c r="G134" s="119">
        <v>4.0</v>
      </c>
      <c r="H134" s="119">
        <v>5.0</v>
      </c>
      <c r="I134" s="119">
        <v>6.0</v>
      </c>
      <c r="J134" s="119">
        <v>7.0</v>
      </c>
      <c r="K134" s="119">
        <v>8.0</v>
      </c>
      <c r="L134" s="119">
        <v>9.0</v>
      </c>
      <c r="M134" s="119">
        <v>10.0</v>
      </c>
      <c r="N134" s="119">
        <v>11.0</v>
      </c>
      <c r="O134" s="119">
        <v>12.0</v>
      </c>
      <c r="P134" s="119">
        <v>13.0</v>
      </c>
      <c r="Q134" s="119">
        <v>14.0</v>
      </c>
    </row>
    <row r="135">
      <c r="A135" s="120" t="s">
        <v>129</v>
      </c>
      <c r="B135" s="121">
        <f>sum(B136:B142)</f>
        <v>1900</v>
      </c>
      <c r="C135" s="146">
        <f t="shared" ref="C135:Q135" si="50">C121/$B135</f>
        <v>0.4578947368</v>
      </c>
      <c r="D135" s="146">
        <f t="shared" si="50"/>
        <v>0.4212631579</v>
      </c>
      <c r="E135" s="146">
        <f t="shared" si="50"/>
        <v>0.3917747368</v>
      </c>
      <c r="F135" s="146">
        <f t="shared" si="50"/>
        <v>0.3643505053</v>
      </c>
      <c r="G135" s="146">
        <f t="shared" si="50"/>
        <v>0.3570634952</v>
      </c>
      <c r="H135" s="146">
        <f t="shared" si="50"/>
        <v>0.3356396854</v>
      </c>
      <c r="I135" s="146">
        <f t="shared" si="50"/>
        <v>0.3289268917</v>
      </c>
      <c r="J135" s="146">
        <f t="shared" si="50"/>
        <v>0.3026127404</v>
      </c>
      <c r="K135" s="146">
        <f t="shared" si="50"/>
        <v>0.2723514664</v>
      </c>
      <c r="L135" s="146">
        <f t="shared" si="50"/>
        <v>0.266904437</v>
      </c>
      <c r="M135" s="146">
        <f t="shared" si="50"/>
        <v>0.2642353927</v>
      </c>
      <c r="N135" s="146">
        <f t="shared" si="50"/>
        <v>0.251023623</v>
      </c>
      <c r="O135" s="146">
        <f t="shared" si="50"/>
        <v>0.228431497</v>
      </c>
      <c r="P135" s="146">
        <f t="shared" si="50"/>
        <v>0.2055883473</v>
      </c>
      <c r="Q135" s="146">
        <f t="shared" si="50"/>
        <v>0.2014765803</v>
      </c>
    </row>
    <row r="136">
      <c r="A136" s="141" t="s">
        <v>161</v>
      </c>
      <c r="B136" s="142">
        <v>500.0</v>
      </c>
      <c r="C136" s="146">
        <f t="shared" ref="C136:Q136" si="51">C122/$B136</f>
        <v>0.524</v>
      </c>
      <c r="D136" s="146">
        <f t="shared" si="51"/>
        <v>0.48732</v>
      </c>
      <c r="E136" s="146">
        <f t="shared" si="51"/>
        <v>0.462954</v>
      </c>
      <c r="F136" s="146">
        <f t="shared" si="51"/>
        <v>0.4398063</v>
      </c>
      <c r="G136" s="146">
        <f t="shared" si="51"/>
        <v>0.417815985</v>
      </c>
      <c r="H136" s="146">
        <f t="shared" si="51"/>
        <v>0.3760343865</v>
      </c>
      <c r="I136" s="146">
        <f t="shared" si="51"/>
        <v>0.3534723233</v>
      </c>
      <c r="J136" s="146">
        <f t="shared" si="51"/>
        <v>0.3357987071</v>
      </c>
      <c r="K136" s="146">
        <f t="shared" si="51"/>
        <v>0.3190087718</v>
      </c>
      <c r="L136" s="146">
        <f t="shared" si="51"/>
        <v>0.3030583332</v>
      </c>
      <c r="M136" s="146">
        <f t="shared" si="51"/>
        <v>0.2879054165</v>
      </c>
      <c r="N136" s="146">
        <f t="shared" si="51"/>
        <v>0.2735101457</v>
      </c>
      <c r="O136" s="146">
        <f t="shared" si="51"/>
        <v>0.2598346384</v>
      </c>
      <c r="P136" s="146">
        <f t="shared" si="51"/>
        <v>0.2468429065</v>
      </c>
      <c r="Q136" s="146">
        <f t="shared" si="51"/>
        <v>0.2345007612</v>
      </c>
    </row>
    <row r="137">
      <c r="A137" s="141" t="s">
        <v>162</v>
      </c>
      <c r="B137" s="126">
        <v>250.0</v>
      </c>
      <c r="C137" s="146">
        <f t="shared" ref="C137:Q137" si="52">C123/$B137</f>
        <v>0.648</v>
      </c>
      <c r="D137" s="146">
        <f t="shared" si="52"/>
        <v>0.6156</v>
      </c>
      <c r="E137" s="146">
        <f t="shared" si="52"/>
        <v>0.58482</v>
      </c>
      <c r="F137" s="146">
        <f t="shared" si="52"/>
        <v>0.555579</v>
      </c>
      <c r="G137" s="146">
        <f t="shared" si="52"/>
        <v>0.52780005</v>
      </c>
      <c r="H137" s="146">
        <f t="shared" si="52"/>
        <v>0.5014100475</v>
      </c>
      <c r="I137" s="146">
        <f t="shared" si="52"/>
        <v>0.4763395451</v>
      </c>
      <c r="J137" s="146">
        <f t="shared" si="52"/>
        <v>0.4525225679</v>
      </c>
      <c r="K137" s="146">
        <f t="shared" si="52"/>
        <v>0.4298964395</v>
      </c>
      <c r="L137" s="146">
        <f t="shared" si="52"/>
        <v>0.4084016175</v>
      </c>
      <c r="M137" s="146">
        <f t="shared" si="52"/>
        <v>0.3879815366</v>
      </c>
      <c r="N137" s="146">
        <f t="shared" si="52"/>
        <v>0.3685824598</v>
      </c>
      <c r="O137" s="146">
        <f t="shared" si="52"/>
        <v>0.3501533368</v>
      </c>
      <c r="P137" s="146">
        <f t="shared" si="52"/>
        <v>0.33264567</v>
      </c>
      <c r="Q137" s="146">
        <f t="shared" si="52"/>
        <v>0.3160133865</v>
      </c>
    </row>
    <row r="138">
      <c r="A138" s="141" t="s">
        <v>163</v>
      </c>
      <c r="B138" s="126">
        <v>210.0</v>
      </c>
      <c r="C138" s="146">
        <f t="shared" ref="C138:Q138" si="53">C124/$B138</f>
        <v>0.6285714286</v>
      </c>
      <c r="D138" s="146">
        <f t="shared" si="53"/>
        <v>0.5782857143</v>
      </c>
      <c r="E138" s="146">
        <f t="shared" si="53"/>
        <v>0.5493714286</v>
      </c>
      <c r="F138" s="146">
        <f t="shared" si="53"/>
        <v>0.5219028571</v>
      </c>
      <c r="G138" s="146">
        <f t="shared" si="53"/>
        <v>0.4958077143</v>
      </c>
      <c r="H138" s="146">
        <f t="shared" si="53"/>
        <v>0.4710173286</v>
      </c>
      <c r="I138" s="146">
        <f t="shared" si="53"/>
        <v>0.4474664621</v>
      </c>
      <c r="J138" s="146">
        <f t="shared" si="53"/>
        <v>0.425093139</v>
      </c>
      <c r="K138" s="146">
        <f t="shared" si="53"/>
        <v>0.4038384821</v>
      </c>
      <c r="L138" s="146">
        <f t="shared" si="53"/>
        <v>0.383646558</v>
      </c>
      <c r="M138" s="146">
        <f t="shared" si="53"/>
        <v>0.3644642301</v>
      </c>
      <c r="N138" s="146">
        <f t="shared" si="53"/>
        <v>0.3462410186</v>
      </c>
      <c r="O138" s="146">
        <f t="shared" si="53"/>
        <v>0.3289289676</v>
      </c>
      <c r="P138" s="146">
        <f t="shared" si="53"/>
        <v>0.3124825193</v>
      </c>
      <c r="Q138" s="146">
        <f t="shared" si="53"/>
        <v>0.2968583933</v>
      </c>
    </row>
    <row r="139">
      <c r="A139" s="141" t="s">
        <v>164</v>
      </c>
      <c r="B139" s="126">
        <v>250.0</v>
      </c>
      <c r="C139" s="146">
        <f t="shared" ref="C139:Q139" si="54">C125/$B139</f>
        <v>0.424</v>
      </c>
      <c r="D139" s="146">
        <f t="shared" si="54"/>
        <v>0.41128</v>
      </c>
      <c r="E139" s="146">
        <f t="shared" si="54"/>
        <v>0.390716</v>
      </c>
      <c r="F139" s="146">
        <f t="shared" si="54"/>
        <v>0.3711802</v>
      </c>
      <c r="G139" s="146">
        <f t="shared" si="54"/>
        <v>0.35262119</v>
      </c>
      <c r="H139" s="146">
        <f t="shared" si="54"/>
        <v>0.3349901305</v>
      </c>
      <c r="I139" s="146">
        <f t="shared" si="54"/>
        <v>0.318240624</v>
      </c>
      <c r="J139" s="146">
        <f t="shared" si="54"/>
        <v>0.3023285928</v>
      </c>
      <c r="K139" s="146">
        <f t="shared" si="54"/>
        <v>0.2872121631</v>
      </c>
      <c r="L139" s="146">
        <f t="shared" si="54"/>
        <v>0.272851555</v>
      </c>
      <c r="M139" s="146">
        <f t="shared" si="54"/>
        <v>0.2592089772</v>
      </c>
      <c r="N139" s="146">
        <f t="shared" si="54"/>
        <v>0.2462485284</v>
      </c>
      <c r="O139" s="146">
        <f t="shared" si="54"/>
        <v>0.233936102</v>
      </c>
      <c r="P139" s="146">
        <f t="shared" si="54"/>
        <v>0.2222392969</v>
      </c>
      <c r="Q139" s="146">
        <f t="shared" si="54"/>
        <v>0.211127332</v>
      </c>
    </row>
    <row r="140">
      <c r="A140" s="141" t="s">
        <v>165</v>
      </c>
      <c r="B140" s="126">
        <v>220.0</v>
      </c>
      <c r="C140" s="146">
        <f t="shared" ref="C140:Q140" si="55">C126/$B140</f>
        <v>0.3272727273</v>
      </c>
      <c r="D140" s="146">
        <f t="shared" si="55"/>
        <v>0.3043636364</v>
      </c>
      <c r="E140" s="146">
        <f t="shared" si="55"/>
        <v>0.2891454545</v>
      </c>
      <c r="F140" s="146">
        <f t="shared" si="55"/>
        <v>0.2746881818</v>
      </c>
      <c r="G140" s="146">
        <f t="shared" si="55"/>
        <v>0.2609537727</v>
      </c>
      <c r="H140" s="146">
        <f t="shared" si="55"/>
        <v>0.2479060841</v>
      </c>
      <c r="I140" s="146">
        <f t="shared" si="55"/>
        <v>0.2355107799</v>
      </c>
      <c r="J140" s="146">
        <f t="shared" si="55"/>
        <v>0.2237352409</v>
      </c>
      <c r="K140" s="146">
        <f t="shared" si="55"/>
        <v>0.2125484788</v>
      </c>
      <c r="L140" s="146">
        <f t="shared" si="55"/>
        <v>0.2019210549</v>
      </c>
      <c r="M140" s="146">
        <f t="shared" si="55"/>
        <v>0.1918250022</v>
      </c>
      <c r="N140" s="146">
        <f t="shared" si="55"/>
        <v>0.1822337521</v>
      </c>
      <c r="O140" s="146">
        <f t="shared" si="55"/>
        <v>0.1731220644</v>
      </c>
      <c r="P140" s="146">
        <f t="shared" si="55"/>
        <v>0.1644659612</v>
      </c>
      <c r="Q140" s="146">
        <f t="shared" si="55"/>
        <v>0.1562426632</v>
      </c>
    </row>
    <row r="141">
      <c r="A141" s="141" t="s">
        <v>166</v>
      </c>
      <c r="B141" s="126">
        <v>270.0</v>
      </c>
      <c r="C141" s="146">
        <f t="shared" ref="C141:Q141" si="56">C127/$B141</f>
        <v>0.2518518519</v>
      </c>
      <c r="D141" s="146">
        <f t="shared" si="56"/>
        <v>0.2392592593</v>
      </c>
      <c r="E141" s="146">
        <f t="shared" si="56"/>
        <v>0.2272962963</v>
      </c>
      <c r="F141" s="146">
        <f t="shared" si="56"/>
        <v>0.2159314815</v>
      </c>
      <c r="G141" s="146">
        <f t="shared" si="56"/>
        <v>0.2051349074</v>
      </c>
      <c r="H141" s="146">
        <f t="shared" si="56"/>
        <v>0.194878162</v>
      </c>
      <c r="I141" s="146">
        <f t="shared" si="56"/>
        <v>0.1851342539</v>
      </c>
      <c r="J141" s="146">
        <f t="shared" si="56"/>
        <v>0.1758775412</v>
      </c>
      <c r="K141" s="146">
        <f t="shared" si="56"/>
        <v>0.1670836642</v>
      </c>
      <c r="L141" s="146">
        <f t="shared" si="56"/>
        <v>0.158729481</v>
      </c>
      <c r="M141" s="146">
        <f t="shared" si="56"/>
        <v>0.1507930069</v>
      </c>
      <c r="N141" s="146">
        <f t="shared" si="56"/>
        <v>0.1432533566</v>
      </c>
      <c r="O141" s="146">
        <f t="shared" si="56"/>
        <v>0.1360906887</v>
      </c>
      <c r="P141" s="146">
        <f t="shared" si="56"/>
        <v>0.1292861543</v>
      </c>
      <c r="Q141" s="146">
        <f t="shared" si="56"/>
        <v>0.1228218466</v>
      </c>
    </row>
    <row r="142">
      <c r="A142" s="141" t="s">
        <v>167</v>
      </c>
      <c r="B142" s="126">
        <v>200.0</v>
      </c>
      <c r="C142" s="146">
        <f t="shared" ref="C142:Q142" si="57">C128/$B142</f>
        <v>0.21</v>
      </c>
      <c r="D142" s="146">
        <f t="shared" si="57"/>
        <v>0.1974</v>
      </c>
      <c r="E142" s="146">
        <f t="shared" si="57"/>
        <v>0.18753</v>
      </c>
      <c r="F142" s="146">
        <f t="shared" si="57"/>
        <v>0.1781535</v>
      </c>
      <c r="G142" s="146">
        <f t="shared" si="57"/>
        <v>0.169245825</v>
      </c>
      <c r="H142" s="146">
        <f t="shared" si="57"/>
        <v>0.1607835338</v>
      </c>
      <c r="I142" s="146">
        <f t="shared" si="57"/>
        <v>0.1527443571</v>
      </c>
      <c r="J142" s="146">
        <f t="shared" si="57"/>
        <v>0.1451071392</v>
      </c>
      <c r="K142" s="146">
        <f t="shared" si="57"/>
        <v>0.1378517822</v>
      </c>
      <c r="L142" s="146">
        <f t="shared" si="57"/>
        <v>0.1309591931</v>
      </c>
      <c r="M142" s="146">
        <f t="shared" si="57"/>
        <v>0.1244112335</v>
      </c>
      <c r="N142" s="146">
        <f t="shared" si="57"/>
        <v>0.1181906718</v>
      </c>
      <c r="O142" s="146">
        <f t="shared" si="57"/>
        <v>0.1122811382</v>
      </c>
      <c r="P142" s="146">
        <f t="shared" si="57"/>
        <v>0.1066670813</v>
      </c>
      <c r="Q142" s="146">
        <f t="shared" si="57"/>
        <v>0.1013337272</v>
      </c>
    </row>
    <row r="143">
      <c r="A143" s="147" t="s">
        <v>102</v>
      </c>
      <c r="B143" s="21"/>
      <c r="C143" s="148">
        <f t="shared" ref="C143:Q143" si="58">AVERAGE(C135:C142)</f>
        <v>0.4339488431</v>
      </c>
      <c r="D143" s="148">
        <f t="shared" si="58"/>
        <v>0.406846471</v>
      </c>
      <c r="E143" s="148">
        <f t="shared" si="58"/>
        <v>0.3854509895</v>
      </c>
      <c r="F143" s="148">
        <f t="shared" si="58"/>
        <v>0.3651990032</v>
      </c>
      <c r="G143" s="148">
        <f t="shared" si="58"/>
        <v>0.3483053674</v>
      </c>
      <c r="H143" s="148">
        <f t="shared" si="58"/>
        <v>0.3278324198</v>
      </c>
      <c r="I143" s="148">
        <f t="shared" si="58"/>
        <v>0.3122294046</v>
      </c>
      <c r="J143" s="148">
        <f t="shared" si="58"/>
        <v>0.2953844586</v>
      </c>
      <c r="K143" s="148">
        <f t="shared" si="58"/>
        <v>0.278723906</v>
      </c>
      <c r="L143" s="148">
        <f t="shared" si="58"/>
        <v>0.2658090287</v>
      </c>
      <c r="M143" s="148">
        <f t="shared" si="58"/>
        <v>0.2538530995</v>
      </c>
      <c r="N143" s="148">
        <f t="shared" si="58"/>
        <v>0.2411604445</v>
      </c>
      <c r="O143" s="148">
        <f t="shared" si="58"/>
        <v>0.2278473041</v>
      </c>
      <c r="P143" s="148">
        <f t="shared" si="58"/>
        <v>0.2150272421</v>
      </c>
      <c r="Q143" s="148">
        <f t="shared" si="58"/>
        <v>0.2050468363</v>
      </c>
    </row>
    <row r="146">
      <c r="B146" s="105"/>
      <c r="C146" s="70"/>
      <c r="D146" s="70"/>
      <c r="E146" s="70"/>
      <c r="F146" s="70"/>
      <c r="G146" s="70"/>
      <c r="H146" s="70"/>
      <c r="I146" s="70"/>
      <c r="J146" s="40"/>
    </row>
    <row r="147">
      <c r="B147" s="42"/>
      <c r="J147" s="43"/>
      <c r="L147" s="149" t="s">
        <v>169</v>
      </c>
      <c r="M147" s="40"/>
      <c r="N147" s="150">
        <v>44597.0</v>
      </c>
      <c r="O147" s="70"/>
      <c r="P147" s="40"/>
    </row>
    <row r="148">
      <c r="B148" s="42"/>
      <c r="J148" s="43"/>
      <c r="L148" s="44"/>
      <c r="M148" s="21"/>
      <c r="N148" s="44"/>
      <c r="O148" s="20"/>
      <c r="P148" s="21"/>
    </row>
    <row r="149">
      <c r="B149" s="42"/>
      <c r="J149" s="43"/>
      <c r="L149" s="137"/>
      <c r="M149" s="137"/>
      <c r="N149" s="151"/>
      <c r="O149" s="151"/>
      <c r="P149" s="151"/>
    </row>
    <row r="150">
      <c r="B150" s="42"/>
      <c r="J150" s="43"/>
      <c r="L150" s="149" t="s">
        <v>170</v>
      </c>
      <c r="M150" s="40"/>
      <c r="N150" s="152" t="s">
        <v>171</v>
      </c>
      <c r="O150" s="70"/>
      <c r="P150" s="40"/>
    </row>
    <row r="151">
      <c r="B151" s="42"/>
      <c r="J151" s="43"/>
      <c r="L151" s="44"/>
      <c r="M151" s="21"/>
      <c r="N151" s="44"/>
      <c r="O151" s="20"/>
      <c r="P151" s="21"/>
    </row>
    <row r="152">
      <c r="B152" s="42"/>
      <c r="J152" s="43"/>
      <c r="L152" s="137"/>
      <c r="M152" s="137"/>
    </row>
    <row r="153">
      <c r="B153" s="42"/>
      <c r="J153" s="43"/>
      <c r="L153" s="149" t="s">
        <v>141</v>
      </c>
      <c r="M153" s="40"/>
      <c r="N153" s="41" t="s">
        <v>172</v>
      </c>
      <c r="O153" s="70"/>
      <c r="P153" s="70"/>
      <c r="Q153" s="40"/>
    </row>
    <row r="154">
      <c r="B154" s="42"/>
      <c r="J154" s="43"/>
      <c r="L154" s="42"/>
      <c r="M154" s="43"/>
      <c r="N154" s="42"/>
      <c r="Q154" s="43"/>
    </row>
    <row r="155">
      <c r="B155" s="42"/>
      <c r="J155" s="43"/>
      <c r="L155" s="42"/>
      <c r="M155" s="43"/>
      <c r="N155" s="42"/>
      <c r="Q155" s="43"/>
    </row>
    <row r="156">
      <c r="B156" s="42"/>
      <c r="J156" s="43"/>
      <c r="L156" s="42"/>
      <c r="M156" s="43"/>
      <c r="N156" s="42"/>
      <c r="Q156" s="43"/>
    </row>
    <row r="157">
      <c r="B157" s="42"/>
      <c r="J157" s="43"/>
      <c r="L157" s="42"/>
      <c r="M157" s="43"/>
      <c r="N157" s="42"/>
      <c r="Q157" s="43"/>
    </row>
    <row r="158">
      <c r="B158" s="42"/>
      <c r="J158" s="43"/>
      <c r="L158" s="44"/>
      <c r="M158" s="21"/>
      <c r="N158" s="44"/>
      <c r="O158" s="20"/>
      <c r="P158" s="20"/>
      <c r="Q158" s="21"/>
    </row>
    <row r="159">
      <c r="B159" s="42"/>
      <c r="J159" s="43"/>
    </row>
    <row r="160">
      <c r="B160" s="42"/>
      <c r="J160" s="43"/>
    </row>
    <row r="161">
      <c r="B161" s="42"/>
      <c r="J161" s="43"/>
    </row>
    <row r="162">
      <c r="B162" s="42"/>
      <c r="J162" s="43"/>
    </row>
    <row r="163">
      <c r="B163" s="42"/>
      <c r="J163" s="43"/>
    </row>
    <row r="164">
      <c r="B164" s="42"/>
      <c r="J164" s="43"/>
    </row>
    <row r="165">
      <c r="B165" s="42"/>
      <c r="J165" s="43"/>
    </row>
    <row r="166">
      <c r="B166" s="44"/>
      <c r="C166" s="20"/>
      <c r="D166" s="20"/>
      <c r="E166" s="20"/>
      <c r="F166" s="20"/>
      <c r="G166" s="20"/>
      <c r="H166" s="20"/>
      <c r="I166" s="20"/>
      <c r="J166" s="21"/>
    </row>
    <row r="170">
      <c r="A170" s="115"/>
      <c r="B170" s="40"/>
      <c r="C170" s="116" t="s">
        <v>173</v>
      </c>
      <c r="D170" s="3"/>
      <c r="E170" s="3"/>
      <c r="F170" s="3"/>
      <c r="G170" s="3"/>
      <c r="H170" s="3"/>
      <c r="I170" s="3"/>
      <c r="J170" s="3"/>
      <c r="K170" s="3"/>
      <c r="L170" s="3"/>
      <c r="M170" s="3"/>
      <c r="N170" s="3"/>
      <c r="O170" s="3"/>
      <c r="P170" s="3"/>
      <c r="Q170" s="4"/>
    </row>
    <row r="171">
      <c r="A171" s="44"/>
      <c r="B171" s="21"/>
      <c r="C171" s="116" t="s">
        <v>174</v>
      </c>
      <c r="D171" s="3"/>
      <c r="E171" s="3"/>
      <c r="F171" s="3"/>
      <c r="G171" s="3"/>
      <c r="H171" s="3"/>
      <c r="I171" s="3"/>
      <c r="J171" s="3"/>
      <c r="K171" s="3"/>
      <c r="L171" s="3"/>
      <c r="M171" s="3"/>
      <c r="N171" s="3"/>
      <c r="O171" s="3"/>
      <c r="P171" s="3"/>
      <c r="Q171" s="4"/>
    </row>
    <row r="172">
      <c r="A172" s="145" t="s">
        <v>175</v>
      </c>
      <c r="B172" s="140" t="s">
        <v>145</v>
      </c>
      <c r="C172" s="119">
        <v>0.0</v>
      </c>
      <c r="D172" s="119">
        <v>1.0</v>
      </c>
      <c r="E172" s="119">
        <v>2.0</v>
      </c>
      <c r="F172" s="119">
        <v>3.0</v>
      </c>
      <c r="G172" s="119">
        <v>4.0</v>
      </c>
      <c r="H172" s="119">
        <v>5.0</v>
      </c>
      <c r="I172" s="119">
        <v>6.0</v>
      </c>
      <c r="J172" s="119">
        <v>7.0</v>
      </c>
      <c r="K172" s="119">
        <v>8.0</v>
      </c>
      <c r="L172" s="119">
        <v>9.0</v>
      </c>
      <c r="M172" s="119">
        <v>10.0</v>
      </c>
      <c r="N172" s="119">
        <v>11.0</v>
      </c>
      <c r="O172" s="119">
        <v>12.0</v>
      </c>
      <c r="P172" s="119">
        <v>13.0</v>
      </c>
      <c r="Q172" s="119">
        <v>14.0</v>
      </c>
    </row>
    <row r="173">
      <c r="A173" s="120" t="s">
        <v>129</v>
      </c>
      <c r="B173" s="121">
        <f>sum(B174:B178)</f>
        <v>1490</v>
      </c>
      <c r="C173" s="122">
        <v>870.0</v>
      </c>
      <c r="D173" s="123">
        <f t="shared" ref="D173:D174" si="60">C173*0.92</f>
        <v>800.4</v>
      </c>
      <c r="E173" s="123">
        <f t="shared" ref="E173:F173" si="59">D173*0.93</f>
        <v>744.372</v>
      </c>
      <c r="F173" s="123">
        <f t="shared" si="59"/>
        <v>692.26596</v>
      </c>
      <c r="G173" s="123">
        <f>F173*0.98</f>
        <v>678.4206408</v>
      </c>
      <c r="H173" s="123">
        <f>G173*0.94</f>
        <v>637.7154024</v>
      </c>
      <c r="I173" s="123">
        <f>H173*0.98</f>
        <v>624.9610943</v>
      </c>
      <c r="J173" s="123">
        <f>I173*0.92</f>
        <v>574.9642068</v>
      </c>
      <c r="K173" s="123">
        <f>J173*0.9</f>
        <v>517.4677861</v>
      </c>
      <c r="L173" s="123">
        <f>K173*0.98</f>
        <v>507.1184304</v>
      </c>
      <c r="M173" s="123">
        <f>L173*0.99</f>
        <v>502.0472461</v>
      </c>
      <c r="N173" s="123">
        <f>M173*0.95</f>
        <v>476.9448838</v>
      </c>
      <c r="O173" s="123">
        <f>N173*0.91</f>
        <v>434.0198442</v>
      </c>
      <c r="P173" s="123">
        <f>O173*0.9</f>
        <v>390.6178598</v>
      </c>
      <c r="Q173" s="124">
        <f>P173*0.98</f>
        <v>382.8055026</v>
      </c>
    </row>
    <row r="174">
      <c r="A174" s="141" t="s">
        <v>176</v>
      </c>
      <c r="B174" s="142">
        <v>250.0</v>
      </c>
      <c r="C174" s="127">
        <v>132.0</v>
      </c>
      <c r="D174" s="84">
        <f t="shared" si="60"/>
        <v>121.44</v>
      </c>
      <c r="E174" s="84">
        <f t="shared" ref="E174:Q174" si="61">D174*0.95</f>
        <v>115.368</v>
      </c>
      <c r="F174" s="84">
        <f t="shared" si="61"/>
        <v>109.5996</v>
      </c>
      <c r="G174" s="84">
        <f t="shared" si="61"/>
        <v>104.11962</v>
      </c>
      <c r="H174" s="84">
        <f t="shared" si="61"/>
        <v>98.913639</v>
      </c>
      <c r="I174" s="84">
        <f t="shared" si="61"/>
        <v>93.96795705</v>
      </c>
      <c r="J174" s="84">
        <f t="shared" si="61"/>
        <v>89.2695592</v>
      </c>
      <c r="K174" s="84">
        <f t="shared" si="61"/>
        <v>84.80608124</v>
      </c>
      <c r="L174" s="84">
        <f t="shared" si="61"/>
        <v>80.56577718</v>
      </c>
      <c r="M174" s="84">
        <f t="shared" si="61"/>
        <v>76.53748832</v>
      </c>
      <c r="N174" s="84">
        <f t="shared" si="61"/>
        <v>72.7106139</v>
      </c>
      <c r="O174" s="84">
        <f t="shared" si="61"/>
        <v>69.07508321</v>
      </c>
      <c r="P174" s="84">
        <f t="shared" si="61"/>
        <v>65.62132905</v>
      </c>
      <c r="Q174" s="83">
        <f t="shared" si="61"/>
        <v>62.34026259</v>
      </c>
    </row>
    <row r="175">
      <c r="A175" s="141" t="s">
        <v>177</v>
      </c>
      <c r="B175" s="126">
        <v>310.0</v>
      </c>
      <c r="C175" s="127">
        <v>162.0</v>
      </c>
      <c r="D175" s="84">
        <f t="shared" ref="D175:Q175" si="62">C175*0.95</f>
        <v>153.9</v>
      </c>
      <c r="E175" s="84">
        <f t="shared" si="62"/>
        <v>146.205</v>
      </c>
      <c r="F175" s="84">
        <f t="shared" si="62"/>
        <v>138.89475</v>
      </c>
      <c r="G175" s="84">
        <f t="shared" si="62"/>
        <v>131.9500125</v>
      </c>
      <c r="H175" s="84">
        <f t="shared" si="62"/>
        <v>125.3525119</v>
      </c>
      <c r="I175" s="84">
        <f t="shared" si="62"/>
        <v>119.0848863</v>
      </c>
      <c r="J175" s="84">
        <f t="shared" si="62"/>
        <v>113.130642</v>
      </c>
      <c r="K175" s="84">
        <f t="shared" si="62"/>
        <v>107.4741099</v>
      </c>
      <c r="L175" s="84">
        <f t="shared" si="62"/>
        <v>102.1004044</v>
      </c>
      <c r="M175" s="84">
        <f t="shared" si="62"/>
        <v>96.99538416</v>
      </c>
      <c r="N175" s="84">
        <f t="shared" si="62"/>
        <v>92.14561495</v>
      </c>
      <c r="O175" s="84">
        <f t="shared" si="62"/>
        <v>87.5383342</v>
      </c>
      <c r="P175" s="84">
        <f t="shared" si="62"/>
        <v>83.16141749</v>
      </c>
      <c r="Q175" s="83">
        <f t="shared" si="62"/>
        <v>79.00334662</v>
      </c>
    </row>
    <row r="176">
      <c r="A176" s="141" t="s">
        <v>178</v>
      </c>
      <c r="B176" s="142">
        <v>390.0</v>
      </c>
      <c r="C176" s="127">
        <v>262.0</v>
      </c>
      <c r="D176" s="84">
        <f t="shared" ref="D176:D177" si="65">C176*0.93</f>
        <v>243.66</v>
      </c>
      <c r="E176" s="84">
        <f t="shared" ref="E176:G176" si="63">D176*0.95</f>
        <v>231.477</v>
      </c>
      <c r="F176" s="84">
        <f t="shared" si="63"/>
        <v>219.90315</v>
      </c>
      <c r="G176" s="84">
        <f t="shared" si="63"/>
        <v>208.9079925</v>
      </c>
      <c r="H176" s="84">
        <f>G176*0.9</f>
        <v>188.0171933</v>
      </c>
      <c r="I176" s="84">
        <f>H176*0.94</f>
        <v>176.7361617</v>
      </c>
      <c r="J176" s="84">
        <f t="shared" ref="J176:Q176" si="64">I176*0.95</f>
        <v>167.8993536</v>
      </c>
      <c r="K176" s="84">
        <f t="shared" si="64"/>
        <v>159.5043859</v>
      </c>
      <c r="L176" s="84">
        <f t="shared" si="64"/>
        <v>151.5291666</v>
      </c>
      <c r="M176" s="84">
        <f t="shared" si="64"/>
        <v>143.9527083</v>
      </c>
      <c r="N176" s="84">
        <f t="shared" si="64"/>
        <v>136.7550729</v>
      </c>
      <c r="O176" s="84">
        <f t="shared" si="64"/>
        <v>129.9173192</v>
      </c>
      <c r="P176" s="84">
        <f t="shared" si="64"/>
        <v>123.4214533</v>
      </c>
      <c r="Q176" s="83">
        <f t="shared" si="64"/>
        <v>117.2503806</v>
      </c>
    </row>
    <row r="177">
      <c r="A177" s="141" t="s">
        <v>179</v>
      </c>
      <c r="B177" s="126">
        <v>110.0</v>
      </c>
      <c r="C177" s="153">
        <v>72.0</v>
      </c>
      <c r="D177" s="153">
        <f t="shared" si="65"/>
        <v>66.96</v>
      </c>
      <c r="E177" s="153">
        <f t="shared" ref="E177:Q177" si="66">D177*0.95</f>
        <v>63.612</v>
      </c>
      <c r="F177" s="153">
        <f t="shared" si="66"/>
        <v>60.4314</v>
      </c>
      <c r="G177" s="153">
        <f t="shared" si="66"/>
        <v>57.40983</v>
      </c>
      <c r="H177" s="153">
        <f t="shared" si="66"/>
        <v>54.5393385</v>
      </c>
      <c r="I177" s="153">
        <f t="shared" si="66"/>
        <v>51.81237158</v>
      </c>
      <c r="J177" s="153">
        <f t="shared" si="66"/>
        <v>49.221753</v>
      </c>
      <c r="K177" s="153">
        <f t="shared" si="66"/>
        <v>46.76066535</v>
      </c>
      <c r="L177" s="153">
        <f t="shared" si="66"/>
        <v>44.42263208</v>
      </c>
      <c r="M177" s="153">
        <f t="shared" si="66"/>
        <v>42.20150048</v>
      </c>
      <c r="N177" s="153">
        <f t="shared" si="66"/>
        <v>40.09142545</v>
      </c>
      <c r="O177" s="153">
        <f t="shared" si="66"/>
        <v>38.08685418</v>
      </c>
      <c r="P177" s="153">
        <f t="shared" si="66"/>
        <v>36.18251147</v>
      </c>
      <c r="Q177" s="154">
        <f t="shared" si="66"/>
        <v>34.3733859</v>
      </c>
    </row>
    <row r="178">
      <c r="A178" s="141" t="s">
        <v>180</v>
      </c>
      <c r="B178" s="126">
        <v>430.0</v>
      </c>
      <c r="C178" s="128">
        <v>106.0</v>
      </c>
      <c r="D178" s="129">
        <f>C178*0.97</f>
        <v>102.82</v>
      </c>
      <c r="E178" s="129">
        <f t="shared" ref="E178:Q178" si="67">D178*0.95</f>
        <v>97.679</v>
      </c>
      <c r="F178" s="129">
        <f t="shared" si="67"/>
        <v>92.79505</v>
      </c>
      <c r="G178" s="129">
        <f t="shared" si="67"/>
        <v>88.1552975</v>
      </c>
      <c r="H178" s="129">
        <f t="shared" si="67"/>
        <v>83.74753263</v>
      </c>
      <c r="I178" s="129">
        <f t="shared" si="67"/>
        <v>79.56015599</v>
      </c>
      <c r="J178" s="129">
        <f t="shared" si="67"/>
        <v>75.58214819</v>
      </c>
      <c r="K178" s="129">
        <f t="shared" si="67"/>
        <v>71.80304078</v>
      </c>
      <c r="L178" s="129">
        <f t="shared" si="67"/>
        <v>68.21288875</v>
      </c>
      <c r="M178" s="129">
        <f t="shared" si="67"/>
        <v>64.80224431</v>
      </c>
      <c r="N178" s="129">
        <f t="shared" si="67"/>
        <v>61.56213209</v>
      </c>
      <c r="O178" s="129">
        <f t="shared" si="67"/>
        <v>58.48402549</v>
      </c>
      <c r="P178" s="129">
        <f t="shared" si="67"/>
        <v>55.55982421</v>
      </c>
      <c r="Q178" s="130">
        <f t="shared" si="67"/>
        <v>52.781833</v>
      </c>
    </row>
    <row r="180">
      <c r="C180" s="84"/>
      <c r="D180" s="155"/>
      <c r="E180" s="84"/>
      <c r="F180" s="84"/>
      <c r="G180" s="84"/>
      <c r="H180" s="84"/>
      <c r="I180" s="84"/>
      <c r="J180" s="84"/>
      <c r="K180" s="84"/>
      <c r="L180" s="84"/>
      <c r="M180" s="84"/>
      <c r="N180" s="84"/>
      <c r="O180" s="84"/>
      <c r="P180" s="84"/>
      <c r="Q180" s="84"/>
    </row>
    <row r="181">
      <c r="C181" s="67"/>
      <c r="D181" s="67"/>
      <c r="E181" s="67"/>
      <c r="F181" s="67"/>
      <c r="G181" s="67"/>
      <c r="H181" s="67"/>
      <c r="I181" s="67"/>
      <c r="J181" s="67"/>
      <c r="K181" s="67"/>
      <c r="L181" s="67"/>
      <c r="M181" s="67"/>
      <c r="N181" s="67"/>
      <c r="O181" s="67"/>
      <c r="P181" s="67"/>
      <c r="Q181" s="67"/>
    </row>
    <row r="182">
      <c r="A182" s="115"/>
      <c r="B182" s="40"/>
      <c r="C182" s="116" t="s">
        <v>181</v>
      </c>
      <c r="D182" s="3"/>
      <c r="E182" s="3"/>
      <c r="F182" s="3"/>
      <c r="G182" s="3"/>
      <c r="H182" s="3"/>
      <c r="I182" s="3"/>
      <c r="J182" s="3"/>
      <c r="K182" s="3"/>
      <c r="L182" s="3"/>
      <c r="M182" s="3"/>
      <c r="N182" s="3"/>
      <c r="O182" s="3"/>
      <c r="P182" s="3"/>
      <c r="Q182" s="4"/>
    </row>
    <row r="183">
      <c r="A183" s="44"/>
      <c r="B183" s="21"/>
      <c r="C183" s="116" t="s">
        <v>126</v>
      </c>
      <c r="D183" s="3"/>
      <c r="E183" s="3"/>
      <c r="F183" s="3"/>
      <c r="G183" s="3"/>
      <c r="H183" s="3"/>
      <c r="I183" s="3"/>
      <c r="J183" s="3"/>
      <c r="K183" s="3"/>
      <c r="L183" s="3"/>
      <c r="M183" s="3"/>
      <c r="N183" s="3"/>
      <c r="O183" s="3"/>
      <c r="P183" s="3"/>
      <c r="Q183" s="4"/>
    </row>
    <row r="184">
      <c r="A184" s="139" t="s">
        <v>175</v>
      </c>
      <c r="B184" s="140" t="s">
        <v>145</v>
      </c>
      <c r="C184" s="119">
        <v>0.0</v>
      </c>
      <c r="D184" s="119">
        <v>1.0</v>
      </c>
      <c r="E184" s="119">
        <v>2.0</v>
      </c>
      <c r="F184" s="119">
        <v>3.0</v>
      </c>
      <c r="G184" s="119">
        <v>4.0</v>
      </c>
      <c r="H184" s="119">
        <v>5.0</v>
      </c>
      <c r="I184" s="119">
        <v>6.0</v>
      </c>
      <c r="J184" s="119">
        <v>7.0</v>
      </c>
      <c r="K184" s="119">
        <v>8.0</v>
      </c>
      <c r="L184" s="119">
        <v>9.0</v>
      </c>
      <c r="M184" s="119">
        <v>10.0</v>
      </c>
      <c r="N184" s="119">
        <v>11.0</v>
      </c>
      <c r="O184" s="119">
        <v>12.0</v>
      </c>
      <c r="P184" s="119">
        <v>13.0</v>
      </c>
      <c r="Q184" s="119">
        <v>14.0</v>
      </c>
    </row>
    <row r="185">
      <c r="A185" s="120" t="s">
        <v>129</v>
      </c>
      <c r="B185" s="121">
        <f>sum(B186:B190)</f>
        <v>1490</v>
      </c>
      <c r="C185" s="143">
        <f t="shared" ref="C185:Q185" si="68">C173/$B185</f>
        <v>0.5838926174</v>
      </c>
      <c r="D185" s="143">
        <f t="shared" si="68"/>
        <v>0.5371812081</v>
      </c>
      <c r="E185" s="143">
        <f t="shared" si="68"/>
        <v>0.4995785235</v>
      </c>
      <c r="F185" s="143">
        <f t="shared" si="68"/>
        <v>0.4646080268</v>
      </c>
      <c r="G185" s="143">
        <f t="shared" si="68"/>
        <v>0.4553158663</v>
      </c>
      <c r="H185" s="143">
        <f t="shared" si="68"/>
        <v>0.4279969143</v>
      </c>
      <c r="I185" s="143">
        <f t="shared" si="68"/>
        <v>0.419436976</v>
      </c>
      <c r="J185" s="143">
        <f t="shared" si="68"/>
        <v>0.385882018</v>
      </c>
      <c r="K185" s="143">
        <f t="shared" si="68"/>
        <v>0.3472938162</v>
      </c>
      <c r="L185" s="143">
        <f t="shared" si="68"/>
        <v>0.3403479398</v>
      </c>
      <c r="M185" s="143">
        <f t="shared" si="68"/>
        <v>0.3369444604</v>
      </c>
      <c r="N185" s="143">
        <f t="shared" si="68"/>
        <v>0.3200972374</v>
      </c>
      <c r="O185" s="143">
        <f t="shared" si="68"/>
        <v>0.2912884861</v>
      </c>
      <c r="P185" s="143">
        <f t="shared" si="68"/>
        <v>0.2621596374</v>
      </c>
      <c r="Q185" s="143">
        <f t="shared" si="68"/>
        <v>0.2569164447</v>
      </c>
    </row>
    <row r="186">
      <c r="A186" s="141" t="s">
        <v>176</v>
      </c>
      <c r="B186" s="126">
        <v>250.0</v>
      </c>
      <c r="C186" s="143">
        <f t="shared" ref="C186:Q186" si="69">C174/$B186</f>
        <v>0.528</v>
      </c>
      <c r="D186" s="143">
        <f t="shared" si="69"/>
        <v>0.48576</v>
      </c>
      <c r="E186" s="143">
        <f t="shared" si="69"/>
        <v>0.461472</v>
      </c>
      <c r="F186" s="143">
        <f t="shared" si="69"/>
        <v>0.4383984</v>
      </c>
      <c r="G186" s="143">
        <f t="shared" si="69"/>
        <v>0.41647848</v>
      </c>
      <c r="H186" s="143">
        <f t="shared" si="69"/>
        <v>0.395654556</v>
      </c>
      <c r="I186" s="143">
        <f t="shared" si="69"/>
        <v>0.3758718282</v>
      </c>
      <c r="J186" s="143">
        <f t="shared" si="69"/>
        <v>0.3570782368</v>
      </c>
      <c r="K186" s="143">
        <f t="shared" si="69"/>
        <v>0.339224325</v>
      </c>
      <c r="L186" s="143">
        <f t="shared" si="69"/>
        <v>0.3222631087</v>
      </c>
      <c r="M186" s="143">
        <f t="shared" si="69"/>
        <v>0.3061499533</v>
      </c>
      <c r="N186" s="143">
        <f t="shared" si="69"/>
        <v>0.2908424556</v>
      </c>
      <c r="O186" s="143">
        <f t="shared" si="69"/>
        <v>0.2763003328</v>
      </c>
      <c r="P186" s="143">
        <f t="shared" si="69"/>
        <v>0.2624853162</v>
      </c>
      <c r="Q186" s="143">
        <f t="shared" si="69"/>
        <v>0.2493610504</v>
      </c>
    </row>
    <row r="187">
      <c r="A187" s="141" t="s">
        <v>177</v>
      </c>
      <c r="B187" s="126">
        <v>310.0</v>
      </c>
      <c r="C187" s="143">
        <f t="shared" ref="C187:Q187" si="70">C175/$B187</f>
        <v>0.5225806452</v>
      </c>
      <c r="D187" s="143">
        <f t="shared" si="70"/>
        <v>0.4964516129</v>
      </c>
      <c r="E187" s="143">
        <f t="shared" si="70"/>
        <v>0.4716290323</v>
      </c>
      <c r="F187" s="143">
        <f t="shared" si="70"/>
        <v>0.4480475806</v>
      </c>
      <c r="G187" s="143">
        <f t="shared" si="70"/>
        <v>0.4256452016</v>
      </c>
      <c r="H187" s="143">
        <f t="shared" si="70"/>
        <v>0.4043629415</v>
      </c>
      <c r="I187" s="143">
        <f t="shared" si="70"/>
        <v>0.3841447945</v>
      </c>
      <c r="J187" s="143">
        <f t="shared" si="70"/>
        <v>0.3649375547</v>
      </c>
      <c r="K187" s="143">
        <f t="shared" si="70"/>
        <v>0.346690677</v>
      </c>
      <c r="L187" s="143">
        <f t="shared" si="70"/>
        <v>0.3293561431</v>
      </c>
      <c r="M187" s="143">
        <f t="shared" si="70"/>
        <v>0.312888336</v>
      </c>
      <c r="N187" s="143">
        <f t="shared" si="70"/>
        <v>0.2972439192</v>
      </c>
      <c r="O187" s="143">
        <f t="shared" si="70"/>
        <v>0.2823817232</v>
      </c>
      <c r="P187" s="143">
        <f t="shared" si="70"/>
        <v>0.2682626371</v>
      </c>
      <c r="Q187" s="143">
        <f t="shared" si="70"/>
        <v>0.2548495052</v>
      </c>
    </row>
    <row r="188">
      <c r="A188" s="141" t="s">
        <v>178</v>
      </c>
      <c r="B188" s="126">
        <v>390.0</v>
      </c>
      <c r="C188" s="143">
        <f t="shared" ref="C188:Q188" si="71">C176/$B188</f>
        <v>0.6717948718</v>
      </c>
      <c r="D188" s="143">
        <f t="shared" si="71"/>
        <v>0.6247692308</v>
      </c>
      <c r="E188" s="143">
        <f t="shared" si="71"/>
        <v>0.5935307692</v>
      </c>
      <c r="F188" s="143">
        <f t="shared" si="71"/>
        <v>0.5638542308</v>
      </c>
      <c r="G188" s="143">
        <f t="shared" si="71"/>
        <v>0.5356615192</v>
      </c>
      <c r="H188" s="143">
        <f t="shared" si="71"/>
        <v>0.4820953673</v>
      </c>
      <c r="I188" s="143">
        <f t="shared" si="71"/>
        <v>0.4531696453</v>
      </c>
      <c r="J188" s="143">
        <f t="shared" si="71"/>
        <v>0.430511163</v>
      </c>
      <c r="K188" s="143">
        <f t="shared" si="71"/>
        <v>0.4089856049</v>
      </c>
      <c r="L188" s="143">
        <f t="shared" si="71"/>
        <v>0.3885363246</v>
      </c>
      <c r="M188" s="143">
        <f t="shared" si="71"/>
        <v>0.3691095084</v>
      </c>
      <c r="N188" s="143">
        <f t="shared" si="71"/>
        <v>0.350654033</v>
      </c>
      <c r="O188" s="143">
        <f t="shared" si="71"/>
        <v>0.3331213313</v>
      </c>
      <c r="P188" s="143">
        <f t="shared" si="71"/>
        <v>0.3164652647</v>
      </c>
      <c r="Q188" s="143">
        <f t="shared" si="71"/>
        <v>0.3006420015</v>
      </c>
    </row>
    <row r="189">
      <c r="A189" s="156" t="s">
        <v>179</v>
      </c>
      <c r="B189" s="126">
        <v>430.0</v>
      </c>
      <c r="C189" s="143">
        <f t="shared" ref="C189:Q189" si="72">C177/$B189</f>
        <v>0.1674418605</v>
      </c>
      <c r="D189" s="143">
        <f t="shared" si="72"/>
        <v>0.1557209302</v>
      </c>
      <c r="E189" s="143">
        <f t="shared" si="72"/>
        <v>0.1479348837</v>
      </c>
      <c r="F189" s="143">
        <f t="shared" si="72"/>
        <v>0.1405381395</v>
      </c>
      <c r="G189" s="143">
        <f t="shared" si="72"/>
        <v>0.1335112326</v>
      </c>
      <c r="H189" s="143">
        <f t="shared" si="72"/>
        <v>0.1268356709</v>
      </c>
      <c r="I189" s="143">
        <f t="shared" si="72"/>
        <v>0.1204938874</v>
      </c>
      <c r="J189" s="143">
        <f t="shared" si="72"/>
        <v>0.114469193</v>
      </c>
      <c r="K189" s="143">
        <f t="shared" si="72"/>
        <v>0.1087457334</v>
      </c>
      <c r="L189" s="143">
        <f t="shared" si="72"/>
        <v>0.1033084467</v>
      </c>
      <c r="M189" s="143">
        <f t="shared" si="72"/>
        <v>0.09814302436</v>
      </c>
      <c r="N189" s="143">
        <f t="shared" si="72"/>
        <v>0.09323587314</v>
      </c>
      <c r="O189" s="143">
        <f t="shared" si="72"/>
        <v>0.08857407949</v>
      </c>
      <c r="P189" s="143">
        <f t="shared" si="72"/>
        <v>0.08414537551</v>
      </c>
      <c r="Q189" s="143">
        <f t="shared" si="72"/>
        <v>0.07993810674</v>
      </c>
    </row>
    <row r="190">
      <c r="A190" s="141" t="s">
        <v>180</v>
      </c>
      <c r="B190" s="126">
        <v>110.0</v>
      </c>
      <c r="C190" s="143">
        <f t="shared" ref="C190:Q190" si="73">C178/$B190</f>
        <v>0.9636363636</v>
      </c>
      <c r="D190" s="143">
        <f t="shared" si="73"/>
        <v>0.9347272727</v>
      </c>
      <c r="E190" s="143">
        <f t="shared" si="73"/>
        <v>0.8879909091</v>
      </c>
      <c r="F190" s="143">
        <f t="shared" si="73"/>
        <v>0.8435913636</v>
      </c>
      <c r="G190" s="143">
        <f t="shared" si="73"/>
        <v>0.8014117955</v>
      </c>
      <c r="H190" s="143">
        <f t="shared" si="73"/>
        <v>0.7613412057</v>
      </c>
      <c r="I190" s="143">
        <f t="shared" si="73"/>
        <v>0.7232741454</v>
      </c>
      <c r="J190" s="143">
        <f t="shared" si="73"/>
        <v>0.6871104381</v>
      </c>
      <c r="K190" s="143">
        <f t="shared" si="73"/>
        <v>0.6527549162</v>
      </c>
      <c r="L190" s="143">
        <f t="shared" si="73"/>
        <v>0.6201171704</v>
      </c>
      <c r="M190" s="143">
        <f t="shared" si="73"/>
        <v>0.5891113119</v>
      </c>
      <c r="N190" s="143">
        <f t="shared" si="73"/>
        <v>0.5596557463</v>
      </c>
      <c r="O190" s="143">
        <f t="shared" si="73"/>
        <v>0.531672959</v>
      </c>
      <c r="P190" s="143">
        <f t="shared" si="73"/>
        <v>0.505089311</v>
      </c>
      <c r="Q190" s="143">
        <f t="shared" si="73"/>
        <v>0.4798348455</v>
      </c>
    </row>
    <row r="191">
      <c r="A191" s="147" t="s">
        <v>102</v>
      </c>
      <c r="B191" s="21"/>
      <c r="C191" s="148">
        <f t="shared" ref="C191:Q191" si="74">AVERAGE(C185:C190)</f>
        <v>0.5728910598</v>
      </c>
      <c r="D191" s="148">
        <f t="shared" si="74"/>
        <v>0.5391017091</v>
      </c>
      <c r="E191" s="148">
        <f t="shared" si="74"/>
        <v>0.5103560196</v>
      </c>
      <c r="F191" s="148">
        <f t="shared" si="74"/>
        <v>0.4831729569</v>
      </c>
      <c r="G191" s="148">
        <f t="shared" si="74"/>
        <v>0.4613373492</v>
      </c>
      <c r="H191" s="148">
        <f t="shared" si="74"/>
        <v>0.433047776</v>
      </c>
      <c r="I191" s="148">
        <f t="shared" si="74"/>
        <v>0.4127318795</v>
      </c>
      <c r="J191" s="148">
        <f t="shared" si="74"/>
        <v>0.3899981006</v>
      </c>
      <c r="K191" s="148">
        <f t="shared" si="74"/>
        <v>0.3672825121</v>
      </c>
      <c r="L191" s="148">
        <f t="shared" si="74"/>
        <v>0.3506548556</v>
      </c>
      <c r="M191" s="148">
        <f t="shared" si="74"/>
        <v>0.3353910991</v>
      </c>
      <c r="N191" s="148">
        <f t="shared" si="74"/>
        <v>0.3186215441</v>
      </c>
      <c r="O191" s="148">
        <f t="shared" si="74"/>
        <v>0.3005564853</v>
      </c>
      <c r="P191" s="148">
        <f t="shared" si="74"/>
        <v>0.283101257</v>
      </c>
      <c r="Q191" s="148">
        <f t="shared" si="74"/>
        <v>0.2702569923</v>
      </c>
    </row>
    <row r="194">
      <c r="B194" s="105"/>
      <c r="C194" s="70"/>
      <c r="D194" s="70"/>
      <c r="E194" s="70"/>
      <c r="F194" s="70"/>
      <c r="G194" s="70"/>
      <c r="H194" s="70"/>
      <c r="I194" s="70"/>
      <c r="J194" s="40"/>
      <c r="L194" s="149" t="s">
        <v>182</v>
      </c>
      <c r="M194" s="40"/>
      <c r="N194" s="51" t="str">
        <f>A190</f>
        <v>Blog Page</v>
      </c>
      <c r="O194" s="70"/>
      <c r="P194" s="40"/>
    </row>
    <row r="195">
      <c r="B195" s="42"/>
      <c r="J195" s="43"/>
      <c r="L195" s="44"/>
      <c r="M195" s="21"/>
      <c r="N195" s="44"/>
      <c r="O195" s="20"/>
      <c r="P195" s="21"/>
    </row>
    <row r="196">
      <c r="B196" s="42"/>
      <c r="J196" s="43"/>
      <c r="L196" s="137"/>
      <c r="M196" s="137"/>
    </row>
    <row r="197">
      <c r="B197" s="42"/>
      <c r="J197" s="43"/>
      <c r="L197" s="149" t="s">
        <v>183</v>
      </c>
      <c r="M197" s="40"/>
      <c r="N197" s="51" t="str">
        <f>A189</f>
        <v>Team Invitation</v>
      </c>
      <c r="O197" s="70"/>
      <c r="P197" s="40"/>
    </row>
    <row r="198">
      <c r="B198" s="42"/>
      <c r="J198" s="43"/>
      <c r="L198" s="44"/>
      <c r="M198" s="21"/>
      <c r="N198" s="44"/>
      <c r="O198" s="20"/>
      <c r="P198" s="21"/>
    </row>
    <row r="199">
      <c r="B199" s="42"/>
      <c r="J199" s="43"/>
      <c r="L199" s="137"/>
      <c r="M199" s="137"/>
    </row>
    <row r="200">
      <c r="B200" s="42"/>
      <c r="J200" s="43"/>
      <c r="L200" s="149" t="s">
        <v>141</v>
      </c>
      <c r="M200" s="40"/>
      <c r="N200" s="41" t="s">
        <v>184</v>
      </c>
      <c r="O200" s="70"/>
      <c r="P200" s="70"/>
      <c r="Q200" s="40"/>
    </row>
    <row r="201">
      <c r="B201" s="42"/>
      <c r="J201" s="43"/>
      <c r="L201" s="42"/>
      <c r="M201" s="43"/>
      <c r="N201" s="42"/>
      <c r="Q201" s="43"/>
    </row>
    <row r="202">
      <c r="B202" s="42"/>
      <c r="J202" s="43"/>
      <c r="L202" s="42"/>
      <c r="M202" s="43"/>
      <c r="N202" s="42"/>
      <c r="Q202" s="43"/>
    </row>
    <row r="203">
      <c r="B203" s="42"/>
      <c r="J203" s="43"/>
      <c r="L203" s="42"/>
      <c r="M203" s="43"/>
      <c r="N203" s="42"/>
      <c r="Q203" s="43"/>
    </row>
    <row r="204">
      <c r="B204" s="42"/>
      <c r="J204" s="43"/>
      <c r="L204" s="42"/>
      <c r="M204" s="43"/>
      <c r="N204" s="42"/>
      <c r="Q204" s="43"/>
    </row>
    <row r="205">
      <c r="B205" s="42"/>
      <c r="J205" s="43"/>
      <c r="L205" s="44"/>
      <c r="M205" s="21"/>
      <c r="N205" s="44"/>
      <c r="O205" s="20"/>
      <c r="P205" s="20"/>
      <c r="Q205" s="21"/>
    </row>
    <row r="206">
      <c r="B206" s="42"/>
      <c r="J206" s="43"/>
    </row>
    <row r="207">
      <c r="B207" s="42"/>
      <c r="J207" s="43"/>
    </row>
    <row r="208">
      <c r="B208" s="42"/>
      <c r="J208" s="43"/>
    </row>
    <row r="209">
      <c r="B209" s="42"/>
      <c r="J209" s="43"/>
    </row>
    <row r="210">
      <c r="B210" s="42"/>
      <c r="J210" s="43"/>
    </row>
    <row r="211">
      <c r="B211" s="42"/>
      <c r="J211" s="43"/>
    </row>
    <row r="212">
      <c r="B212" s="42"/>
      <c r="J212" s="43"/>
    </row>
    <row r="213">
      <c r="B213" s="42"/>
      <c r="J213" s="43"/>
    </row>
    <row r="214">
      <c r="B214" s="44"/>
      <c r="C214" s="20"/>
      <c r="D214" s="20"/>
      <c r="E214" s="20"/>
      <c r="F214" s="20"/>
      <c r="G214" s="20"/>
      <c r="H214" s="20"/>
      <c r="I214" s="20"/>
      <c r="J214" s="21"/>
    </row>
  </sheetData>
  <mergeCells count="65">
    <mergeCell ref="A118:B119"/>
    <mergeCell ref="C118:Q118"/>
    <mergeCell ref="C119:Q119"/>
    <mergeCell ref="A132:B133"/>
    <mergeCell ref="C132:Q132"/>
    <mergeCell ref="C133:Q133"/>
    <mergeCell ref="A143:B143"/>
    <mergeCell ref="B146:J166"/>
    <mergeCell ref="L147:M148"/>
    <mergeCell ref="N147:P148"/>
    <mergeCell ref="L150:M151"/>
    <mergeCell ref="N150:P151"/>
    <mergeCell ref="L153:M158"/>
    <mergeCell ref="N153:Q158"/>
    <mergeCell ref="A1:Q1"/>
    <mergeCell ref="A2:M2"/>
    <mergeCell ref="A3:M3"/>
    <mergeCell ref="A4:M4"/>
    <mergeCell ref="A5:M5"/>
    <mergeCell ref="A6:M6"/>
    <mergeCell ref="A7:M7"/>
    <mergeCell ref="A8:M8"/>
    <mergeCell ref="A9:M9"/>
    <mergeCell ref="A11:B12"/>
    <mergeCell ref="C11:Q11"/>
    <mergeCell ref="C12:Q12"/>
    <mergeCell ref="C26:Q26"/>
    <mergeCell ref="C27:Q27"/>
    <mergeCell ref="L48:M53"/>
    <mergeCell ref="N48:Q53"/>
    <mergeCell ref="A26:B27"/>
    <mergeCell ref="A38:B38"/>
    <mergeCell ref="B41:J61"/>
    <mergeCell ref="L42:M43"/>
    <mergeCell ref="N42:P43"/>
    <mergeCell ref="L45:M46"/>
    <mergeCell ref="N45:P46"/>
    <mergeCell ref="A65:B66"/>
    <mergeCell ref="C65:Q65"/>
    <mergeCell ref="C66:Q66"/>
    <mergeCell ref="A80:B81"/>
    <mergeCell ref="C80:Q80"/>
    <mergeCell ref="C81:Q81"/>
    <mergeCell ref="A92:B92"/>
    <mergeCell ref="B95:J115"/>
    <mergeCell ref="L96:M97"/>
    <mergeCell ref="N96:P97"/>
    <mergeCell ref="L99:M100"/>
    <mergeCell ref="N99:P100"/>
    <mergeCell ref="L102:M107"/>
    <mergeCell ref="N102:Q107"/>
    <mergeCell ref="B194:J214"/>
    <mergeCell ref="L194:M195"/>
    <mergeCell ref="N194:P195"/>
    <mergeCell ref="L197:M198"/>
    <mergeCell ref="N197:P198"/>
    <mergeCell ref="L200:M205"/>
    <mergeCell ref="N200:Q205"/>
    <mergeCell ref="A170:B171"/>
    <mergeCell ref="C170:Q170"/>
    <mergeCell ref="C171:Q171"/>
    <mergeCell ref="A182:B183"/>
    <mergeCell ref="C182:Q182"/>
    <mergeCell ref="C183:Q183"/>
    <mergeCell ref="A191:B19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4" max="4" width="13.13"/>
    <col customWidth="1" min="5" max="5" width="18.5"/>
    <col customWidth="1" min="6" max="6" width="14.0"/>
    <col customWidth="1" min="7" max="7" width="16.25"/>
  </cols>
  <sheetData>
    <row r="1">
      <c r="A1" s="157" t="s">
        <v>14</v>
      </c>
      <c r="B1" s="3"/>
      <c r="C1" s="3"/>
      <c r="D1" s="3"/>
      <c r="E1" s="3"/>
      <c r="F1" s="3"/>
      <c r="G1" s="3"/>
      <c r="H1" s="3"/>
      <c r="I1" s="3"/>
      <c r="J1" s="3"/>
      <c r="K1" s="3"/>
      <c r="L1" s="3"/>
      <c r="M1" s="4"/>
    </row>
    <row r="2">
      <c r="A2" s="158" t="s">
        <v>185</v>
      </c>
      <c r="B2" s="3"/>
      <c r="C2" s="3"/>
      <c r="D2" s="3"/>
      <c r="E2" s="3"/>
      <c r="F2" s="3"/>
      <c r="G2" s="3"/>
      <c r="H2" s="4"/>
      <c r="K2" s="159"/>
      <c r="L2" s="159"/>
      <c r="M2" s="159"/>
    </row>
    <row r="3">
      <c r="A3" s="109" t="s">
        <v>186</v>
      </c>
      <c r="B3" s="70"/>
      <c r="C3" s="70"/>
      <c r="D3" s="70"/>
      <c r="E3" s="70"/>
      <c r="F3" s="70"/>
      <c r="G3" s="70"/>
      <c r="H3" s="40"/>
      <c r="K3" s="159"/>
      <c r="L3" s="159"/>
      <c r="M3" s="159"/>
    </row>
    <row r="4">
      <c r="A4" s="160" t="s">
        <v>20</v>
      </c>
      <c r="B4" s="70"/>
      <c r="C4" s="70"/>
      <c r="D4" s="70"/>
      <c r="E4" s="70"/>
      <c r="F4" s="70"/>
      <c r="G4" s="70"/>
      <c r="H4" s="40"/>
      <c r="K4" s="159"/>
      <c r="L4" s="159"/>
      <c r="M4" s="159"/>
    </row>
    <row r="5">
      <c r="A5" s="161" t="s">
        <v>187</v>
      </c>
      <c r="H5" s="43"/>
      <c r="K5" s="159"/>
      <c r="L5" s="159"/>
      <c r="M5" s="159"/>
    </row>
    <row r="6">
      <c r="A6" s="161" t="s">
        <v>188</v>
      </c>
      <c r="H6" s="43"/>
      <c r="K6" s="159"/>
      <c r="L6" s="159"/>
      <c r="M6" s="159"/>
    </row>
    <row r="7">
      <c r="A7" s="161" t="s">
        <v>189</v>
      </c>
      <c r="H7" s="43"/>
      <c r="K7" s="159"/>
      <c r="L7" s="159"/>
      <c r="M7" s="159"/>
    </row>
    <row r="8">
      <c r="A8" s="161" t="s">
        <v>190</v>
      </c>
      <c r="H8" s="43"/>
      <c r="K8" s="159"/>
      <c r="L8" s="159"/>
      <c r="M8" s="159"/>
    </row>
    <row r="9">
      <c r="A9" s="162" t="s">
        <v>191</v>
      </c>
      <c r="B9" s="20"/>
      <c r="C9" s="20"/>
      <c r="D9" s="20"/>
      <c r="E9" s="20"/>
      <c r="F9" s="20"/>
      <c r="G9" s="20"/>
      <c r="H9" s="21"/>
      <c r="K9" s="159"/>
      <c r="L9" s="159"/>
      <c r="M9" s="159"/>
    </row>
    <row r="10">
      <c r="A10" s="163" t="s">
        <v>124</v>
      </c>
      <c r="B10" s="3"/>
      <c r="C10" s="3"/>
      <c r="D10" s="3"/>
      <c r="E10" s="3"/>
      <c r="F10" s="3"/>
      <c r="G10" s="3"/>
      <c r="H10" s="4"/>
      <c r="I10" s="164"/>
      <c r="J10" s="164"/>
      <c r="K10" s="164"/>
      <c r="L10" s="164"/>
      <c r="M10" s="164"/>
    </row>
    <row r="11">
      <c r="A11" s="165" t="s">
        <v>97</v>
      </c>
      <c r="B11" s="20"/>
      <c r="C11" s="20"/>
      <c r="D11" s="20"/>
      <c r="E11" s="20"/>
      <c r="F11" s="20"/>
      <c r="G11" s="20"/>
      <c r="H11" s="20"/>
      <c r="I11" s="20"/>
      <c r="J11" s="20"/>
      <c r="K11" s="20"/>
      <c r="L11" s="20"/>
      <c r="M11" s="21"/>
    </row>
    <row r="12">
      <c r="A12" s="166" t="s">
        <v>98</v>
      </c>
      <c r="B12" s="167" t="s">
        <v>192</v>
      </c>
      <c r="C12" s="168" t="s">
        <v>100</v>
      </c>
      <c r="D12" s="3"/>
      <c r="E12" s="3"/>
      <c r="F12" s="3"/>
      <c r="G12" s="3"/>
      <c r="H12" s="3"/>
      <c r="I12" s="3"/>
      <c r="J12" s="3"/>
      <c r="K12" s="3"/>
      <c r="L12" s="3"/>
      <c r="M12" s="4"/>
    </row>
    <row r="13">
      <c r="A13" s="169"/>
      <c r="B13" s="170"/>
      <c r="C13" s="171">
        <v>0.0</v>
      </c>
      <c r="D13" s="171">
        <v>1.0</v>
      </c>
      <c r="E13" s="171">
        <v>2.0</v>
      </c>
      <c r="F13" s="171">
        <v>3.0</v>
      </c>
      <c r="G13" s="171">
        <v>4.0</v>
      </c>
      <c r="H13" s="171">
        <v>5.0</v>
      </c>
      <c r="I13" s="171">
        <v>6.0</v>
      </c>
      <c r="J13" s="171">
        <v>7.0</v>
      </c>
      <c r="K13" s="171">
        <v>8.0</v>
      </c>
      <c r="L13" s="171">
        <v>9.0</v>
      </c>
      <c r="M13" s="171">
        <v>10.0</v>
      </c>
    </row>
    <row r="14">
      <c r="A14" s="172">
        <v>43617.0</v>
      </c>
      <c r="B14" s="173">
        <v>240.0</v>
      </c>
      <c r="C14" s="174">
        <v>237.0</v>
      </c>
      <c r="D14" s="175">
        <f>224*0.8</f>
        <v>179.2</v>
      </c>
      <c r="E14" s="175">
        <f>217*0.8</f>
        <v>173.6</v>
      </c>
      <c r="F14" s="175">
        <f>203*0.8</f>
        <v>162.4</v>
      </c>
      <c r="G14" s="175">
        <f>192*0.8</f>
        <v>153.6</v>
      </c>
      <c r="H14" s="175">
        <f>179*0.8</f>
        <v>143.2</v>
      </c>
      <c r="I14" s="175">
        <f>163*0.8</f>
        <v>130.4</v>
      </c>
      <c r="J14" s="175">
        <f>158*0.8</f>
        <v>126.4</v>
      </c>
      <c r="K14" s="175">
        <f>150*0.8</f>
        <v>120</v>
      </c>
      <c r="L14" s="175">
        <f>147*0.8</f>
        <v>117.6</v>
      </c>
      <c r="M14" s="175">
        <f>143*0.8</f>
        <v>114.4</v>
      </c>
    </row>
    <row r="15">
      <c r="A15" s="172">
        <v>43623.0</v>
      </c>
      <c r="B15" s="173">
        <v>324.0</v>
      </c>
      <c r="C15" s="174">
        <v>307.0</v>
      </c>
      <c r="D15" s="175">
        <f>283*0.8</f>
        <v>226.4</v>
      </c>
      <c r="E15" s="175">
        <f>268*0.8</f>
        <v>214.4</v>
      </c>
      <c r="F15" s="175">
        <f>242*0.8</f>
        <v>193.6</v>
      </c>
      <c r="G15" s="175">
        <f>229*0.8</f>
        <v>183.2</v>
      </c>
      <c r="H15" s="175">
        <f>213*0.8</f>
        <v>170.4</v>
      </c>
      <c r="I15" s="175">
        <f>195*0.8</f>
        <v>156</v>
      </c>
      <c r="J15" s="175">
        <f>190*0.8</f>
        <v>152</v>
      </c>
      <c r="K15" s="175">
        <f>182*0.8</f>
        <v>145.6</v>
      </c>
      <c r="L15" s="175">
        <v>143.0</v>
      </c>
      <c r="M15" s="176"/>
    </row>
    <row r="16">
      <c r="A16" s="172">
        <v>43630.0</v>
      </c>
      <c r="B16" s="173">
        <v>425.0</v>
      </c>
      <c r="C16" s="174">
        <v>414.0</v>
      </c>
      <c r="D16" s="175">
        <f>392*0.8</f>
        <v>313.6</v>
      </c>
      <c r="E16" s="175">
        <f>378*0.8</f>
        <v>302.4</v>
      </c>
      <c r="F16" s="175">
        <f>353*0.8</f>
        <v>282.4</v>
      </c>
      <c r="G16" s="175">
        <f>337*0.8</f>
        <v>269.6</v>
      </c>
      <c r="H16" s="175">
        <f>305*0.8</f>
        <v>244</v>
      </c>
      <c r="I16" s="175">
        <f>293*0.8</f>
        <v>234.4</v>
      </c>
      <c r="J16" s="175">
        <f>285*0.8</f>
        <v>228</v>
      </c>
      <c r="K16" s="175">
        <f>271*0.8</f>
        <v>216.8</v>
      </c>
      <c r="L16" s="176"/>
      <c r="M16" s="176"/>
    </row>
    <row r="17">
      <c r="A17" s="172">
        <v>43637.0</v>
      </c>
      <c r="B17" s="173">
        <v>634.0</v>
      </c>
      <c r="C17" s="174">
        <v>618.0</v>
      </c>
      <c r="D17" s="175">
        <f>587*0.8</f>
        <v>469.6</v>
      </c>
      <c r="E17" s="175">
        <f>554*0.8</f>
        <v>443.2</v>
      </c>
      <c r="F17" s="175">
        <f>530*0.8</f>
        <v>424</v>
      </c>
      <c r="G17" s="175">
        <f>507*0.8</f>
        <v>405.6</v>
      </c>
      <c r="H17" s="175">
        <f>482*0.8</f>
        <v>385.6</v>
      </c>
      <c r="I17" s="175">
        <f>458*0.8</f>
        <v>366.4</v>
      </c>
      <c r="J17" s="175">
        <f>442*0.8</f>
        <v>353.6</v>
      </c>
      <c r="K17" s="176"/>
      <c r="L17" s="176"/>
      <c r="M17" s="176"/>
    </row>
    <row r="18">
      <c r="A18" s="172">
        <v>43644.0</v>
      </c>
      <c r="B18" s="173">
        <v>796.0</v>
      </c>
      <c r="C18" s="174">
        <v>772.0</v>
      </c>
      <c r="D18" s="175">
        <f>753*0.8</f>
        <v>602.4</v>
      </c>
      <c r="E18" s="175">
        <f>729*0.8</f>
        <v>583.2</v>
      </c>
      <c r="F18" s="175">
        <f>694*0.8</f>
        <v>555.2</v>
      </c>
      <c r="G18" s="175">
        <f>649*0.8</f>
        <v>519.2</v>
      </c>
      <c r="H18" s="175">
        <f>612*0.8</f>
        <v>489.6</v>
      </c>
      <c r="I18" s="175">
        <f>586*0.8</f>
        <v>468.8</v>
      </c>
      <c r="J18" s="177"/>
      <c r="K18" s="177"/>
      <c r="L18" s="177"/>
      <c r="M18" s="177"/>
    </row>
    <row r="19">
      <c r="A19" s="172">
        <v>43651.0</v>
      </c>
      <c r="B19" s="173">
        <v>918.0</v>
      </c>
      <c r="C19" s="174">
        <v>885.0</v>
      </c>
      <c r="D19" s="175">
        <f>840*0.8</f>
        <v>672</v>
      </c>
      <c r="E19" s="175">
        <f>803*0.8</f>
        <v>642.4</v>
      </c>
      <c r="F19" s="175">
        <f>773*0.8</f>
        <v>618.4</v>
      </c>
      <c r="G19" s="175">
        <f>748*0.8</f>
        <v>598.4</v>
      </c>
      <c r="H19" s="175">
        <f>704*0.8</f>
        <v>563.2</v>
      </c>
      <c r="I19" s="177"/>
      <c r="J19" s="177"/>
      <c r="K19" s="177"/>
      <c r="L19" s="177"/>
      <c r="M19" s="177"/>
    </row>
    <row r="20">
      <c r="A20" s="172">
        <v>43658.0</v>
      </c>
      <c r="B20" s="173">
        <v>1129.0</v>
      </c>
      <c r="C20" s="174">
        <v>1084.0</v>
      </c>
      <c r="D20" s="175">
        <f>1030*0.8</f>
        <v>824</v>
      </c>
      <c r="E20" s="175">
        <f>974*0.8</f>
        <v>779.2</v>
      </c>
      <c r="F20" s="175">
        <f>928*0.8</f>
        <v>742.4</v>
      </c>
      <c r="G20" s="175">
        <f>894*0.8</f>
        <v>715.2</v>
      </c>
      <c r="H20" s="177"/>
      <c r="I20" s="177"/>
      <c r="J20" s="177"/>
      <c r="K20" s="177"/>
      <c r="L20" s="177"/>
      <c r="M20" s="177"/>
    </row>
    <row r="21">
      <c r="A21" s="172">
        <v>43665.0</v>
      </c>
      <c r="B21" s="173">
        <v>1298.0</v>
      </c>
      <c r="C21" s="174">
        <v>1218.0</v>
      </c>
      <c r="D21" s="175">
        <f>1175*0.8</f>
        <v>940</v>
      </c>
      <c r="E21" s="175">
        <f>1085*0.8</f>
        <v>868</v>
      </c>
      <c r="F21" s="175">
        <f>1005*0.8</f>
        <v>804</v>
      </c>
      <c r="G21" s="177"/>
      <c r="H21" s="177"/>
      <c r="I21" s="177"/>
      <c r="J21" s="177"/>
      <c r="K21" s="177"/>
      <c r="L21" s="177"/>
      <c r="M21" s="177"/>
    </row>
    <row r="22">
      <c r="A22" s="172">
        <v>43672.0</v>
      </c>
      <c r="B22" s="173">
        <v>1420.0</v>
      </c>
      <c r="C22" s="174">
        <v>1350.0</v>
      </c>
      <c r="D22" s="175">
        <f>1297*0.8</f>
        <v>1037.6</v>
      </c>
      <c r="E22" s="175">
        <f>1207*0.8</f>
        <v>965.6</v>
      </c>
      <c r="F22" s="177"/>
      <c r="G22" s="177"/>
      <c r="H22" s="177"/>
      <c r="I22" s="177"/>
      <c r="J22" s="177"/>
      <c r="K22" s="177"/>
      <c r="L22" s="177"/>
      <c r="M22" s="177"/>
    </row>
    <row r="23">
      <c r="A23" s="172">
        <v>43680.0</v>
      </c>
      <c r="B23" s="173">
        <v>1670.0</v>
      </c>
      <c r="C23" s="174">
        <v>1587.0</v>
      </c>
      <c r="D23" s="175">
        <f>1502*0.8</f>
        <v>1201.6</v>
      </c>
      <c r="E23" s="177"/>
      <c r="F23" s="177"/>
      <c r="G23" s="177"/>
      <c r="H23" s="177"/>
      <c r="I23" s="177"/>
      <c r="J23" s="177"/>
      <c r="K23" s="177"/>
      <c r="L23" s="177"/>
      <c r="M23" s="177"/>
    </row>
    <row r="24">
      <c r="A24" s="172">
        <v>43687.0</v>
      </c>
      <c r="B24" s="173">
        <v>1820.0</v>
      </c>
      <c r="C24" s="174">
        <v>1718.0</v>
      </c>
      <c r="D24" s="177"/>
      <c r="E24" s="177"/>
      <c r="F24" s="177"/>
      <c r="G24" s="177"/>
      <c r="H24" s="177"/>
      <c r="I24" s="177"/>
      <c r="J24" s="177"/>
      <c r="K24" s="177"/>
      <c r="L24" s="177"/>
      <c r="M24" s="177"/>
    </row>
    <row r="25">
      <c r="A25" s="178"/>
      <c r="B25" s="174"/>
      <c r="C25" s="177"/>
      <c r="D25" s="177"/>
      <c r="E25" s="177"/>
      <c r="F25" s="177"/>
      <c r="G25" s="177"/>
      <c r="H25" s="177"/>
      <c r="I25" s="177"/>
      <c r="J25" s="177"/>
      <c r="K25" s="177"/>
      <c r="L25" s="177"/>
      <c r="M25" s="177"/>
    </row>
    <row r="26">
      <c r="A26" s="179"/>
      <c r="B26" s="164"/>
      <c r="C26" s="164"/>
      <c r="D26" s="164"/>
      <c r="E26" s="164"/>
      <c r="F26" s="164"/>
      <c r="G26" s="164"/>
      <c r="H26" s="164"/>
      <c r="I26" s="164"/>
      <c r="J26" s="164"/>
      <c r="K26" s="164"/>
      <c r="L26" s="164"/>
      <c r="M26" s="177"/>
    </row>
    <row r="27">
      <c r="A27" s="165" t="s">
        <v>193</v>
      </c>
      <c r="B27" s="20"/>
      <c r="C27" s="20"/>
      <c r="D27" s="20"/>
      <c r="E27" s="20"/>
      <c r="F27" s="20"/>
      <c r="G27" s="20"/>
      <c r="H27" s="20"/>
      <c r="I27" s="20"/>
      <c r="J27" s="20"/>
      <c r="K27" s="20"/>
      <c r="L27" s="20"/>
      <c r="M27" s="21"/>
    </row>
    <row r="28">
      <c r="A28" s="166" t="s">
        <v>98</v>
      </c>
      <c r="B28" s="167" t="s">
        <v>192</v>
      </c>
      <c r="C28" s="168" t="s">
        <v>194</v>
      </c>
      <c r="D28" s="3"/>
      <c r="E28" s="3"/>
      <c r="F28" s="3"/>
      <c r="G28" s="3"/>
      <c r="H28" s="3"/>
      <c r="I28" s="3"/>
      <c r="J28" s="3"/>
      <c r="K28" s="3"/>
      <c r="L28" s="3"/>
      <c r="M28" s="4"/>
    </row>
    <row r="29">
      <c r="A29" s="180"/>
      <c r="B29" s="181"/>
      <c r="C29" s="182">
        <v>0.0</v>
      </c>
      <c r="D29" s="182">
        <v>1.0</v>
      </c>
      <c r="E29" s="182">
        <v>2.0</v>
      </c>
      <c r="F29" s="182">
        <v>3.0</v>
      </c>
      <c r="G29" s="182">
        <v>4.0</v>
      </c>
      <c r="H29" s="182">
        <v>5.0</v>
      </c>
      <c r="I29" s="182">
        <v>6.0</v>
      </c>
      <c r="J29" s="182">
        <v>7.0</v>
      </c>
      <c r="K29" s="182">
        <v>8.0</v>
      </c>
      <c r="L29" s="182">
        <v>9.0</v>
      </c>
      <c r="M29" s="174">
        <v>10.0</v>
      </c>
    </row>
    <row r="30">
      <c r="A30" s="183">
        <v>43617.0</v>
      </c>
      <c r="B30" s="184">
        <v>240.0</v>
      </c>
      <c r="C30" s="185">
        <f t="shared" ref="C30:M30" si="1">B14-C14</f>
        <v>3</v>
      </c>
      <c r="D30" s="186">
        <f t="shared" si="1"/>
        <v>57.8</v>
      </c>
      <c r="E30" s="186">
        <f t="shared" si="1"/>
        <v>5.6</v>
      </c>
      <c r="F30" s="186">
        <f t="shared" si="1"/>
        <v>11.2</v>
      </c>
      <c r="G30" s="186">
        <f t="shared" si="1"/>
        <v>8.8</v>
      </c>
      <c r="H30" s="186">
        <f t="shared" si="1"/>
        <v>10.4</v>
      </c>
      <c r="I30" s="186">
        <f t="shared" si="1"/>
        <v>12.8</v>
      </c>
      <c r="J30" s="186">
        <f t="shared" si="1"/>
        <v>4</v>
      </c>
      <c r="K30" s="186">
        <f t="shared" si="1"/>
        <v>6.4</v>
      </c>
      <c r="L30" s="186">
        <f t="shared" si="1"/>
        <v>2.4</v>
      </c>
      <c r="M30" s="186">
        <f t="shared" si="1"/>
        <v>3.2</v>
      </c>
    </row>
    <row r="31">
      <c r="A31" s="172">
        <v>43623.0</v>
      </c>
      <c r="B31" s="173">
        <v>324.0</v>
      </c>
      <c r="C31" s="174">
        <f t="shared" ref="C31:L31" si="2">B15-C15</f>
        <v>17</v>
      </c>
      <c r="D31" s="175">
        <f t="shared" si="2"/>
        <v>80.6</v>
      </c>
      <c r="E31" s="175">
        <f t="shared" si="2"/>
        <v>12</v>
      </c>
      <c r="F31" s="175">
        <f t="shared" si="2"/>
        <v>20.8</v>
      </c>
      <c r="G31" s="175">
        <f t="shared" si="2"/>
        <v>10.4</v>
      </c>
      <c r="H31" s="175">
        <f t="shared" si="2"/>
        <v>12.8</v>
      </c>
      <c r="I31" s="175">
        <f t="shared" si="2"/>
        <v>14.4</v>
      </c>
      <c r="J31" s="175">
        <f t="shared" si="2"/>
        <v>4</v>
      </c>
      <c r="K31" s="175">
        <f t="shared" si="2"/>
        <v>6.4</v>
      </c>
      <c r="L31" s="175">
        <f t="shared" si="2"/>
        <v>2.6</v>
      </c>
      <c r="M31" s="177"/>
    </row>
    <row r="32">
      <c r="A32" s="172">
        <v>43630.0</v>
      </c>
      <c r="B32" s="173">
        <v>425.0</v>
      </c>
      <c r="C32" s="174">
        <f t="shared" ref="C32:K32" si="3">B16-C16</f>
        <v>11</v>
      </c>
      <c r="D32" s="175">
        <f t="shared" si="3"/>
        <v>100.4</v>
      </c>
      <c r="E32" s="175">
        <f t="shared" si="3"/>
        <v>11.2</v>
      </c>
      <c r="F32" s="175">
        <f t="shared" si="3"/>
        <v>20</v>
      </c>
      <c r="G32" s="175">
        <f t="shared" si="3"/>
        <v>12.8</v>
      </c>
      <c r="H32" s="175">
        <f t="shared" si="3"/>
        <v>25.6</v>
      </c>
      <c r="I32" s="175">
        <f t="shared" si="3"/>
        <v>9.6</v>
      </c>
      <c r="J32" s="175">
        <f t="shared" si="3"/>
        <v>6.4</v>
      </c>
      <c r="K32" s="175">
        <f t="shared" si="3"/>
        <v>11.2</v>
      </c>
      <c r="L32" s="177"/>
      <c r="M32" s="177"/>
    </row>
    <row r="33">
      <c r="A33" s="172">
        <v>43637.0</v>
      </c>
      <c r="B33" s="173">
        <v>634.0</v>
      </c>
      <c r="C33" s="174">
        <f t="shared" ref="C33:J33" si="4">B17-C17</f>
        <v>16</v>
      </c>
      <c r="D33" s="175">
        <f t="shared" si="4"/>
        <v>148.4</v>
      </c>
      <c r="E33" s="175">
        <f t="shared" si="4"/>
        <v>26.4</v>
      </c>
      <c r="F33" s="175">
        <f t="shared" si="4"/>
        <v>19.2</v>
      </c>
      <c r="G33" s="175">
        <f t="shared" si="4"/>
        <v>18.4</v>
      </c>
      <c r="H33" s="175">
        <f t="shared" si="4"/>
        <v>20</v>
      </c>
      <c r="I33" s="175">
        <f t="shared" si="4"/>
        <v>19.2</v>
      </c>
      <c r="J33" s="175">
        <f t="shared" si="4"/>
        <v>12.8</v>
      </c>
      <c r="K33" s="177"/>
      <c r="L33" s="177"/>
      <c r="M33" s="177"/>
    </row>
    <row r="34">
      <c r="A34" s="172">
        <v>43644.0</v>
      </c>
      <c r="B34" s="173">
        <v>796.0</v>
      </c>
      <c r="C34" s="174">
        <f t="shared" ref="C34:I34" si="5">B18-C18</f>
        <v>24</v>
      </c>
      <c r="D34" s="175">
        <f t="shared" si="5"/>
        <v>169.6</v>
      </c>
      <c r="E34" s="175">
        <f t="shared" si="5"/>
        <v>19.2</v>
      </c>
      <c r="F34" s="175">
        <f t="shared" si="5"/>
        <v>28</v>
      </c>
      <c r="G34" s="175">
        <f t="shared" si="5"/>
        <v>36</v>
      </c>
      <c r="H34" s="175">
        <f t="shared" si="5"/>
        <v>29.6</v>
      </c>
      <c r="I34" s="175">
        <f t="shared" si="5"/>
        <v>20.8</v>
      </c>
      <c r="J34" s="177"/>
      <c r="K34" s="177"/>
      <c r="L34" s="177"/>
      <c r="M34" s="177"/>
    </row>
    <row r="35">
      <c r="A35" s="172">
        <v>43651.0</v>
      </c>
      <c r="B35" s="173">
        <v>918.0</v>
      </c>
      <c r="C35" s="174">
        <f t="shared" ref="C35:H35" si="6">B19-C19</f>
        <v>33</v>
      </c>
      <c r="D35" s="175">
        <f t="shared" si="6"/>
        <v>213</v>
      </c>
      <c r="E35" s="175">
        <f t="shared" si="6"/>
        <v>29.6</v>
      </c>
      <c r="F35" s="175">
        <f t="shared" si="6"/>
        <v>24</v>
      </c>
      <c r="G35" s="175">
        <f t="shared" si="6"/>
        <v>20</v>
      </c>
      <c r="H35" s="175">
        <f t="shared" si="6"/>
        <v>35.2</v>
      </c>
      <c r="I35" s="177"/>
      <c r="J35" s="177"/>
      <c r="K35" s="177"/>
      <c r="L35" s="177"/>
      <c r="M35" s="177"/>
    </row>
    <row r="36">
      <c r="A36" s="172">
        <v>43658.0</v>
      </c>
      <c r="B36" s="173">
        <v>1129.0</v>
      </c>
      <c r="C36" s="174">
        <f t="shared" ref="C36:G36" si="7">B20-C20</f>
        <v>45</v>
      </c>
      <c r="D36" s="175">
        <f t="shared" si="7"/>
        <v>260</v>
      </c>
      <c r="E36" s="175">
        <f t="shared" si="7"/>
        <v>44.8</v>
      </c>
      <c r="F36" s="175">
        <f t="shared" si="7"/>
        <v>36.8</v>
      </c>
      <c r="G36" s="175">
        <f t="shared" si="7"/>
        <v>27.2</v>
      </c>
      <c r="H36" s="177"/>
      <c r="I36" s="177"/>
      <c r="J36" s="177"/>
      <c r="K36" s="177"/>
      <c r="L36" s="177"/>
      <c r="M36" s="177"/>
    </row>
    <row r="37">
      <c r="A37" s="172">
        <v>43665.0</v>
      </c>
      <c r="B37" s="173">
        <v>1298.0</v>
      </c>
      <c r="C37" s="174">
        <f t="shared" ref="C37:F37" si="8">B21-C21</f>
        <v>80</v>
      </c>
      <c r="D37" s="175">
        <f t="shared" si="8"/>
        <v>278</v>
      </c>
      <c r="E37" s="175">
        <f t="shared" si="8"/>
        <v>72</v>
      </c>
      <c r="F37" s="175">
        <f t="shared" si="8"/>
        <v>64</v>
      </c>
      <c r="G37" s="177"/>
      <c r="H37" s="177"/>
      <c r="I37" s="177"/>
      <c r="J37" s="177"/>
      <c r="K37" s="177"/>
      <c r="L37" s="177"/>
      <c r="M37" s="177"/>
    </row>
    <row r="38">
      <c r="A38" s="172">
        <v>43672.0</v>
      </c>
      <c r="B38" s="173">
        <v>1420.0</v>
      </c>
      <c r="C38" s="174">
        <f t="shared" ref="C38:E38" si="9">B22-C22</f>
        <v>70</v>
      </c>
      <c r="D38" s="175">
        <f t="shared" si="9"/>
        <v>312.4</v>
      </c>
      <c r="E38" s="175">
        <f t="shared" si="9"/>
        <v>72</v>
      </c>
      <c r="F38" s="177"/>
      <c r="G38" s="177"/>
      <c r="H38" s="177"/>
      <c r="I38" s="177"/>
      <c r="J38" s="177"/>
      <c r="K38" s="177"/>
      <c r="L38" s="177"/>
      <c r="M38" s="177"/>
    </row>
    <row r="39">
      <c r="A39" s="172">
        <v>43680.0</v>
      </c>
      <c r="B39" s="173">
        <v>1670.0</v>
      </c>
      <c r="C39" s="174">
        <f t="shared" ref="C39:D39" si="10">B23-C23</f>
        <v>83</v>
      </c>
      <c r="D39" s="175">
        <f t="shared" si="10"/>
        <v>385.4</v>
      </c>
      <c r="E39" s="177"/>
      <c r="F39" s="177"/>
      <c r="G39" s="177"/>
      <c r="H39" s="177"/>
      <c r="I39" s="177"/>
      <c r="J39" s="177"/>
      <c r="K39" s="177"/>
      <c r="L39" s="177"/>
      <c r="M39" s="177"/>
    </row>
    <row r="40">
      <c r="A40" s="187">
        <v>43687.0</v>
      </c>
      <c r="B40" s="174">
        <v>1820.0</v>
      </c>
      <c r="C40" s="174">
        <f>B24-C24</f>
        <v>102</v>
      </c>
      <c r="D40" s="177"/>
      <c r="E40" s="177"/>
      <c r="F40" s="177"/>
      <c r="G40" s="177"/>
      <c r="H40" s="177"/>
      <c r="I40" s="177"/>
      <c r="J40" s="177"/>
      <c r="K40" s="177"/>
      <c r="L40" s="177"/>
      <c r="M40" s="177"/>
    </row>
    <row r="41">
      <c r="A41" s="159"/>
      <c r="B41" s="159"/>
      <c r="C41" s="159"/>
      <c r="D41" s="159"/>
      <c r="E41" s="159"/>
      <c r="F41" s="159"/>
      <c r="G41" s="159"/>
      <c r="H41" s="159"/>
      <c r="I41" s="159"/>
      <c r="J41" s="159"/>
      <c r="K41" s="159"/>
      <c r="L41" s="159"/>
      <c r="M41" s="159"/>
    </row>
    <row r="42">
      <c r="A42" s="159"/>
      <c r="B42" s="159"/>
      <c r="C42" s="159"/>
      <c r="D42" s="159"/>
      <c r="E42" s="159"/>
      <c r="F42" s="159"/>
      <c r="G42" s="159"/>
      <c r="H42" s="159"/>
      <c r="I42" s="159"/>
      <c r="J42" s="159"/>
      <c r="K42" s="159"/>
      <c r="L42" s="159"/>
      <c r="M42" s="159"/>
    </row>
    <row r="43">
      <c r="A43" s="188" t="s">
        <v>98</v>
      </c>
      <c r="B43" s="189" t="s">
        <v>192</v>
      </c>
      <c r="C43" s="190" t="s">
        <v>195</v>
      </c>
      <c r="D43" s="189" t="s">
        <v>196</v>
      </c>
      <c r="E43" s="189" t="s">
        <v>197</v>
      </c>
      <c r="F43" s="189" t="s">
        <v>198</v>
      </c>
      <c r="G43" s="190" t="s">
        <v>199</v>
      </c>
      <c r="H43" s="159"/>
      <c r="I43" s="159"/>
      <c r="J43" s="159"/>
      <c r="K43" s="159"/>
      <c r="L43" s="159"/>
      <c r="M43" s="159"/>
    </row>
    <row r="44">
      <c r="A44" s="191">
        <v>43617.0</v>
      </c>
      <c r="B44" s="171">
        <v>240.0</v>
      </c>
      <c r="C44" s="192">
        <v>237.0</v>
      </c>
      <c r="D44" s="193">
        <f>C30</f>
        <v>3</v>
      </c>
      <c r="E44" s="192">
        <v>474.0</v>
      </c>
      <c r="F44" s="194">
        <f t="shared" ref="F44:F54" si="11">C44*0.97</f>
        <v>229.89</v>
      </c>
      <c r="G44" s="195">
        <v>7.0</v>
      </c>
      <c r="H44" s="159"/>
      <c r="I44" s="159"/>
      <c r="J44" s="159"/>
      <c r="K44" s="159"/>
      <c r="L44" s="159"/>
      <c r="M44" s="159"/>
    </row>
    <row r="45">
      <c r="A45" s="191">
        <v>43623.0</v>
      </c>
      <c r="B45" s="171">
        <v>324.0</v>
      </c>
      <c r="C45" s="195">
        <v>486.0</v>
      </c>
      <c r="D45" s="195">
        <v>75.0</v>
      </c>
      <c r="E45" s="195">
        <v>735.0</v>
      </c>
      <c r="F45" s="194">
        <f t="shared" si="11"/>
        <v>471.42</v>
      </c>
      <c r="G45" s="196">
        <f t="shared" ref="G45:G54" si="12">C45-F45</f>
        <v>14.58</v>
      </c>
      <c r="H45" s="159"/>
      <c r="I45" s="159"/>
      <c r="J45" s="159"/>
      <c r="K45" s="159"/>
      <c r="L45" s="159"/>
      <c r="M45" s="159"/>
    </row>
    <row r="46">
      <c r="A46" s="191">
        <v>43630.0</v>
      </c>
      <c r="B46" s="171">
        <v>425.0</v>
      </c>
      <c r="C46" s="197">
        <f>C16+D15+E14</f>
        <v>814</v>
      </c>
      <c r="D46" s="197">
        <f>C32+D31+E30</f>
        <v>97.2</v>
      </c>
      <c r="E46" s="197">
        <f t="shared" ref="E46:E54" si="13">B46+F46+G46-D46</f>
        <v>1141.8</v>
      </c>
      <c r="F46" s="194">
        <f t="shared" si="11"/>
        <v>789.58</v>
      </c>
      <c r="G46" s="197">
        <f t="shared" si="12"/>
        <v>24.42</v>
      </c>
      <c r="H46" s="159"/>
      <c r="I46" s="159"/>
      <c r="J46" s="159"/>
      <c r="K46" s="159"/>
      <c r="L46" s="159"/>
      <c r="M46" s="159"/>
    </row>
    <row r="47">
      <c r="A47" s="191">
        <v>43637.0</v>
      </c>
      <c r="B47" s="171">
        <v>634.0</v>
      </c>
      <c r="C47" s="197">
        <f>C17+D16+E15+F14</f>
        <v>1308.4</v>
      </c>
      <c r="D47" s="197">
        <f>D33+E32+F31+G30</f>
        <v>189.2</v>
      </c>
      <c r="E47" s="197">
        <f t="shared" si="13"/>
        <v>1753.2</v>
      </c>
      <c r="F47" s="194">
        <f t="shared" si="11"/>
        <v>1269.148</v>
      </c>
      <c r="G47" s="197">
        <f t="shared" si="12"/>
        <v>39.252</v>
      </c>
      <c r="H47" s="159"/>
      <c r="I47" s="159"/>
      <c r="J47" s="159"/>
      <c r="K47" s="159"/>
      <c r="L47" s="159"/>
      <c r="M47" s="159"/>
    </row>
    <row r="48">
      <c r="A48" s="191">
        <v>43644.0</v>
      </c>
      <c r="B48" s="171">
        <v>796.0</v>
      </c>
      <c r="C48" s="197">
        <f>C18+D17+E16+F15+G14</f>
        <v>1891.2</v>
      </c>
      <c r="D48" s="197">
        <f>D34+E33+F32+G31+H30</f>
        <v>236.8</v>
      </c>
      <c r="E48" s="197">
        <f t="shared" si="13"/>
        <v>2450.4</v>
      </c>
      <c r="F48" s="194">
        <f t="shared" si="11"/>
        <v>1834.464</v>
      </c>
      <c r="G48" s="197">
        <f t="shared" si="12"/>
        <v>56.736</v>
      </c>
      <c r="H48" s="159"/>
      <c r="I48" s="159"/>
      <c r="J48" s="159"/>
      <c r="K48" s="159"/>
      <c r="L48" s="159"/>
      <c r="M48" s="159"/>
    </row>
    <row r="49">
      <c r="A49" s="191">
        <v>43651.0</v>
      </c>
      <c r="B49" s="171">
        <v>918.0</v>
      </c>
      <c r="C49" s="197">
        <f>C19+D18+E17+F16+G15+H14</f>
        <v>2539.4</v>
      </c>
      <c r="D49" s="197">
        <f>D35+E34+F33+G32+H31+I30</f>
        <v>289.8</v>
      </c>
      <c r="E49" s="197">
        <f t="shared" si="13"/>
        <v>3167.6</v>
      </c>
      <c r="F49" s="194">
        <f t="shared" si="11"/>
        <v>2463.218</v>
      </c>
      <c r="G49" s="197">
        <f t="shared" si="12"/>
        <v>76.182</v>
      </c>
      <c r="H49" s="159"/>
      <c r="I49" s="159"/>
      <c r="J49" s="159"/>
      <c r="K49" s="159"/>
      <c r="L49" s="159"/>
      <c r="M49" s="159"/>
    </row>
    <row r="50">
      <c r="A50" s="191">
        <v>43658.0</v>
      </c>
      <c r="B50" s="171">
        <v>1129.0</v>
      </c>
      <c r="C50" s="197">
        <f>C20+D19+E18+F17+G16+H15+I14</f>
        <v>3333.6</v>
      </c>
      <c r="D50" s="197">
        <f>D36+E35+F34+G33+H32+I31+J30</f>
        <v>380</v>
      </c>
      <c r="E50" s="197">
        <f t="shared" si="13"/>
        <v>4082.6</v>
      </c>
      <c r="F50" s="194">
        <f t="shared" si="11"/>
        <v>3233.592</v>
      </c>
      <c r="G50" s="197">
        <f t="shared" si="12"/>
        <v>100.008</v>
      </c>
      <c r="I50" s="159"/>
      <c r="J50" s="159"/>
      <c r="K50" s="159"/>
      <c r="L50" s="159"/>
      <c r="M50" s="159"/>
    </row>
    <row r="51">
      <c r="A51" s="191">
        <v>43665.0</v>
      </c>
      <c r="B51" s="171">
        <v>1298.0</v>
      </c>
      <c r="C51" s="197">
        <f>C21+D20+E19+F18+G17+H16+I15+J14</f>
        <v>4171.6</v>
      </c>
      <c r="D51" s="197">
        <f>D37+E36+F35+G34+H33+I32+J31+K30</f>
        <v>422.8</v>
      </c>
      <c r="E51" s="197">
        <f t="shared" si="13"/>
        <v>5046.8</v>
      </c>
      <c r="F51" s="194">
        <f t="shared" si="11"/>
        <v>4046.452</v>
      </c>
      <c r="G51" s="197">
        <f t="shared" si="12"/>
        <v>125.148</v>
      </c>
      <c r="H51" s="159"/>
      <c r="I51" s="159"/>
      <c r="J51" s="159"/>
      <c r="K51" s="159"/>
      <c r="L51" s="159"/>
      <c r="M51" s="159"/>
    </row>
    <row r="52">
      <c r="A52" s="191">
        <v>43672.0</v>
      </c>
      <c r="B52" s="171">
        <v>1420.0</v>
      </c>
      <c r="C52" s="197">
        <f>C22+D21+E20+F19+G18+H17+I16+J15+K14</f>
        <v>5098.8</v>
      </c>
      <c r="D52" s="197">
        <f>D38+E37+F36+G35</f>
        <v>441.2</v>
      </c>
      <c r="E52" s="197">
        <f t="shared" si="13"/>
        <v>6077.6</v>
      </c>
      <c r="F52" s="194">
        <f t="shared" si="11"/>
        <v>4945.836</v>
      </c>
      <c r="G52" s="197">
        <f t="shared" si="12"/>
        <v>152.964</v>
      </c>
      <c r="H52" s="159"/>
      <c r="I52" s="159"/>
      <c r="J52" s="159"/>
      <c r="K52" s="159"/>
      <c r="L52" s="159"/>
      <c r="M52" s="159"/>
    </row>
    <row r="53">
      <c r="A53" s="191">
        <v>43680.0</v>
      </c>
      <c r="B53" s="171">
        <v>1670.0</v>
      </c>
      <c r="C53" s="197">
        <f>C23+D22+E21+F20+G19+H18+I17+J16+K15+L14</f>
        <v>6180.6</v>
      </c>
      <c r="D53" s="197">
        <f>D39+E38+F37+G36+H35+I34+J33+K32+L31+M30</f>
        <v>634.4</v>
      </c>
      <c r="E53" s="197">
        <f t="shared" si="13"/>
        <v>7216.2</v>
      </c>
      <c r="F53" s="194">
        <f t="shared" si="11"/>
        <v>5995.182</v>
      </c>
      <c r="G53" s="197">
        <f t="shared" si="12"/>
        <v>185.418</v>
      </c>
      <c r="H53" s="159"/>
      <c r="I53" s="159"/>
      <c r="J53" s="159"/>
      <c r="K53" s="159"/>
      <c r="L53" s="159"/>
      <c r="M53" s="159"/>
    </row>
    <row r="54">
      <c r="A54" s="191">
        <v>43687.0</v>
      </c>
      <c r="B54" s="171">
        <v>1820.0</v>
      </c>
      <c r="C54" s="197">
        <f>C24+D23+E22+F21+G20+H19+I18+J17+K16+L15+M14</f>
        <v>7264.2</v>
      </c>
      <c r="D54" s="197">
        <f>C40+D39+E38+F37+G36+H35+I34+J33+K32+L31+M30</f>
        <v>736.4</v>
      </c>
      <c r="E54" s="197">
        <f t="shared" si="13"/>
        <v>8347.8</v>
      </c>
      <c r="F54" s="194">
        <f t="shared" si="11"/>
        <v>7046.274</v>
      </c>
      <c r="G54" s="197">
        <f t="shared" si="12"/>
        <v>217.926</v>
      </c>
      <c r="H54" s="159"/>
      <c r="I54" s="159"/>
      <c r="J54" s="159"/>
      <c r="K54" s="159"/>
      <c r="L54" s="159"/>
      <c r="M54" s="159"/>
    </row>
    <row r="55">
      <c r="A55" s="159"/>
      <c r="B55" s="164"/>
      <c r="C55" s="164"/>
      <c r="D55" s="164"/>
      <c r="E55" s="164"/>
      <c r="F55" s="164"/>
      <c r="G55" s="159"/>
      <c r="H55" s="159"/>
      <c r="I55" s="159"/>
      <c r="J55" s="159"/>
      <c r="K55" s="159"/>
      <c r="L55" s="159"/>
      <c r="M55" s="159"/>
    </row>
    <row r="56">
      <c r="A56" s="198"/>
      <c r="B56" s="199" t="s">
        <v>200</v>
      </c>
      <c r="C56" s="70"/>
      <c r="D56" s="70"/>
      <c r="E56" s="70"/>
      <c r="F56" s="40"/>
      <c r="G56" s="159"/>
      <c r="H56" s="159"/>
      <c r="I56" s="159"/>
      <c r="J56" s="159"/>
      <c r="K56" s="159"/>
      <c r="L56" s="159"/>
      <c r="M56" s="159"/>
    </row>
    <row r="57">
      <c r="A57" s="198"/>
      <c r="B57" s="42"/>
      <c r="F57" s="43"/>
      <c r="G57" s="159"/>
      <c r="H57" s="159"/>
      <c r="I57" s="159"/>
      <c r="J57" s="159"/>
      <c r="K57" s="159"/>
      <c r="L57" s="159"/>
      <c r="M57" s="159"/>
    </row>
    <row r="58">
      <c r="A58" s="198"/>
      <c r="B58" s="42"/>
      <c r="F58" s="43"/>
      <c r="G58" s="159"/>
      <c r="H58" s="159"/>
      <c r="I58" s="159"/>
      <c r="J58" s="159"/>
      <c r="K58" s="159"/>
      <c r="L58" s="159"/>
      <c r="M58" s="159"/>
    </row>
    <row r="59">
      <c r="A59" s="198"/>
      <c r="B59" s="42"/>
      <c r="F59" s="43"/>
      <c r="G59" s="159"/>
      <c r="H59" s="159"/>
      <c r="I59" s="159"/>
      <c r="J59" s="159"/>
      <c r="K59" s="159"/>
      <c r="L59" s="159"/>
      <c r="M59" s="159"/>
    </row>
    <row r="60">
      <c r="A60" s="198"/>
      <c r="B60" s="42"/>
      <c r="F60" s="43"/>
      <c r="G60" s="159"/>
      <c r="H60" s="159"/>
      <c r="I60" s="159"/>
      <c r="J60" s="159"/>
      <c r="K60" s="159"/>
      <c r="L60" s="159"/>
      <c r="M60" s="159"/>
    </row>
    <row r="61">
      <c r="A61" s="198"/>
      <c r="B61" s="42"/>
      <c r="F61" s="43"/>
      <c r="G61" s="159"/>
      <c r="H61" s="159"/>
      <c r="I61" s="159"/>
      <c r="J61" s="159"/>
      <c r="K61" s="159"/>
      <c r="L61" s="159"/>
      <c r="M61" s="159"/>
    </row>
    <row r="62">
      <c r="A62" s="198"/>
      <c r="B62" s="42"/>
      <c r="F62" s="43"/>
      <c r="G62" s="159"/>
      <c r="H62" s="159"/>
      <c r="I62" s="159"/>
      <c r="J62" s="159"/>
      <c r="K62" s="159"/>
      <c r="L62" s="159"/>
      <c r="M62" s="159"/>
    </row>
    <row r="63">
      <c r="A63" s="198"/>
      <c r="B63" s="42"/>
      <c r="F63" s="43"/>
      <c r="G63" s="159"/>
      <c r="H63" s="159"/>
      <c r="I63" s="159"/>
      <c r="J63" s="159"/>
      <c r="K63" s="159"/>
      <c r="L63" s="159"/>
      <c r="M63" s="159"/>
    </row>
    <row r="64">
      <c r="A64" s="198"/>
      <c r="B64" s="42"/>
      <c r="F64" s="43"/>
      <c r="G64" s="159"/>
      <c r="H64" s="159"/>
      <c r="I64" s="159"/>
      <c r="J64" s="159"/>
      <c r="K64" s="159"/>
      <c r="L64" s="159"/>
      <c r="M64" s="159"/>
    </row>
    <row r="65">
      <c r="A65" s="198"/>
      <c r="B65" s="42"/>
      <c r="F65" s="43"/>
      <c r="G65" s="159"/>
      <c r="H65" s="159"/>
      <c r="I65" s="159"/>
      <c r="J65" s="159"/>
      <c r="K65" s="159"/>
      <c r="L65" s="159"/>
      <c r="M65" s="159"/>
    </row>
    <row r="66">
      <c r="A66" s="198"/>
      <c r="B66" s="42"/>
      <c r="F66" s="43"/>
      <c r="G66" s="159"/>
      <c r="H66" s="159"/>
      <c r="I66" s="159"/>
      <c r="J66" s="159"/>
      <c r="K66" s="159"/>
      <c r="L66" s="159"/>
      <c r="M66" s="159"/>
    </row>
    <row r="67">
      <c r="A67" s="198"/>
      <c r="B67" s="42"/>
      <c r="F67" s="43"/>
      <c r="G67" s="159"/>
      <c r="H67" s="159"/>
      <c r="I67" s="159"/>
      <c r="J67" s="159"/>
      <c r="K67" s="159"/>
      <c r="L67" s="159"/>
      <c r="M67" s="159"/>
    </row>
    <row r="68">
      <c r="A68" s="198"/>
      <c r="B68" s="42"/>
      <c r="F68" s="43"/>
      <c r="G68" s="159"/>
      <c r="H68" s="159"/>
      <c r="I68" s="159"/>
      <c r="J68" s="159"/>
      <c r="K68" s="159"/>
      <c r="L68" s="159"/>
      <c r="M68" s="159"/>
    </row>
    <row r="69">
      <c r="A69" s="198"/>
      <c r="B69" s="42"/>
      <c r="F69" s="43"/>
      <c r="G69" s="159"/>
      <c r="H69" s="200"/>
      <c r="I69" s="159"/>
      <c r="J69" s="159"/>
      <c r="K69" s="159"/>
      <c r="L69" s="159"/>
      <c r="M69" s="159"/>
    </row>
    <row r="70">
      <c r="A70" s="198"/>
      <c r="B70" s="42"/>
      <c r="F70" s="43"/>
      <c r="G70" s="159"/>
      <c r="H70" s="159"/>
      <c r="I70" s="159"/>
      <c r="J70" s="159"/>
      <c r="K70" s="159"/>
      <c r="L70" s="159"/>
      <c r="M70" s="159"/>
    </row>
    <row r="71">
      <c r="A71" s="198"/>
      <c r="B71" s="42"/>
      <c r="F71" s="43"/>
      <c r="G71" s="159"/>
      <c r="H71" s="159"/>
      <c r="I71" s="159"/>
      <c r="J71" s="159"/>
      <c r="K71" s="159"/>
      <c r="L71" s="159"/>
      <c r="M71" s="159"/>
    </row>
    <row r="72">
      <c r="A72" s="198"/>
      <c r="B72" s="42"/>
      <c r="F72" s="43"/>
      <c r="G72" s="159"/>
      <c r="H72" s="159"/>
      <c r="I72" s="159"/>
      <c r="J72" s="159"/>
      <c r="K72" s="159"/>
      <c r="L72" s="159"/>
      <c r="M72" s="159"/>
    </row>
    <row r="73">
      <c r="A73" s="198"/>
      <c r="B73" s="42"/>
      <c r="F73" s="43"/>
      <c r="G73" s="159"/>
      <c r="H73" s="159"/>
      <c r="I73" s="159"/>
      <c r="J73" s="159"/>
      <c r="K73" s="159"/>
      <c r="L73" s="159"/>
      <c r="M73" s="159"/>
    </row>
    <row r="74">
      <c r="A74" s="198"/>
      <c r="B74" s="44"/>
      <c r="C74" s="20"/>
      <c r="D74" s="20"/>
      <c r="E74" s="20"/>
      <c r="F74" s="21"/>
      <c r="G74" s="159"/>
      <c r="H74" s="159"/>
      <c r="I74" s="159"/>
      <c r="J74" s="159"/>
      <c r="K74" s="159"/>
      <c r="L74" s="159"/>
      <c r="M74" s="159"/>
    </row>
  </sheetData>
  <mergeCells count="15">
    <mergeCell ref="A8:H8"/>
    <mergeCell ref="A9:H9"/>
    <mergeCell ref="A10:H10"/>
    <mergeCell ref="A11:M11"/>
    <mergeCell ref="C12:M12"/>
    <mergeCell ref="A27:M27"/>
    <mergeCell ref="C28:M28"/>
    <mergeCell ref="B56:F74"/>
    <mergeCell ref="A1:M1"/>
    <mergeCell ref="A2:H2"/>
    <mergeCell ref="A3:H3"/>
    <mergeCell ref="A4:H4"/>
    <mergeCell ref="A5:H5"/>
    <mergeCell ref="A6:H6"/>
    <mergeCell ref="A7:H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25"/>
    <col customWidth="1" min="2" max="2" width="12.88"/>
  </cols>
  <sheetData>
    <row r="1">
      <c r="A1" s="201" t="s">
        <v>15</v>
      </c>
      <c r="B1" s="20"/>
      <c r="C1" s="20"/>
      <c r="D1" s="20"/>
      <c r="E1" s="20"/>
      <c r="F1" s="20"/>
      <c r="G1" s="20"/>
      <c r="H1" s="20"/>
      <c r="I1" s="20"/>
      <c r="J1" s="20"/>
      <c r="K1" s="20"/>
      <c r="L1" s="20"/>
      <c r="M1" s="20"/>
    </row>
    <row r="2">
      <c r="A2" s="158" t="s">
        <v>201</v>
      </c>
      <c r="B2" s="3"/>
      <c r="C2" s="3"/>
      <c r="D2" s="3"/>
      <c r="E2" s="3"/>
      <c r="F2" s="3"/>
      <c r="G2" s="3"/>
      <c r="H2" s="4"/>
      <c r="K2" s="159"/>
      <c r="L2" s="159"/>
      <c r="M2" s="159"/>
    </row>
    <row r="3">
      <c r="A3" s="56" t="s">
        <v>202</v>
      </c>
      <c r="B3" s="3"/>
      <c r="C3" s="3"/>
      <c r="D3" s="3"/>
      <c r="E3" s="3"/>
      <c r="F3" s="3"/>
      <c r="G3" s="3"/>
      <c r="H3" s="4"/>
      <c r="K3" s="159"/>
      <c r="L3" s="159"/>
      <c r="M3" s="159"/>
    </row>
    <row r="4">
      <c r="A4" s="56" t="s">
        <v>203</v>
      </c>
      <c r="B4" s="3"/>
      <c r="C4" s="3"/>
      <c r="D4" s="3"/>
      <c r="E4" s="3"/>
      <c r="F4" s="3"/>
      <c r="G4" s="3"/>
      <c r="H4" s="4"/>
      <c r="K4" s="159"/>
      <c r="L4" s="159"/>
      <c r="M4" s="159"/>
    </row>
    <row r="5">
      <c r="A5" s="56" t="s">
        <v>204</v>
      </c>
      <c r="B5" s="3"/>
      <c r="C5" s="3"/>
      <c r="D5" s="3"/>
      <c r="E5" s="3"/>
      <c r="F5" s="3"/>
      <c r="G5" s="3"/>
      <c r="H5" s="4"/>
      <c r="K5" s="159"/>
      <c r="L5" s="159"/>
      <c r="M5" s="159"/>
    </row>
    <row r="6">
      <c r="A6" s="202" t="s">
        <v>205</v>
      </c>
      <c r="B6" s="70"/>
      <c r="C6" s="70"/>
      <c r="D6" s="70"/>
      <c r="E6" s="70"/>
      <c r="F6" s="70"/>
      <c r="G6" s="70"/>
      <c r="H6" s="40"/>
      <c r="K6" s="159"/>
      <c r="L6" s="159"/>
      <c r="M6" s="159"/>
    </row>
    <row r="7">
      <c r="A7" s="160" t="s">
        <v>206</v>
      </c>
      <c r="B7" s="70"/>
      <c r="C7" s="70"/>
      <c r="D7" s="70"/>
      <c r="E7" s="70"/>
      <c r="F7" s="70"/>
      <c r="G7" s="70"/>
      <c r="H7" s="40"/>
      <c r="K7" s="159"/>
      <c r="L7" s="159"/>
      <c r="M7" s="159"/>
    </row>
    <row r="8">
      <c r="A8" s="203" t="s">
        <v>207</v>
      </c>
      <c r="H8" s="43"/>
      <c r="K8" s="159"/>
      <c r="L8" s="159"/>
      <c r="M8" s="159"/>
    </row>
    <row r="9">
      <c r="A9" s="203" t="s">
        <v>208</v>
      </c>
      <c r="H9" s="43"/>
      <c r="K9" s="159"/>
      <c r="L9" s="159"/>
      <c r="M9" s="159"/>
    </row>
    <row r="10">
      <c r="A10" s="203" t="s">
        <v>209</v>
      </c>
      <c r="H10" s="43"/>
      <c r="K10" s="159"/>
      <c r="L10" s="159"/>
      <c r="M10" s="159"/>
    </row>
    <row r="11">
      <c r="A11" s="204" t="s">
        <v>210</v>
      </c>
      <c r="B11" s="20"/>
      <c r="C11" s="20"/>
      <c r="D11" s="20"/>
      <c r="E11" s="20"/>
      <c r="F11" s="20"/>
      <c r="G11" s="20"/>
      <c r="H11" s="21"/>
      <c r="K11" s="159"/>
      <c r="L11" s="159"/>
      <c r="M11" s="159"/>
    </row>
    <row r="12">
      <c r="A12" s="163" t="s">
        <v>124</v>
      </c>
      <c r="B12" s="3"/>
      <c r="C12" s="3"/>
      <c r="D12" s="3"/>
      <c r="E12" s="3"/>
      <c r="F12" s="3"/>
      <c r="G12" s="3"/>
      <c r="H12" s="4"/>
      <c r="I12" s="164"/>
      <c r="J12" s="164"/>
      <c r="K12" s="164"/>
      <c r="L12" s="164"/>
      <c r="M12" s="164"/>
    </row>
    <row r="13">
      <c r="A13" s="205" t="s">
        <v>211</v>
      </c>
      <c r="B13" s="174" t="s">
        <v>212</v>
      </c>
      <c r="C13" s="174" t="s">
        <v>213</v>
      </c>
      <c r="D13" s="174" t="s">
        <v>214</v>
      </c>
      <c r="E13" s="174" t="s">
        <v>215</v>
      </c>
      <c r="F13" s="174" t="s">
        <v>216</v>
      </c>
      <c r="G13" s="174" t="s">
        <v>217</v>
      </c>
      <c r="H13" s="174" t="s">
        <v>218</v>
      </c>
      <c r="I13" s="174" t="s">
        <v>219</v>
      </c>
      <c r="J13" s="174" t="s">
        <v>220</v>
      </c>
      <c r="K13" s="174" t="s">
        <v>221</v>
      </c>
      <c r="L13" s="174" t="s">
        <v>222</v>
      </c>
      <c r="M13" s="174" t="s">
        <v>223</v>
      </c>
    </row>
    <row r="14">
      <c r="A14" s="206" t="s">
        <v>224</v>
      </c>
      <c r="B14" s="175">
        <v>97.0</v>
      </c>
      <c r="C14" s="175">
        <f>B14*1.21</f>
        <v>117.37</v>
      </c>
      <c r="D14" s="175">
        <f>C14*1.27</f>
        <v>149.0599</v>
      </c>
      <c r="E14" s="175">
        <f>D14*1.22</f>
        <v>181.853078</v>
      </c>
      <c r="F14" s="175">
        <f>E14*1.26</f>
        <v>229.1348783</v>
      </c>
      <c r="G14" s="175">
        <f>F14*1.23</f>
        <v>281.8359003</v>
      </c>
      <c r="H14" s="175">
        <f t="shared" ref="H14:I14" si="1">G14*1.18</f>
        <v>332.5663623</v>
      </c>
      <c r="I14" s="175">
        <f t="shared" si="1"/>
        <v>392.4283076</v>
      </c>
      <c r="J14" s="175">
        <f>I14*1.28</f>
        <v>502.3082337</v>
      </c>
      <c r="K14" s="175">
        <f>J14*1.29</f>
        <v>647.9776214</v>
      </c>
      <c r="L14" s="175">
        <f>K14*1.19</f>
        <v>771.0933695</v>
      </c>
      <c r="M14" s="175">
        <f>L14*1.25</f>
        <v>963.8667119</v>
      </c>
    </row>
    <row r="15">
      <c r="A15" s="207" t="s">
        <v>225</v>
      </c>
      <c r="B15" s="174">
        <v>1523.0</v>
      </c>
      <c r="C15" s="175">
        <f t="shared" ref="C15:M15" si="2">B15*1.25</f>
        <v>1903.75</v>
      </c>
      <c r="D15" s="175">
        <f t="shared" si="2"/>
        <v>2379.6875</v>
      </c>
      <c r="E15" s="175">
        <f t="shared" si="2"/>
        <v>2974.609375</v>
      </c>
      <c r="F15" s="175">
        <f t="shared" si="2"/>
        <v>3718.261719</v>
      </c>
      <c r="G15" s="175">
        <f t="shared" si="2"/>
        <v>4647.827148</v>
      </c>
      <c r="H15" s="175">
        <f t="shared" si="2"/>
        <v>5809.783936</v>
      </c>
      <c r="I15" s="175">
        <f t="shared" si="2"/>
        <v>7262.229919</v>
      </c>
      <c r="J15" s="175">
        <f t="shared" si="2"/>
        <v>9077.787399</v>
      </c>
      <c r="K15" s="175">
        <f t="shared" si="2"/>
        <v>11347.23425</v>
      </c>
      <c r="L15" s="175">
        <f t="shared" si="2"/>
        <v>14184.04281</v>
      </c>
      <c r="M15" s="175">
        <f t="shared" si="2"/>
        <v>17730.05351</v>
      </c>
    </row>
    <row r="16">
      <c r="A16" s="207" t="s">
        <v>226</v>
      </c>
      <c r="B16" s="175">
        <f t="shared" ref="B16:M16" si="3">B15-B14</f>
        <v>1426</v>
      </c>
      <c r="C16" s="175">
        <f t="shared" si="3"/>
        <v>1786.38</v>
      </c>
      <c r="D16" s="175">
        <f t="shared" si="3"/>
        <v>2230.6276</v>
      </c>
      <c r="E16" s="175">
        <f t="shared" si="3"/>
        <v>2792.756297</v>
      </c>
      <c r="F16" s="175">
        <f t="shared" si="3"/>
        <v>3489.12684</v>
      </c>
      <c r="G16" s="175">
        <f t="shared" si="3"/>
        <v>4365.991248</v>
      </c>
      <c r="H16" s="175">
        <f t="shared" si="3"/>
        <v>5477.217573</v>
      </c>
      <c r="I16" s="175">
        <f t="shared" si="3"/>
        <v>6869.801612</v>
      </c>
      <c r="J16" s="175">
        <f t="shared" si="3"/>
        <v>8575.479166</v>
      </c>
      <c r="K16" s="175">
        <f t="shared" si="3"/>
        <v>10699.25663</v>
      </c>
      <c r="L16" s="175">
        <f t="shared" si="3"/>
        <v>13412.94944</v>
      </c>
      <c r="M16" s="175">
        <f t="shared" si="3"/>
        <v>16766.1868</v>
      </c>
    </row>
    <row r="17">
      <c r="A17" s="208" t="s">
        <v>227</v>
      </c>
      <c r="B17" s="209">
        <v>83.0</v>
      </c>
      <c r="C17" s="209">
        <f t="shared" ref="C17:M17" si="4">B17*1.13</f>
        <v>93.79</v>
      </c>
      <c r="D17" s="209">
        <f t="shared" si="4"/>
        <v>105.9827</v>
      </c>
      <c r="E17" s="209">
        <f t="shared" si="4"/>
        <v>119.760451</v>
      </c>
      <c r="F17" s="209">
        <f t="shared" si="4"/>
        <v>135.3293096</v>
      </c>
      <c r="G17" s="209">
        <f t="shared" si="4"/>
        <v>152.9221199</v>
      </c>
      <c r="H17" s="209">
        <f t="shared" si="4"/>
        <v>172.8019955</v>
      </c>
      <c r="I17" s="209">
        <f t="shared" si="4"/>
        <v>195.2662549</v>
      </c>
      <c r="J17" s="209">
        <f t="shared" si="4"/>
        <v>220.650868</v>
      </c>
      <c r="K17" s="209">
        <f t="shared" si="4"/>
        <v>249.3354809</v>
      </c>
      <c r="L17" s="209">
        <f t="shared" si="4"/>
        <v>281.7490934</v>
      </c>
      <c r="M17" s="209">
        <f t="shared" si="4"/>
        <v>318.3764755</v>
      </c>
    </row>
    <row r="18">
      <c r="A18" s="210" t="s">
        <v>228</v>
      </c>
      <c r="B18" s="211">
        <v>0.82</v>
      </c>
      <c r="C18" s="211">
        <v>0.82</v>
      </c>
      <c r="D18" s="211">
        <v>0.82</v>
      </c>
      <c r="E18" s="211">
        <v>0.82</v>
      </c>
      <c r="F18" s="211">
        <v>0.82</v>
      </c>
      <c r="G18" s="211">
        <v>0.82</v>
      </c>
      <c r="H18" s="211">
        <v>0.82</v>
      </c>
      <c r="I18" s="211">
        <v>0.82</v>
      </c>
      <c r="J18" s="211">
        <v>0.82</v>
      </c>
      <c r="K18" s="211">
        <v>0.82</v>
      </c>
      <c r="L18" s="211">
        <v>0.82</v>
      </c>
      <c r="M18" s="211">
        <v>0.82</v>
      </c>
    </row>
    <row r="19">
      <c r="A19" s="210" t="s">
        <v>229</v>
      </c>
      <c r="B19" s="212">
        <v>0.0637</v>
      </c>
      <c r="C19" s="213">
        <f t="shared" ref="C19:M19" si="5">C14/C15</f>
        <v>0.06165200263</v>
      </c>
      <c r="D19" s="213">
        <f t="shared" si="5"/>
        <v>0.06263843467</v>
      </c>
      <c r="E19" s="213">
        <f t="shared" si="5"/>
        <v>0.06113511224</v>
      </c>
      <c r="F19" s="213">
        <f t="shared" si="5"/>
        <v>0.06162419313</v>
      </c>
      <c r="G19" s="213">
        <f t="shared" si="5"/>
        <v>0.06063820604</v>
      </c>
      <c r="H19" s="213">
        <f t="shared" si="5"/>
        <v>0.05724246651</v>
      </c>
      <c r="I19" s="213">
        <f t="shared" si="5"/>
        <v>0.05403688838</v>
      </c>
      <c r="J19" s="213">
        <f t="shared" si="5"/>
        <v>0.0553337737</v>
      </c>
      <c r="K19" s="213">
        <f t="shared" si="5"/>
        <v>0.05710445446</v>
      </c>
      <c r="L19" s="213">
        <f t="shared" si="5"/>
        <v>0.05436344065</v>
      </c>
      <c r="M19" s="213">
        <f t="shared" si="5"/>
        <v>0.05436344065</v>
      </c>
    </row>
    <row r="20">
      <c r="A20" s="210" t="s">
        <v>230</v>
      </c>
      <c r="B20" s="212">
        <v>0.9363</v>
      </c>
      <c r="C20" s="213">
        <f t="shared" ref="C20:M20" si="6">1-C19</f>
        <v>0.9383479974</v>
      </c>
      <c r="D20" s="213">
        <f t="shared" si="6"/>
        <v>0.9373615653</v>
      </c>
      <c r="E20" s="213">
        <f t="shared" si="6"/>
        <v>0.9388648878</v>
      </c>
      <c r="F20" s="213">
        <f t="shared" si="6"/>
        <v>0.9383758069</v>
      </c>
      <c r="G20" s="213">
        <f t="shared" si="6"/>
        <v>0.939361794</v>
      </c>
      <c r="H20" s="213">
        <f t="shared" si="6"/>
        <v>0.9427575335</v>
      </c>
      <c r="I20" s="213">
        <f t="shared" si="6"/>
        <v>0.9459631116</v>
      </c>
      <c r="J20" s="213">
        <f t="shared" si="6"/>
        <v>0.9446662263</v>
      </c>
      <c r="K20" s="213">
        <f t="shared" si="6"/>
        <v>0.9428955455</v>
      </c>
      <c r="L20" s="213">
        <f t="shared" si="6"/>
        <v>0.9456365594</v>
      </c>
      <c r="M20" s="213">
        <f t="shared" si="6"/>
        <v>0.9456365594</v>
      </c>
    </row>
    <row r="21">
      <c r="A21" s="210" t="s">
        <v>231</v>
      </c>
      <c r="B21" s="214">
        <v>1068.45</v>
      </c>
      <c r="C21" s="215">
        <f t="shared" ref="C21:M21" si="7">C17/C19</f>
        <v>1521.280672</v>
      </c>
      <c r="D21" s="215">
        <f t="shared" si="7"/>
        <v>1691.975551</v>
      </c>
      <c r="E21" s="215">
        <f t="shared" si="7"/>
        <v>1958.947103</v>
      </c>
      <c r="F21" s="215">
        <f t="shared" si="7"/>
        <v>2196.041891</v>
      </c>
      <c r="G21" s="215">
        <f t="shared" si="7"/>
        <v>2521.877375</v>
      </c>
      <c r="H21" s="215">
        <f t="shared" si="7"/>
        <v>3018.772705</v>
      </c>
      <c r="I21" s="215">
        <f t="shared" si="7"/>
        <v>3613.573259</v>
      </c>
      <c r="J21" s="215">
        <f t="shared" si="7"/>
        <v>3987.634554</v>
      </c>
      <c r="K21" s="215">
        <f t="shared" si="7"/>
        <v>4366.305277</v>
      </c>
      <c r="L21" s="215">
        <f t="shared" si="7"/>
        <v>5182.694289</v>
      </c>
      <c r="M21" s="215">
        <f t="shared" si="7"/>
        <v>5856.444546</v>
      </c>
    </row>
    <row r="22">
      <c r="A22" s="159"/>
      <c r="B22" s="159"/>
      <c r="C22" s="159"/>
      <c r="D22" s="159"/>
      <c r="E22" s="159"/>
      <c r="F22" s="159"/>
      <c r="G22" s="159"/>
      <c r="H22" s="159"/>
      <c r="I22" s="159"/>
      <c r="J22" s="159"/>
      <c r="K22" s="159"/>
      <c r="L22" s="159"/>
      <c r="M22" s="159"/>
    </row>
    <row r="23">
      <c r="A23" s="159"/>
      <c r="B23" s="159"/>
      <c r="C23" s="159"/>
      <c r="D23" s="159"/>
      <c r="E23" s="159"/>
      <c r="F23" s="159"/>
      <c r="G23" s="159"/>
      <c r="H23" s="159"/>
      <c r="I23" s="159"/>
      <c r="J23" s="159"/>
      <c r="K23" s="159"/>
      <c r="L23" s="159"/>
      <c r="M23" s="159"/>
    </row>
    <row r="24">
      <c r="A24" s="164"/>
      <c r="B24" s="164"/>
      <c r="C24" s="164"/>
      <c r="D24" s="164"/>
      <c r="E24" s="164"/>
      <c r="F24" s="164"/>
      <c r="G24" s="164"/>
      <c r="H24" s="164"/>
      <c r="I24" s="164"/>
      <c r="J24" s="164"/>
      <c r="K24" s="159"/>
      <c r="L24" s="159"/>
      <c r="M24" s="159"/>
    </row>
    <row r="25">
      <c r="A25" s="216" t="s">
        <v>232</v>
      </c>
      <c r="B25" s="217" t="s">
        <v>233</v>
      </c>
      <c r="J25" s="43"/>
      <c r="K25" s="159"/>
      <c r="L25" s="159"/>
      <c r="M25" s="159"/>
    </row>
    <row r="26" ht="36.75" customHeight="1">
      <c r="A26" s="49"/>
      <c r="B26" s="20"/>
      <c r="C26" s="20"/>
      <c r="D26" s="20"/>
      <c r="E26" s="20"/>
      <c r="F26" s="20"/>
      <c r="G26" s="20"/>
      <c r="H26" s="20"/>
      <c r="I26" s="20"/>
      <c r="J26" s="21"/>
      <c r="K26" s="159"/>
      <c r="L26" s="159"/>
      <c r="M26" s="159"/>
    </row>
    <row r="27">
      <c r="A27" s="216" t="s">
        <v>234</v>
      </c>
      <c r="B27" s="217" t="s">
        <v>235</v>
      </c>
      <c r="J27" s="43"/>
      <c r="K27" s="159"/>
      <c r="L27" s="159"/>
      <c r="M27" s="159"/>
    </row>
    <row r="28">
      <c r="A28" s="47"/>
      <c r="J28" s="43"/>
      <c r="K28" s="159"/>
      <c r="L28" s="159"/>
      <c r="M28" s="159"/>
    </row>
    <row r="29">
      <c r="A29" s="49"/>
      <c r="B29" s="20"/>
      <c r="C29" s="20"/>
      <c r="D29" s="20"/>
      <c r="E29" s="20"/>
      <c r="F29" s="20"/>
      <c r="G29" s="20"/>
      <c r="H29" s="20"/>
      <c r="I29" s="20"/>
      <c r="J29" s="21"/>
      <c r="K29" s="159"/>
      <c r="L29" s="159"/>
      <c r="M29" s="159"/>
    </row>
    <row r="30">
      <c r="A30" s="216" t="s">
        <v>236</v>
      </c>
      <c r="B30" s="217" t="s">
        <v>237</v>
      </c>
      <c r="F30" s="43"/>
      <c r="G30" s="218"/>
      <c r="H30" s="218"/>
      <c r="I30" s="218"/>
      <c r="J30" s="218"/>
      <c r="K30" s="159"/>
      <c r="L30" s="159"/>
      <c r="M30" s="159"/>
    </row>
    <row r="31">
      <c r="A31" s="47"/>
      <c r="F31" s="43"/>
      <c r="G31" s="218"/>
      <c r="H31" s="218"/>
      <c r="I31" s="218"/>
      <c r="J31" s="218"/>
      <c r="K31" s="159"/>
      <c r="L31" s="159"/>
      <c r="M31" s="159"/>
    </row>
    <row r="32">
      <c r="A32" s="47"/>
      <c r="F32" s="43"/>
      <c r="G32" s="218"/>
      <c r="H32" s="218"/>
      <c r="I32" s="218"/>
      <c r="J32" s="218"/>
      <c r="K32" s="159"/>
      <c r="L32" s="159"/>
      <c r="M32" s="159"/>
    </row>
    <row r="33">
      <c r="A33" s="49"/>
      <c r="B33" s="20"/>
      <c r="C33" s="20"/>
      <c r="D33" s="20"/>
      <c r="E33" s="20"/>
      <c r="F33" s="21"/>
      <c r="G33" s="218"/>
      <c r="H33" s="218"/>
      <c r="I33" s="218"/>
      <c r="J33" s="218"/>
      <c r="K33" s="159"/>
      <c r="L33" s="159"/>
      <c r="M33" s="159"/>
    </row>
    <row r="34">
      <c r="A34" s="159"/>
      <c r="B34" s="159"/>
      <c r="C34" s="159"/>
      <c r="D34" s="159"/>
      <c r="E34" s="159"/>
      <c r="F34" s="159"/>
      <c r="G34" s="159"/>
      <c r="H34" s="159"/>
      <c r="I34" s="159"/>
      <c r="J34" s="159"/>
      <c r="K34" s="159"/>
      <c r="L34" s="159"/>
      <c r="M34" s="159"/>
    </row>
  </sheetData>
  <mergeCells count="18">
    <mergeCell ref="A1:M1"/>
    <mergeCell ref="A2:H2"/>
    <mergeCell ref="A3:H3"/>
    <mergeCell ref="A4:H4"/>
    <mergeCell ref="A5:H5"/>
    <mergeCell ref="A6:H6"/>
    <mergeCell ref="A7:H7"/>
    <mergeCell ref="A27:A29"/>
    <mergeCell ref="B27:J29"/>
    <mergeCell ref="A30:A33"/>
    <mergeCell ref="B30:F33"/>
    <mergeCell ref="A8:H8"/>
    <mergeCell ref="A9:H9"/>
    <mergeCell ref="A10:H10"/>
    <mergeCell ref="A11:H11"/>
    <mergeCell ref="A12:H12"/>
    <mergeCell ref="A25:A26"/>
    <mergeCell ref="B25:J2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41.0"/>
    <col customWidth="1" min="3" max="3" width="40.25"/>
    <col customWidth="1" min="4" max="4" width="23.88"/>
    <col customWidth="1" min="5" max="5" width="24.88"/>
    <col customWidth="1" min="6" max="6" width="25.38"/>
    <col customWidth="1" min="7" max="12" width="25.0"/>
  </cols>
  <sheetData>
    <row r="1">
      <c r="A1" s="201" t="s">
        <v>238</v>
      </c>
      <c r="B1" s="20"/>
      <c r="C1" s="20"/>
      <c r="D1" s="20"/>
      <c r="E1" s="20"/>
      <c r="F1" s="20"/>
      <c r="G1" s="20"/>
      <c r="H1" s="20"/>
      <c r="I1" s="219"/>
      <c r="J1" s="219"/>
      <c r="K1" s="219"/>
      <c r="L1" s="219"/>
    </row>
    <row r="2">
      <c r="A2" s="158" t="s">
        <v>239</v>
      </c>
      <c r="B2" s="3"/>
      <c r="C2" s="3"/>
      <c r="D2" s="3"/>
      <c r="E2" s="4"/>
      <c r="G2" s="159"/>
      <c r="H2" s="159"/>
      <c r="I2" s="159"/>
      <c r="J2" s="159"/>
      <c r="K2" s="159"/>
      <c r="L2" s="159"/>
    </row>
    <row r="3">
      <c r="A3" s="56" t="s">
        <v>240</v>
      </c>
      <c r="B3" s="3"/>
      <c r="C3" s="3"/>
      <c r="D3" s="3"/>
      <c r="E3" s="4"/>
      <c r="G3" s="159"/>
      <c r="H3" s="159"/>
      <c r="I3" s="159"/>
      <c r="J3" s="159"/>
      <c r="K3" s="159"/>
      <c r="L3" s="159"/>
    </row>
    <row r="4">
      <c r="A4" s="56" t="s">
        <v>241</v>
      </c>
      <c r="B4" s="3"/>
      <c r="C4" s="3"/>
      <c r="D4" s="3"/>
      <c r="E4" s="4"/>
      <c r="G4" s="159"/>
      <c r="H4" s="159"/>
      <c r="I4" s="159"/>
      <c r="J4" s="159"/>
      <c r="K4" s="159"/>
      <c r="L4" s="159"/>
    </row>
    <row r="5">
      <c r="A5" s="106" t="s">
        <v>242</v>
      </c>
      <c r="B5" s="70"/>
      <c r="C5" s="70"/>
      <c r="D5" s="70"/>
      <c r="E5" s="40"/>
      <c r="G5" s="107"/>
      <c r="H5" s="107"/>
      <c r="I5" s="107"/>
      <c r="J5" s="107"/>
      <c r="K5" s="107"/>
      <c r="L5" s="107"/>
    </row>
    <row r="6">
      <c r="A6" s="66" t="s">
        <v>20</v>
      </c>
      <c r="J6" s="66"/>
      <c r="K6" s="66"/>
      <c r="L6" s="66"/>
    </row>
    <row r="7">
      <c r="A7" s="66" t="s">
        <v>243</v>
      </c>
      <c r="J7" s="66"/>
      <c r="K7" s="66"/>
      <c r="L7" s="66"/>
    </row>
    <row r="8">
      <c r="A8" s="220" t="s">
        <v>244</v>
      </c>
      <c r="G8" s="66"/>
      <c r="H8" s="66"/>
      <c r="I8" s="66"/>
      <c r="J8" s="66"/>
      <c r="K8" s="66"/>
      <c r="L8" s="66"/>
    </row>
    <row r="9">
      <c r="A9" s="220" t="s">
        <v>245</v>
      </c>
      <c r="G9" s="66"/>
      <c r="H9" s="66"/>
      <c r="I9" s="66"/>
      <c r="J9" s="66"/>
      <c r="K9" s="66"/>
      <c r="L9" s="66"/>
    </row>
    <row r="10">
      <c r="A10" s="220" t="s">
        <v>246</v>
      </c>
      <c r="G10" s="66"/>
      <c r="H10" s="66"/>
      <c r="I10" s="66"/>
      <c r="J10" s="66"/>
      <c r="K10" s="66"/>
      <c r="L10" s="66"/>
    </row>
    <row r="11">
      <c r="A11" s="220" t="s">
        <v>247</v>
      </c>
      <c r="G11" s="66"/>
      <c r="H11" s="66"/>
      <c r="I11" s="66"/>
      <c r="J11" s="66"/>
      <c r="K11" s="66"/>
      <c r="L11" s="66"/>
    </row>
    <row r="12">
      <c r="A12" s="220" t="s">
        <v>248</v>
      </c>
      <c r="G12" s="66"/>
      <c r="H12" s="66"/>
      <c r="I12" s="66"/>
      <c r="J12" s="66"/>
      <c r="K12" s="66"/>
      <c r="L12" s="66"/>
    </row>
    <row r="13">
      <c r="A13" s="220" t="s">
        <v>249</v>
      </c>
      <c r="G13" s="66"/>
      <c r="H13" s="66"/>
      <c r="I13" s="66"/>
      <c r="J13" s="66"/>
      <c r="K13" s="66"/>
      <c r="L13" s="66"/>
    </row>
    <row r="14">
      <c r="A14" s="221" t="s">
        <v>250</v>
      </c>
      <c r="G14" s="66"/>
      <c r="H14" s="66"/>
      <c r="I14" s="66"/>
      <c r="J14" s="66"/>
      <c r="K14" s="66"/>
      <c r="L14" s="66"/>
    </row>
    <row r="15">
      <c r="A15" s="164"/>
      <c r="B15" s="164"/>
      <c r="C15" s="164"/>
      <c r="D15" s="164"/>
      <c r="E15" s="164"/>
      <c r="F15" s="164"/>
      <c r="G15" s="164"/>
      <c r="H15" s="164"/>
      <c r="I15" s="159"/>
      <c r="J15" s="159"/>
      <c r="K15" s="159"/>
      <c r="L15" s="159"/>
    </row>
    <row r="16">
      <c r="A16" s="222"/>
      <c r="B16" s="223" t="s">
        <v>238</v>
      </c>
      <c r="C16" s="223" t="s">
        <v>251</v>
      </c>
      <c r="D16" s="223" t="s">
        <v>252</v>
      </c>
      <c r="E16" s="223" t="s">
        <v>253</v>
      </c>
      <c r="F16" s="223" t="s">
        <v>254</v>
      </c>
      <c r="G16" s="223" t="s">
        <v>255</v>
      </c>
      <c r="H16" s="223" t="s">
        <v>256</v>
      </c>
      <c r="I16" s="224" t="s">
        <v>257</v>
      </c>
      <c r="J16" s="225" t="s">
        <v>258</v>
      </c>
      <c r="K16" s="225" t="s">
        <v>259</v>
      </c>
      <c r="L16" s="225" t="s">
        <v>260</v>
      </c>
    </row>
    <row r="17" ht="151.5" customHeight="1">
      <c r="A17" s="226">
        <v>1.0</v>
      </c>
      <c r="B17" s="227" t="s">
        <v>261</v>
      </c>
      <c r="C17" s="227" t="s">
        <v>262</v>
      </c>
      <c r="D17" s="227" t="s">
        <v>263</v>
      </c>
      <c r="E17" s="227" t="s">
        <v>264</v>
      </c>
      <c r="F17" s="227" t="s">
        <v>265</v>
      </c>
      <c r="G17" s="227" t="s">
        <v>266</v>
      </c>
      <c r="H17" s="227" t="s">
        <v>267</v>
      </c>
      <c r="I17" s="228">
        <v>9.0</v>
      </c>
      <c r="J17" s="228">
        <v>8.0</v>
      </c>
      <c r="K17" s="228">
        <v>5.0</v>
      </c>
      <c r="L17" s="229">
        <f t="shared" ref="L17:L19" si="1">I17*J17*K17</f>
        <v>360</v>
      </c>
    </row>
    <row r="18" ht="126.0" customHeight="1">
      <c r="A18" s="226">
        <v>2.0</v>
      </c>
      <c r="B18" s="227" t="s">
        <v>268</v>
      </c>
      <c r="C18" s="227" t="s">
        <v>269</v>
      </c>
      <c r="D18" s="227" t="s">
        <v>270</v>
      </c>
      <c r="E18" s="227" t="s">
        <v>271</v>
      </c>
      <c r="F18" s="227" t="s">
        <v>265</v>
      </c>
      <c r="G18" s="227" t="s">
        <v>272</v>
      </c>
      <c r="H18" s="227" t="s">
        <v>273</v>
      </c>
      <c r="I18" s="228">
        <v>5.0</v>
      </c>
      <c r="J18" s="230">
        <v>5.0</v>
      </c>
      <c r="K18" s="230">
        <v>10.0</v>
      </c>
      <c r="L18" s="229">
        <f t="shared" si="1"/>
        <v>250</v>
      </c>
    </row>
    <row r="19" ht="126.0" customHeight="1">
      <c r="A19" s="231">
        <v>3.0</v>
      </c>
      <c r="B19" s="227" t="s">
        <v>274</v>
      </c>
      <c r="C19" s="232" t="s">
        <v>275</v>
      </c>
      <c r="D19" s="227" t="s">
        <v>276</v>
      </c>
      <c r="E19" s="227" t="s">
        <v>277</v>
      </c>
      <c r="F19" s="227" t="s">
        <v>278</v>
      </c>
      <c r="G19" s="227" t="s">
        <v>279</v>
      </c>
      <c r="H19" s="227" t="s">
        <v>280</v>
      </c>
      <c r="I19" s="228">
        <v>10.0</v>
      </c>
      <c r="J19" s="230">
        <v>5.0</v>
      </c>
      <c r="K19" s="230">
        <v>5.0</v>
      </c>
      <c r="L19" s="229">
        <f t="shared" si="1"/>
        <v>250</v>
      </c>
    </row>
    <row r="20">
      <c r="I20" s="233"/>
      <c r="J20" s="233"/>
      <c r="K20" s="233"/>
      <c r="L20" s="234"/>
    </row>
    <row r="21">
      <c r="I21" s="233"/>
      <c r="J21" s="233"/>
      <c r="K21" s="233"/>
    </row>
  </sheetData>
  <mergeCells count="14">
    <mergeCell ref="A8:F8"/>
    <mergeCell ref="A9:F9"/>
    <mergeCell ref="A10:F10"/>
    <mergeCell ref="A11:F11"/>
    <mergeCell ref="A12:F12"/>
    <mergeCell ref="A13:F13"/>
    <mergeCell ref="A14:F14"/>
    <mergeCell ref="A1:H1"/>
    <mergeCell ref="A2:E2"/>
    <mergeCell ref="A3:E3"/>
    <mergeCell ref="A4:E4"/>
    <mergeCell ref="A5:E5"/>
    <mergeCell ref="A6:I6"/>
    <mergeCell ref="A7:I7"/>
  </mergeCells>
  <drawing r:id="rId1"/>
</worksheet>
</file>