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cross\Documents\Bootcamp\Bootcamp work\02-HomeWork\01-Excel\Instructions\"/>
    </mc:Choice>
  </mc:AlternateContent>
  <xr:revisionPtr revIDLastSave="0" documentId="13_ncr:1_{00928AE6-F563-4CCA-AD5A-4E5B2843AB8D}" xr6:coauthVersionLast="40" xr6:coauthVersionMax="40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Report" sheetId="7" r:id="rId2"/>
    <sheet name="Pivot1 - by category" sheetId="3" r:id="rId3"/>
    <sheet name="Pivot2-by Subcategory" sheetId="2" r:id="rId4"/>
    <sheet name="Pivot3 - by date" sheetId="4" r:id="rId5"/>
    <sheet name="Bonus" sheetId="5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G13" i="5"/>
  <c r="F13" i="5"/>
  <c r="H12" i="5"/>
  <c r="G12" i="5"/>
  <c r="F12" i="5"/>
  <c r="H11" i="5"/>
  <c r="G11" i="5"/>
  <c r="F11" i="5"/>
  <c r="H10" i="5"/>
  <c r="G10" i="5"/>
  <c r="F10" i="5"/>
  <c r="H9" i="5"/>
  <c r="G9" i="5"/>
  <c r="F9" i="5"/>
  <c r="H8" i="5"/>
  <c r="G8" i="5"/>
  <c r="F8" i="5"/>
  <c r="H7" i="5"/>
  <c r="G7" i="5"/>
  <c r="F7" i="5"/>
  <c r="H6" i="5"/>
  <c r="G6" i="5"/>
  <c r="F6" i="5"/>
  <c r="H5" i="5"/>
  <c r="G5" i="5"/>
  <c r="F5" i="5"/>
  <c r="H4" i="5"/>
  <c r="G4" i="5"/>
  <c r="F4" i="5"/>
  <c r="H3" i="5"/>
  <c r="G3" i="5"/>
  <c r="F3" i="5"/>
  <c r="H2" i="5"/>
  <c r="G2" i="5"/>
  <c r="F2" i="5"/>
  <c r="E2" i="5"/>
  <c r="E3" i="5"/>
  <c r="E4" i="5"/>
  <c r="E5" i="5"/>
  <c r="E6" i="5"/>
  <c r="E7" i="5"/>
  <c r="E8" i="5"/>
  <c r="E9" i="5"/>
  <c r="E10" i="5"/>
  <c r="E11" i="5"/>
  <c r="E12" i="5"/>
  <c r="E13" i="5"/>
  <c r="E14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4" i="5" l="1"/>
  <c r="C14" i="5"/>
  <c r="B14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<sst xmlns="http://schemas.openxmlformats.org/spreadsheetml/2006/main" count="24832" uniqueCount="8411">
  <si>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</si>
  <si>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</si>
  <si>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</si>
  <si>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</si>
  <si>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</si>
  <si>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</si>
  <si>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</si>
  <si>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</si>
  <si>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</si>
  <si>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</si>
  <si>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</si>
  <si>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</si>
  <si>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</si>
  <si>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</si>
  <si>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</si>
  <si>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</si>
  <si>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</si>
  <si>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</si>
  <si>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</si>
  <si>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</si>
  <si>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</si>
  <si>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</si>
  <si>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</si>
  <si>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</si>
  <si>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</si>
  <si>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</si>
  <si>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</si>
  <si>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</si>
  <si>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</si>
  <si>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</si>
  <si>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</si>
  <si>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</si>
  <si>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</si>
  <si>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</si>
  <si>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</si>
  <si>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</si>
  <si>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</si>
  <si>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</si>
  <si>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</si>
  <si>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</si>
  <si>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</si>
  <si>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</si>
  <si>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</si>
  <si>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</si>
  <si>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</si>
  <si>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</si>
  <si>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</si>
  <si>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</si>
  <si>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</si>
  <si>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</si>
  <si>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</si>
  <si>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</si>
  <si>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</si>
  <si>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</si>
  <si>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</si>
  <si>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</si>
  <si>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</si>
  <si>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</si>
  <si>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</si>
  <si>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</si>
  <si>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</si>
  <si>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</si>
  <si>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</si>
  <si>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</si>
  <si>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</si>
  <si>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</si>
  <si>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</si>
  <si>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</si>
  <si>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</si>
  <si>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</si>
  <si>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</si>
  <si>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</si>
  <si>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</si>
  <si>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</si>
  <si>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</si>
  <si>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</si>
  <si>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</si>
  <si>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</si>
  <si>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</si>
  <si>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</si>
  <si>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</si>
  <si>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</si>
  <si>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</si>
  <si>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</si>
  <si>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</si>
  <si>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</si>
  <si>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</si>
  <si>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</si>
  <si>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</si>
  <si>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</si>
  <si>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</si>
  <si>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</si>
  <si>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</si>
  <si>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</si>
  <si>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</si>
  <si>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</si>
  <si>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</si>
  <si>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</si>
  <si>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</si>
  <si>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</si>
  <si>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</si>
  <si>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</si>
  <si>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</si>
  <si>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</si>
  <si>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</si>
  <si>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</si>
  <si>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</si>
  <si>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</si>
  <si>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</si>
  <si>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</si>
  <si>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</si>
  <si>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</si>
  <si>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</si>
  <si>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</si>
  <si>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</si>
  <si>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</si>
  <si>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</si>
  <si>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</si>
  <si>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</si>
  <si>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</si>
  <si>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</si>
  <si>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</si>
  <si>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</si>
  <si>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</si>
  <si>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</si>
  <si>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</si>
  <si>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</si>
  <si>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</si>
  <si>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</si>
  <si>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</si>
  <si>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</si>
  <si>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</si>
  <si>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</si>
  <si>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</si>
  <si>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</si>
  <si>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</si>
  <si>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</si>
  <si>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</si>
  <si>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</si>
  <si>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</si>
  <si>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</si>
  <si>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</si>
  <si>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</si>
  <si>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</si>
  <si>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</si>
  <si>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</si>
  <si>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</si>
  <si>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</si>
  <si>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</si>
  <si>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</si>
  <si>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</si>
  <si>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</si>
  <si>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</si>
  <si>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</si>
  <si>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</si>
  <si>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</si>
  <si>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</si>
  <si>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</si>
  <si>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</si>
  <si>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</si>
  <si>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</si>
  <si>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</si>
  <si>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</si>
  <si>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</si>
  <si>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</si>
  <si>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</si>
  <si>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</si>
  <si>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</si>
  <si>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</si>
  <si>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</si>
  <si>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</si>
  <si>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</si>
  <si>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</si>
  <si>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</si>
  <si>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</si>
  <si>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</si>
  <si>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</si>
  <si>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</si>
  <si>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</si>
  <si>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</si>
  <si>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</si>
  <si>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</si>
  <si>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</si>
  <si>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</si>
  <si>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</si>
  <si>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</si>
  <si>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</si>
  <si>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</si>
  <si>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</si>
  <si>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</si>
  <si>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</si>
  <si>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</si>
  <si>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</si>
  <si>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</si>
  <si>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</si>
  <si>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</si>
  <si>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</si>
  <si>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</si>
  <si>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</si>
  <si>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</si>
  <si>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</si>
  <si>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</si>
  <si>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</si>
  <si>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</si>
  <si>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</si>
  <si>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</si>
  <si>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</si>
  <si>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</si>
  <si>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</si>
  <si>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</si>
  <si>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</si>
  <si>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</si>
  <si>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</si>
  <si>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</si>
  <si>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</si>
  <si>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</si>
  <si>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</si>
  <si>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</si>
  <si>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</si>
  <si>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</si>
  <si>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</si>
  <si>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</si>
  <si>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</si>
  <si>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</si>
  <si>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</si>
  <si>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</si>
  <si>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</si>
  <si>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</si>
  <si>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</si>
  <si>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</si>
  <si>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</si>
  <si>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</si>
  <si>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</si>
  <si>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</si>
  <si>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</si>
  <si>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</si>
  <si>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</si>
  <si>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</si>
  <si>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</si>
  <si>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</si>
  <si>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</si>
  <si>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</si>
  <si>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</si>
  <si>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</si>
  <si>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</si>
  <si>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</si>
  <si>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</si>
  <si>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</si>
  <si>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</si>
  <si>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</si>
  <si>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</si>
  <si>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</si>
  <si>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</si>
  <si>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</si>
  <si>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</si>
  <si>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</si>
  <si>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</si>
  <si>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</si>
  <si>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</si>
  <si>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</si>
  <si>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</si>
  <si>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</si>
  <si>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</si>
  <si>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</si>
  <si>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</si>
  <si>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</si>
  <si>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</si>
  <si>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</si>
  <si>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</si>
  <si>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</si>
  <si>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</si>
  <si>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</si>
  <si>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</si>
  <si>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</si>
  <si>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</si>
  <si>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</si>
  <si>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</si>
  <si>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</si>
  <si>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</si>
  <si>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</si>
  <si>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</si>
  <si>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</si>
  <si>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</si>
  <si>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</si>
  <si>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</si>
  <si>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</si>
  <si>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</si>
  <si>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</si>
  <si>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</si>
  <si>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</si>
  <si>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</si>
  <si>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</si>
  <si>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</si>
  <si>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</si>
  <si>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</si>
  <si>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</si>
  <si>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</si>
  <si>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</si>
  <si>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</si>
  <si>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</si>
  <si>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</si>
  <si>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</si>
  <si>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</si>
  <si>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</si>
  <si>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</si>
  <si>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</si>
  <si>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</si>
  <si>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</si>
  <si>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</si>
  <si>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</si>
  <si>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</si>
  <si>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</si>
  <si>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</si>
  <si>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</si>
  <si>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</si>
  <si>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</si>
  <si>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</si>
  <si>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</si>
  <si>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</si>
  <si>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</si>
  <si>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</si>
  <si>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</si>
  <si>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</si>
  <si>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</si>
  <si>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</si>
  <si>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</si>
  <si>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</si>
  <si>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</si>
  <si>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</si>
  <si>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</si>
  <si>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</si>
  <si>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</si>
  <si>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</si>
  <si>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</si>
  <si>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</si>
  <si>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</si>
  <si>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</si>
  <si>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</si>
  <si>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</si>
  <si>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</si>
  <si>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</si>
  <si>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</si>
  <si>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</si>
  <si>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</si>
  <si>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</si>
  <si>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</si>
  <si>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</si>
  <si>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</si>
  <si>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</si>
  <si>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</si>
  <si>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</si>
  <si>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</si>
  <si>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</si>
  <si>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</si>
  <si>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</si>
  <si>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</si>
  <si>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</si>
  <si>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</si>
  <si>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</si>
  <si>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</si>
  <si>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</si>
  <si>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</si>
  <si>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</si>
  <si>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</si>
  <si>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</si>
  <si>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</si>
  <si>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</si>
  <si>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</si>
  <si>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</si>
  <si>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</si>
  <si>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</si>
  <si>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</si>
  <si>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</si>
  <si>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</si>
  <si>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</si>
  <si>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</si>
  <si>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</si>
  <si>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</si>
  <si>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</si>
  <si>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</si>
  <si>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</si>
  <si>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</si>
  <si>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</si>
  <si>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</si>
  <si>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</si>
  <si>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</si>
  <si>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</si>
  <si>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</si>
  <si>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</si>
  <si>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</si>
  <si>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</si>
  <si>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</si>
  <si>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</si>
  <si>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</si>
  <si>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</si>
  <si>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</si>
  <si>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</si>
  <si>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</si>
  <si>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</si>
  <si>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</si>
  <si>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</si>
  <si>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</si>
  <si>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</si>
  <si>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</si>
  <si>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</si>
  <si>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</si>
  <si>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</si>
  <si>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</si>
  <si>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</si>
  <si>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</si>
  <si>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</si>
  <si>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</si>
  <si>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</si>
  <si>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</si>
  <si>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</si>
  <si>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</si>
  <si>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</si>
  <si>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</si>
  <si>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</si>
  <si>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</si>
  <si>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</si>
  <si>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</si>
  <si>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</si>
  <si>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</si>
  <si>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</si>
  <si>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</si>
  <si>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</si>
  <si>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</si>
  <si>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</si>
  <si>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</si>
  <si>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</si>
  <si>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</si>
  <si>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</si>
  <si>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</si>
  <si>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</si>
  <si>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</si>
  <si>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</si>
  <si>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</si>
  <si>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</si>
  <si>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</si>
  <si>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</si>
  <si>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</si>
  <si>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</si>
  <si>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</si>
  <si>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</si>
  <si>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</si>
  <si>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</si>
  <si>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</si>
  <si>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</si>
  <si>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</si>
  <si>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</si>
  <si>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</si>
  <si>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</si>
  <si>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</si>
  <si>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</si>
  <si>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</si>
  <si>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</si>
  <si>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</si>
  <si>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</si>
  <si>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</si>
  <si>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</si>
  <si>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</si>
  <si>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</si>
  <si>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</si>
  <si>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</si>
  <si>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</si>
  <si>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</si>
  <si>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</si>
  <si>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</si>
  <si>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</si>
  <si>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</si>
  <si>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</si>
  <si>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</si>
  <si>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</si>
  <si>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</si>
  <si>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</si>
  <si>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</si>
  <si>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</si>
  <si>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</si>
  <si>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</si>
  <si>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</si>
  <si>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</si>
  <si>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</si>
  <si>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</si>
  <si>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</si>
  <si>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</si>
  <si>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</si>
  <si>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</si>
  <si>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</si>
  <si>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</si>
  <si>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</si>
  <si>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</si>
  <si>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</si>
  <si>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</si>
  <si>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</si>
  <si>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</si>
  <si>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</si>
  <si>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</si>
  <si>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</si>
  <si>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</si>
  <si>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</si>
  <si>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</si>
  <si>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</si>
  <si>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</si>
  <si>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</si>
  <si>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</si>
  <si>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</si>
  <si>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</si>
  <si>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</si>
  <si>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</si>
  <si>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</si>
  <si>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</si>
  <si>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</si>
  <si>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</si>
  <si>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</si>
  <si>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</si>
  <si>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</si>
  <si>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</si>
  <si>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</si>
  <si>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</si>
  <si>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</si>
  <si>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</si>
  <si>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</si>
  <si>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</si>
  <si>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</si>
  <si>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</si>
  <si>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</si>
  <si>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</si>
  <si>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</si>
  <si>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</si>
  <si>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</si>
  <si>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</si>
  <si>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</si>
  <si>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</si>
  <si>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</si>
  <si>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</si>
  <si>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</si>
  <si>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</si>
  <si>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</si>
  <si>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</si>
  <si>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</si>
  <si>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</si>
  <si>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</si>
  <si>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</si>
  <si>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</si>
  <si>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</si>
  <si>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</si>
  <si>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</si>
  <si>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</si>
  <si>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</si>
  <si>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</si>
  <si>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</si>
  <si>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</si>
  <si>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</si>
  <si>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</si>
  <si>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</si>
  <si>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</si>
  <si>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</si>
  <si>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</si>
  <si>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</si>
  <si>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</si>
  <si>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</si>
  <si>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</si>
  <si>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</si>
  <si>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</si>
  <si>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</si>
  <si>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</si>
  <si>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</si>
  <si>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</si>
  <si>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</si>
  <si>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</si>
  <si>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</si>
  <si>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</si>
  <si>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</si>
  <si>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</si>
  <si>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</si>
  <si>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</si>
  <si>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</si>
  <si>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</si>
  <si>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</si>
  <si>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</si>
  <si>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</si>
  <si>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</si>
  <si>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</si>
  <si>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</si>
  <si>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</si>
  <si>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</si>
  <si>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</si>
  <si>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</si>
  <si>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</si>
  <si>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</si>
  <si>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</si>
  <si>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</si>
  <si>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</si>
  <si>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</si>
  <si>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</si>
  <si>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</si>
  <si>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</si>
  <si>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</si>
  <si>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</si>
  <si>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</si>
  <si>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</si>
  <si>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</si>
  <si>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</si>
  <si>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</si>
  <si>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</si>
  <si>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</si>
  <si>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</si>
  <si>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</si>
  <si>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</si>
  <si>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</si>
  <si>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</si>
  <si>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</si>
  <si>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</si>
  <si>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</si>
  <si>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</si>
  <si>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</si>
  <si>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</si>
  <si>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</si>
  <si>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</si>
  <si>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</si>
  <si>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</si>
  <si>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</si>
  <si>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</si>
  <si>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</si>
  <si>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</si>
  <si>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</si>
  <si>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</si>
  <si>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</si>
  <si>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</si>
  <si>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</si>
  <si>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</si>
  <si>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</si>
  <si>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</si>
  <si>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</si>
  <si>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</si>
  <si>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</si>
  <si>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</si>
  <si>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</si>
  <si>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</si>
  <si>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</si>
  <si>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</si>
  <si>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</si>
  <si>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</si>
  <si>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</si>
  <si>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</si>
  <si>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</si>
  <si>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</si>
  <si>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</si>
  <si>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</si>
  <si>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</si>
  <si>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</si>
  <si>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</si>
  <si>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</si>
  <si>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</si>
  <si>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</si>
  <si>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</si>
  <si>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</si>
  <si>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</si>
  <si>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</si>
  <si>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</si>
  <si>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</si>
  <si>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</si>
  <si>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</si>
  <si>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</si>
  <si>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</si>
  <si>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</si>
  <si>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</si>
  <si>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</si>
  <si>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</si>
  <si>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</si>
  <si>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</si>
  <si>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</si>
  <si>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</si>
  <si>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</si>
  <si>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</si>
  <si>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</si>
  <si>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</si>
  <si>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</si>
  <si>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</si>
  <si>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</si>
  <si>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</si>
  <si>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</si>
  <si>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</si>
  <si>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</si>
  <si>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</si>
  <si>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</si>
  <si>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</si>
  <si>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</si>
  <si>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</si>
  <si>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</si>
  <si>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</si>
  <si>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</si>
  <si>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</si>
  <si>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</si>
  <si>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</si>
  <si>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</si>
  <si>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</si>
  <si>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</si>
  <si>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</si>
  <si>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</si>
  <si>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</si>
  <si>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</si>
  <si>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</si>
  <si>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</si>
  <si>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</si>
  <si>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</si>
  <si>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</si>
  <si>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</si>
  <si>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</si>
  <si>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</si>
  <si>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</si>
  <si>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</si>
  <si>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</si>
  <si>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</si>
  <si>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</si>
  <si>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</si>
  <si>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</si>
  <si>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</si>
  <si>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</si>
  <si>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</si>
  <si>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</si>
  <si>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</si>
  <si>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</si>
  <si>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</si>
  <si>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</si>
  <si>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</si>
  <si>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</si>
  <si>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</si>
  <si>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</si>
  <si>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</si>
  <si>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</si>
  <si>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</si>
  <si>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</si>
  <si>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</si>
  <si>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</si>
  <si>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</si>
  <si>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</si>
  <si>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</si>
  <si>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</si>
  <si>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</si>
  <si>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</si>
  <si>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</si>
  <si>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</si>
  <si>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</si>
  <si>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</si>
  <si>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</si>
  <si>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</si>
  <si>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</si>
  <si>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</si>
  <si>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</si>
  <si>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</si>
  <si>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</si>
  <si>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</si>
  <si>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</si>
  <si>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</si>
  <si>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</si>
  <si>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</si>
  <si>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</si>
  <si>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</si>
  <si>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</si>
  <si>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</si>
  <si>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</si>
  <si>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</si>
  <si>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</si>
  <si>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</si>
  <si>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</si>
  <si>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</si>
  <si>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</si>
  <si>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</si>
  <si>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</si>
  <si>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</si>
  <si>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</si>
  <si>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</si>
  <si>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</si>
  <si>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</si>
  <si>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</si>
  <si>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</si>
  <si>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</si>
  <si>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</si>
  <si>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</si>
  <si>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</si>
  <si>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</si>
  <si>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</si>
  <si>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</si>
  <si>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</si>
  <si>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</si>
  <si>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</si>
  <si>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</si>
  <si>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</si>
  <si>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</si>
  <si>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</si>
  <si>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</si>
  <si>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</si>
  <si>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</si>
  <si>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</si>
  <si>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</si>
  <si>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</si>
  <si>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</si>
  <si>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</si>
  <si>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</si>
  <si>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</si>
  <si>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</si>
  <si>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</si>
  <si>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</si>
  <si>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</si>
  <si>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</si>
  <si>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</si>
  <si>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</si>
  <si>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</si>
  <si>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</si>
  <si>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</si>
  <si>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</si>
  <si>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</si>
  <si>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</si>
  <si>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</si>
  <si>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</si>
  <si>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</si>
  <si>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</si>
  <si>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</si>
  <si>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</si>
  <si>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</si>
  <si>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</si>
  <si>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</si>
  <si>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</si>
  <si>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</si>
  <si>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</si>
  <si>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</si>
  <si>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</si>
  <si>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</si>
  <si>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</si>
  <si>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</si>
  <si>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</si>
  <si>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</si>
  <si>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</si>
  <si>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</si>
  <si>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</si>
  <si>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</si>
  <si>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</si>
  <si>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</si>
  <si>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</si>
  <si>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</si>
  <si>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</si>
  <si>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</si>
  <si>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</si>
  <si>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</si>
  <si>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</si>
  <si>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</si>
  <si>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</si>
  <si>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</si>
  <si>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</si>
  <si>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</si>
  <si>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</si>
  <si>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</si>
  <si>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</si>
  <si>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</si>
  <si>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</si>
  <si>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</si>
  <si>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</si>
  <si>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</si>
  <si>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</si>
  <si>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</si>
  <si>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</si>
  <si>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</si>
  <si>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</si>
  <si>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</si>
  <si>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</si>
  <si>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</si>
  <si>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</si>
  <si>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</si>
  <si>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</si>
  <si>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</si>
  <si>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</si>
  <si>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</si>
  <si>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</si>
  <si>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</si>
  <si>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</si>
  <si>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</si>
  <si>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</si>
  <si>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</si>
  <si>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</si>
  <si>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</si>
  <si>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</si>
  <si>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</si>
  <si>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</si>
  <si>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</si>
  <si>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</si>
  <si>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</si>
  <si>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</si>
  <si>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</si>
  <si>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</si>
  <si>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</si>
  <si>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</si>
  <si>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</si>
  <si>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</si>
  <si>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</si>
  <si>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</si>
  <si>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</si>
  <si>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</si>
  <si>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</si>
  <si>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</si>
  <si>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</si>
  <si>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</si>
  <si>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</si>
  <si>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</si>
  <si>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</si>
  <si>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</si>
  <si>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</si>
  <si>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</si>
  <si>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</si>
  <si>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</si>
  <si>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</si>
  <si>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</si>
  <si>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</si>
  <si>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</si>
  <si>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</si>
  <si>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</si>
  <si>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</si>
  <si>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</si>
  <si>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</si>
  <si>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</si>
  <si>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</si>
  <si>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</si>
  <si>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</si>
  <si>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</si>
  <si>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</si>
  <si>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</si>
  <si>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</si>
  <si>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</si>
  <si>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</si>
  <si>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</si>
  <si>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</si>
  <si>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</si>
  <si>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</si>
  <si>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</si>
  <si>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</si>
  <si>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</si>
  <si>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</si>
  <si>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</si>
  <si>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</si>
  <si>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</si>
  <si>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</si>
  <si>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</si>
  <si>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</si>
  <si>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</si>
  <si>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</si>
  <si>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</si>
  <si>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</si>
  <si>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</si>
  <si>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</si>
  <si>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</si>
  <si>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</si>
  <si>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</si>
  <si>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</si>
  <si>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</si>
  <si>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</si>
  <si>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</si>
  <si>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</si>
  <si>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</si>
  <si>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</si>
  <si>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</si>
  <si>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</si>
  <si>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</si>
  <si>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</si>
  <si>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</si>
  <si>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</si>
  <si>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</si>
  <si>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</si>
  <si>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</si>
  <si>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</si>
  <si>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</si>
  <si>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</si>
  <si>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</si>
  <si>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</si>
  <si>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</si>
  <si>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</si>
  <si>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</si>
  <si>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</si>
  <si>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</si>
  <si>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</si>
  <si>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</si>
  <si>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</si>
  <si>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</si>
  <si>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</si>
  <si>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</si>
  <si>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</si>
  <si>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</si>
  <si>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</si>
  <si>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</si>
  <si>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</si>
  <si>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</si>
  <si>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</si>
  <si>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</si>
  <si>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</si>
  <si>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</si>
  <si>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</si>
  <si>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</si>
  <si>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</si>
  <si>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</si>
  <si>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</si>
  <si>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</si>
  <si>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</si>
  <si>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</si>
  <si>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</si>
  <si>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</si>
  <si>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</si>
  <si>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</si>
  <si>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</si>
  <si>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</si>
  <si>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</si>
  <si>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</si>
  <si>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</si>
  <si>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</si>
  <si>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</si>
  <si>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</si>
  <si>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</si>
  <si>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</si>
  <si>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</si>
  <si>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</si>
  <si>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</si>
  <si>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</si>
  <si>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</si>
  <si>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</si>
  <si>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</si>
  <si>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</si>
  <si>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</si>
  <si>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</si>
  <si>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</si>
  <si>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</si>
  <si>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</si>
  <si>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</si>
  <si>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</si>
  <si>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</si>
  <si>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</si>
  <si>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</si>
  <si>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</si>
  <si>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</si>
  <si>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</si>
  <si>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</si>
  <si>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</si>
  <si>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</si>
  <si>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</si>
  <si>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</si>
  <si>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</si>
  <si>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</si>
  <si>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</si>
  <si>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</si>
  <si>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</si>
  <si>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</si>
  <si>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</si>
  <si>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</si>
  <si>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</si>
  <si>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</si>
  <si>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</si>
  <si>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</si>
  <si>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</si>
  <si>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</si>
  <si>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</si>
  <si>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</si>
  <si>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</si>
  <si>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</si>
  <si>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</si>
  <si>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</si>
  <si>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</si>
  <si>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</si>
  <si>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</si>
  <si>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</si>
  <si>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</si>
  <si>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</si>
  <si>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</si>
  <si>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</si>
  <si>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</si>
  <si>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</si>
  <si>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</si>
  <si>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</si>
  <si>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</si>
  <si>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</si>
  <si>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</si>
  <si>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</si>
  <si>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</si>
  <si>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</si>
  <si>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</si>
  <si>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</si>
  <si>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</si>
  <si>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</si>
  <si>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</si>
  <si>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</si>
  <si>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</si>
  <si>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</si>
  <si>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</si>
  <si>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</si>
  <si>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</si>
  <si>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</si>
  <si>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</si>
  <si>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</si>
  <si>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</si>
  <si>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</si>
  <si>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</si>
  <si>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</si>
  <si>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</si>
  <si>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</si>
  <si>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</si>
  <si>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</si>
  <si>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</si>
  <si>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</si>
  <si>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</si>
  <si>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</si>
  <si>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</si>
  <si>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</si>
  <si>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</si>
  <si>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</si>
  <si>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</si>
  <si>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</si>
  <si>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</si>
  <si>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</si>
  <si>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</si>
  <si>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</si>
  <si>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</si>
  <si>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</si>
  <si>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</si>
  <si>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</si>
  <si>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</si>
  <si>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</si>
  <si>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</si>
  <si>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</si>
  <si>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</si>
  <si>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</si>
  <si>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</si>
  <si>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</si>
  <si>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</si>
  <si>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</si>
  <si>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</si>
  <si>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</si>
  <si>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</si>
  <si>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</si>
  <si>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</si>
  <si>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</si>
  <si>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</si>
  <si>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</si>
  <si>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</si>
  <si>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</si>
  <si>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</si>
  <si>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</si>
  <si>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</si>
  <si>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</si>
  <si>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</si>
  <si>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</si>
  <si>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</si>
  <si>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</si>
  <si>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</si>
  <si>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</si>
  <si>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</si>
  <si>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</si>
  <si>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</si>
  <si>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</si>
  <si>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</si>
  <si>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</si>
  <si>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</si>
  <si>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</si>
  <si>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</si>
  <si>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</si>
  <si>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</si>
  <si>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</si>
  <si>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</si>
  <si>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</si>
  <si>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</si>
  <si>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</si>
  <si>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</si>
  <si>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</si>
  <si>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</si>
  <si>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</si>
  <si>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</si>
  <si>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</si>
  <si>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</si>
  <si>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</si>
  <si>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</si>
  <si>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</si>
  <si>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</si>
  <si>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</si>
  <si>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</si>
  <si>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</si>
  <si>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</si>
  <si>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</si>
  <si>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</si>
  <si>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</si>
  <si>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</si>
  <si>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</si>
  <si>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</si>
  <si>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</si>
  <si>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</si>
  <si>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</si>
  <si>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</si>
  <si>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</si>
  <si>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</si>
  <si>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</si>
  <si>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</si>
  <si>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</si>
  <si>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</si>
  <si>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</si>
  <si>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</si>
  <si>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</si>
  <si>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</si>
  <si>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</si>
  <si>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</si>
  <si>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</si>
  <si>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</si>
  <si>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</si>
  <si>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</si>
  <si>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</si>
  <si>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</si>
  <si>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</si>
  <si>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</si>
  <si>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</si>
  <si>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</si>
  <si>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</si>
  <si>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</si>
  <si>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</si>
  <si>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</si>
  <si>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</si>
  <si>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</si>
  <si>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</si>
  <si>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</si>
  <si>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</si>
  <si>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</si>
  <si>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</si>
  <si>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</si>
  <si>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</si>
  <si>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</si>
  <si>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</si>
  <si>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</si>
  <si>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</si>
  <si>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</si>
  <si>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</si>
  <si>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</si>
  <si>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</si>
  <si>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</si>
  <si>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</si>
  <si>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</si>
  <si>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</si>
  <si>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</si>
  <si>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</si>
  <si>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</si>
  <si>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</si>
  <si>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</si>
  <si>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</si>
  <si>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</si>
  <si>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</si>
  <si>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</si>
  <si>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</si>
  <si>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</si>
  <si>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</si>
  <si>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</si>
  <si>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</si>
  <si>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</si>
  <si>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</si>
  <si>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</si>
  <si>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</si>
  <si>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</si>
  <si>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</si>
  <si>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</si>
  <si>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</si>
  <si>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</si>
  <si>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</si>
  <si>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</si>
  <si>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</si>
  <si>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</si>
  <si>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</si>
  <si>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</si>
  <si>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</si>
  <si>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</si>
  <si>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</si>
  <si>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</si>
  <si>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</si>
  <si>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</si>
  <si>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</si>
  <si>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</si>
  <si>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</si>
  <si>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</si>
  <si>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</si>
  <si>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</si>
  <si>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</si>
  <si>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</si>
  <si>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</si>
  <si>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</si>
  <si>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</si>
  <si>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</si>
  <si>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</si>
  <si>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</si>
  <si>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</si>
  <si>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</si>
  <si>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</si>
  <si>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</si>
  <si>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</si>
  <si>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</si>
  <si>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</si>
  <si>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</si>
  <si>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</si>
  <si>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</si>
  <si>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</si>
  <si>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</si>
  <si>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</si>
  <si>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</si>
  <si>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</si>
  <si>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</si>
  <si>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</si>
  <si>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</si>
  <si>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</si>
  <si>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</si>
  <si>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</si>
  <si>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</si>
  <si>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</si>
  <si>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</si>
  <si>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</si>
  <si>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</si>
  <si>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</si>
  <si>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</si>
  <si>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</si>
  <si>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</si>
  <si>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</si>
  <si>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</si>
  <si>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</si>
  <si>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</si>
  <si>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</si>
  <si>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</si>
  <si>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</si>
  <si>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</si>
  <si>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</si>
  <si>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</si>
  <si>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</si>
  <si>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</si>
  <si>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</si>
  <si>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</si>
  <si>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</si>
  <si>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</si>
  <si>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</si>
  <si>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</si>
  <si>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</si>
  <si>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</si>
  <si>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</si>
  <si>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</si>
  <si>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</si>
  <si>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</si>
  <si>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</si>
  <si>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</si>
  <si>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</si>
  <si>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</si>
  <si>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</si>
  <si>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</si>
  <si>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</si>
  <si>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</si>
  <si>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</si>
  <si>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</si>
  <si>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</si>
  <si>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</si>
  <si>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</si>
  <si>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</si>
  <si>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</si>
  <si>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</si>
  <si>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</si>
  <si>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</si>
  <si>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</si>
  <si>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</si>
  <si>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</si>
  <si>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</si>
  <si>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</si>
  <si>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</si>
  <si>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</si>
  <si>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</si>
  <si>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</si>
  <si>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</si>
  <si>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</si>
  <si>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</si>
  <si>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</si>
  <si>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</si>
  <si>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</si>
  <si>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</si>
  <si>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</si>
  <si>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</si>
  <si>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</si>
  <si>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</si>
  <si>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</si>
  <si>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</si>
  <si>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</si>
  <si>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</si>
  <si>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</si>
  <si>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</si>
  <si>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</si>
  <si>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</si>
  <si>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</si>
  <si>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</si>
  <si>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</si>
  <si>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</si>
  <si>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</si>
  <si>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</si>
  <si>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</si>
  <si>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</si>
  <si>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</si>
  <si>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</si>
  <si>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</si>
  <si>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</si>
  <si>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</si>
  <si>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</si>
  <si>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</si>
  <si>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</si>
  <si>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</si>
  <si>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</si>
  <si>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</si>
  <si>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</si>
  <si>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</si>
  <si>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</si>
  <si>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</si>
  <si>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</si>
  <si>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</si>
  <si>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</si>
  <si>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</si>
  <si>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</si>
  <si>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</si>
  <si>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</si>
  <si>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</si>
  <si>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</si>
  <si>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</si>
  <si>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</si>
  <si>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</si>
  <si>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</si>
  <si>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</si>
  <si>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</si>
  <si>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</si>
  <si>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</si>
  <si>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</si>
  <si>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</si>
  <si>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</si>
  <si>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</si>
  <si>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</si>
  <si>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</si>
  <si>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</si>
  <si>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</si>
  <si>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</si>
  <si>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</si>
  <si>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</si>
  <si>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</si>
  <si>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</si>
  <si>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</si>
  <si>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</si>
  <si>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</si>
  <si>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</si>
  <si>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</si>
  <si>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</si>
  <si>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</si>
  <si>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</si>
  <si>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</si>
  <si>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</si>
  <si>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</si>
  <si>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</si>
  <si>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</si>
  <si>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</si>
  <si>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</si>
  <si>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</si>
  <si>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</si>
  <si>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</si>
  <si>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</si>
  <si>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</si>
  <si>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</si>
  <si>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</si>
  <si>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</si>
  <si>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</si>
  <si>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</si>
  <si>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</si>
  <si>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</si>
  <si>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</si>
  <si>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</si>
  <si>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</si>
  <si>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</si>
  <si>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</si>
  <si>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</si>
  <si>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</si>
  <si>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</si>
  <si>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</si>
  <si>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</si>
  <si>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</si>
  <si>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</si>
  <si>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</si>
  <si>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</si>
  <si>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</si>
  <si>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</si>
  <si>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</si>
  <si>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</si>
  <si>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</si>
  <si>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</si>
  <si>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</si>
  <si>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</si>
  <si>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</si>
  <si>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</si>
  <si>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</si>
  <si>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</si>
  <si>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</si>
  <si>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</si>
  <si>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</si>
  <si>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</si>
  <si>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</si>
  <si>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</si>
  <si>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</si>
  <si>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</si>
  <si>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</si>
  <si>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</si>
  <si>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</si>
  <si>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</si>
  <si>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</si>
  <si>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</si>
  <si>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</si>
  <si>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</si>
  <si>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</si>
  <si>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</si>
  <si>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</si>
  <si>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</si>
  <si>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</si>
  <si>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</si>
  <si>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</si>
  <si>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</si>
  <si>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</si>
  <si>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</si>
  <si>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</si>
  <si>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</si>
  <si>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</si>
  <si>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</si>
  <si>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</si>
  <si>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</si>
  <si>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</si>
  <si>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</si>
  <si>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</si>
  <si>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</si>
  <si>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</si>
  <si>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</si>
  <si>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</si>
  <si>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</si>
  <si>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</si>
  <si>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</si>
  <si>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</si>
  <si>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</si>
  <si>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</si>
  <si>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</si>
  <si>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</si>
  <si>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</si>
  <si>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</si>
  <si>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</si>
  <si>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</si>
  <si>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</si>
  <si>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</si>
  <si>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</si>
  <si>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</si>
  <si>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</si>
  <si>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</si>
  <si>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</si>
  <si>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</si>
  <si>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</si>
  <si>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</si>
  <si>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</si>
  <si>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</si>
  <si>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</si>
  <si>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</si>
  <si>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</si>
  <si>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</si>
  <si>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</si>
  <si>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</si>
  <si>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</si>
  <si>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</si>
  <si>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</si>
  <si>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</si>
  <si>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</si>
  <si>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</si>
  <si>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</si>
  <si>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</si>
  <si>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</si>
  <si>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</si>
  <si>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</si>
  <si>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</si>
  <si>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</si>
  <si>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</si>
  <si>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</si>
  <si>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</si>
  <si>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</si>
  <si>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</si>
  <si>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</si>
  <si>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</si>
  <si>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</si>
  <si>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</si>
  <si>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</si>
  <si>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</si>
  <si>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</si>
  <si>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</si>
  <si>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</si>
  <si>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</si>
  <si>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</si>
  <si>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</si>
  <si>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</si>
  <si>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</si>
  <si>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</si>
  <si>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</si>
  <si>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</si>
  <si>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</si>
  <si>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</si>
  <si>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</si>
  <si>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</si>
  <si>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</si>
  <si>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</si>
  <si>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</si>
  <si>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</si>
  <si>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</si>
  <si>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</si>
  <si>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</si>
  <si>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</si>
  <si>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</si>
  <si>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</si>
  <si>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</si>
  <si>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</si>
  <si>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</si>
  <si>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</si>
  <si>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</si>
  <si>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</si>
  <si>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</si>
  <si>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</si>
  <si>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</si>
  <si>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</si>
  <si>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</si>
  <si>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</si>
  <si>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</si>
  <si>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</si>
  <si>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</si>
  <si>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</si>
  <si>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</si>
  <si>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</si>
  <si>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</si>
  <si>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</si>
  <si>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</si>
  <si>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</si>
  <si>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</si>
  <si>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</si>
  <si>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</si>
  <si>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</si>
  <si>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</si>
  <si>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</si>
  <si>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</si>
  <si>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</si>
  <si>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</si>
  <si>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</si>
  <si>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</si>
  <si>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</si>
  <si>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</si>
  <si>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</si>
  <si>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</si>
  <si>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</si>
  <si>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</si>
  <si>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</si>
  <si>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</si>
  <si>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</si>
  <si>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</si>
  <si>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</si>
  <si>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</si>
  <si>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</si>
  <si>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</si>
  <si>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</si>
  <si>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</si>
  <si>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</si>
  <si>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</si>
  <si>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</si>
  <si>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</si>
  <si>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</si>
  <si>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</si>
  <si>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</si>
  <si>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</si>
  <si>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</si>
  <si>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</si>
  <si>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</si>
  <si>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</si>
  <si>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</si>
  <si>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</si>
  <si>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</si>
  <si>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</si>
  <si>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</si>
  <si>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</si>
  <si>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</si>
  <si>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</si>
  <si>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</si>
  <si>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</si>
  <si>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</si>
  <si>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</si>
  <si>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</si>
  <si>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</si>
  <si>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</si>
  <si>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</si>
  <si>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</si>
  <si>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</si>
  <si>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</si>
  <si>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</si>
  <si>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</si>
  <si>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</si>
  <si>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</si>
  <si>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</si>
  <si>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</si>
  <si>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</si>
  <si>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</si>
  <si>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</si>
  <si>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</si>
  <si>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</si>
  <si>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</si>
  <si>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</si>
  <si>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</si>
  <si>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</si>
  <si>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</si>
  <si>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</si>
  <si>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</si>
  <si>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</si>
  <si>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</si>
  <si>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</si>
  <si>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</si>
  <si>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</si>
  <si>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</si>
  <si>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</si>
  <si>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</si>
  <si>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</si>
  <si>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</si>
  <si>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</si>
  <si>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</si>
  <si>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</si>
  <si>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</si>
  <si>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</si>
  <si>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</si>
  <si>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</si>
  <si>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</si>
  <si>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</si>
  <si>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</si>
  <si>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</si>
  <si>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</si>
  <si>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</si>
  <si>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</si>
  <si>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</si>
  <si>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</si>
  <si>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</si>
  <si>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</si>
  <si>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</si>
  <si>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</si>
  <si>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</si>
  <si>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</si>
  <si>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</si>
  <si>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</si>
  <si>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</si>
  <si>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</si>
  <si>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</si>
  <si>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</si>
  <si>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</si>
  <si>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</si>
  <si>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</si>
  <si>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</si>
  <si>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</si>
  <si>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</si>
  <si>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</si>
  <si>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</si>
  <si>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</si>
  <si>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</si>
  <si>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</si>
  <si>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</si>
  <si>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</si>
  <si>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</si>
  <si>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</si>
  <si>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</si>
  <si>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</si>
  <si>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</si>
  <si>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</si>
  <si>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</si>
  <si>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</si>
  <si>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</si>
  <si>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</si>
  <si>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</si>
  <si>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</si>
  <si>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</si>
  <si>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</si>
  <si>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</si>
  <si>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</si>
  <si>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</si>
  <si>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</si>
  <si>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</si>
  <si>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</si>
  <si>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</si>
  <si>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</si>
  <si>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</si>
  <si>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</si>
  <si>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</si>
  <si>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</si>
  <si>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</si>
  <si>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</si>
  <si>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</si>
  <si>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</si>
  <si>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</si>
  <si>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</si>
  <si>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</si>
  <si>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</si>
  <si>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</si>
  <si>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</si>
  <si>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</si>
  <si>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</si>
  <si>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</si>
  <si>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</si>
  <si>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</si>
  <si>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</si>
  <si>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</si>
  <si>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</si>
  <si>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</si>
  <si>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</si>
  <si>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</si>
  <si>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</si>
  <si>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</si>
  <si>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</si>
  <si>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</si>
  <si>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</si>
  <si>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</si>
  <si>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</si>
  <si>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</si>
  <si>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</si>
  <si>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</si>
  <si>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</si>
  <si>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</si>
  <si>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</si>
  <si>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</si>
  <si>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</si>
  <si>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</si>
  <si>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</si>
  <si>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</si>
  <si>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</si>
  <si>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</si>
  <si>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</si>
  <si>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</si>
  <si>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</si>
  <si>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</si>
  <si>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</si>
  <si>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</si>
  <si>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</si>
  <si>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</si>
  <si>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</si>
  <si>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</si>
  <si>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</si>
  <si>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</si>
  <si>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</si>
  <si>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</si>
  <si>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</si>
  <si>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</si>
  <si>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</si>
  <si>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</si>
  <si>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</si>
  <si>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</si>
  <si>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</si>
  <si>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</si>
  <si>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</si>
  <si>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</si>
  <si>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</si>
  <si>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</si>
  <si>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</si>
  <si>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</si>
  <si>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</si>
  <si>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</si>
  <si>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</si>
  <si>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</si>
  <si>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</si>
  <si>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</si>
  <si>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</si>
  <si>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</si>
  <si>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</si>
  <si>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</si>
  <si>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</si>
  <si>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</si>
  <si>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</si>
  <si>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</si>
  <si>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</si>
  <si>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</si>
  <si>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</si>
  <si>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</si>
  <si>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</si>
  <si>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</si>
  <si>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</si>
  <si>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</si>
  <si>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</si>
  <si>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</si>
  <si>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</si>
  <si>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</si>
  <si>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</si>
  <si>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</si>
  <si>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</si>
  <si>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</si>
  <si>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</si>
  <si>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</si>
  <si>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</si>
  <si>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</si>
  <si>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</si>
  <si>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</si>
  <si>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</si>
  <si>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</si>
  <si>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</si>
  <si>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</si>
  <si>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</si>
  <si>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</si>
  <si>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</si>
  <si>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</si>
  <si>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</si>
  <si>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</si>
  <si>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</si>
  <si>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</si>
  <si>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</si>
  <si>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</si>
  <si>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</si>
  <si>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</si>
  <si>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</si>
  <si>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</si>
  <si>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</si>
  <si>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</si>
  <si>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</si>
  <si>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</si>
  <si>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</si>
  <si>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</si>
  <si>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</si>
  <si>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</si>
  <si>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</si>
  <si>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</si>
  <si>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</si>
  <si>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</si>
  <si>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</si>
  <si>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</si>
  <si>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</si>
  <si>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</si>
  <si>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</si>
  <si>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</si>
  <si>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</si>
  <si>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</si>
  <si>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</si>
  <si>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</si>
  <si>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</si>
  <si>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</si>
  <si>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</si>
  <si>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</si>
  <si>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</si>
  <si>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</si>
  <si>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</si>
  <si>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</si>
  <si>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</si>
  <si>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</si>
  <si>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</si>
  <si>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</si>
  <si>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</si>
  <si>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</si>
  <si>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</si>
  <si>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</si>
  <si>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</si>
  <si>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</si>
  <si>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</si>
  <si>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</si>
  <si>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</si>
  <si>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</si>
  <si>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</si>
  <si>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</si>
  <si>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</si>
  <si>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</si>
  <si>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</si>
  <si>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</si>
  <si>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</si>
  <si>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</si>
  <si>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</si>
  <si>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</si>
  <si>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</si>
  <si>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</si>
  <si>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</si>
  <si>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</si>
  <si>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</si>
  <si>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</si>
  <si>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</si>
  <si>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</si>
  <si>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</si>
  <si>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</si>
  <si>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</si>
  <si>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</si>
  <si>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</si>
  <si>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</si>
  <si>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</si>
  <si>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</si>
  <si>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</si>
  <si>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</si>
  <si>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</si>
  <si>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</si>
  <si>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</si>
  <si>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</si>
  <si>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</si>
  <si>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</si>
  <si>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</si>
  <si>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</si>
  <si>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</si>
  <si>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</si>
  <si>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</si>
  <si>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</si>
  <si>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</si>
  <si>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</si>
  <si>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</si>
  <si>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</si>
  <si>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</si>
  <si>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</si>
  <si>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</si>
  <si>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</si>
  <si>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</si>
  <si>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</si>
  <si>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</si>
  <si>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</si>
  <si>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</si>
  <si>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</si>
  <si>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</si>
  <si>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</si>
  <si>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</si>
  <si>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</si>
  <si>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</si>
  <si>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</si>
  <si>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</si>
  <si>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</si>
  <si>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</si>
  <si>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</si>
  <si>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</si>
  <si>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</si>
  <si>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</si>
  <si>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</si>
  <si>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</si>
  <si>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</si>
  <si>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</si>
  <si>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</si>
  <si>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</si>
  <si>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</si>
  <si>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</si>
  <si>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</si>
  <si>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</si>
  <si>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</si>
  <si>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</si>
  <si>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</si>
  <si>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</si>
  <si>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</si>
  <si>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</si>
  <si>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</si>
  <si>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</si>
  <si>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</si>
  <si>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</si>
  <si>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</si>
  <si>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</si>
  <si>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</si>
  <si>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</si>
  <si>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</si>
  <si>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</si>
  <si>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</si>
  <si>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</si>
  <si>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</si>
  <si>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</si>
  <si>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</si>
  <si>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</si>
  <si>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</si>
  <si>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</si>
  <si>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</si>
  <si>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</si>
  <si>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</si>
  <si>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</si>
  <si>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</si>
  <si>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</si>
  <si>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</si>
  <si>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</si>
  <si>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</si>
  <si>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</si>
  <si>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</si>
  <si>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</si>
  <si>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</si>
  <si>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</si>
  <si>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</si>
  <si>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</si>
  <si>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</si>
  <si>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</si>
  <si>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</si>
  <si>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</si>
  <si>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</si>
  <si>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</si>
  <si>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</si>
  <si>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</si>
  <si>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</si>
  <si>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</si>
  <si>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</si>
  <si>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</si>
  <si>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</si>
  <si>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</si>
  <si>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</si>
  <si>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</si>
  <si>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</si>
  <si>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</si>
  <si>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</si>
  <si>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</si>
  <si>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</si>
  <si>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</si>
  <si>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</si>
  <si>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</si>
  <si>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</si>
  <si>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</si>
  <si>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</si>
  <si>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</si>
  <si>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</si>
  <si>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</si>
  <si>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</si>
  <si>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</si>
  <si>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</si>
  <si>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</si>
  <si>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</si>
  <si>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</si>
  <si>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</si>
  <si>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</si>
  <si>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</si>
  <si>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</si>
  <si>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</si>
  <si>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</si>
  <si>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</si>
  <si>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</si>
  <si>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</si>
  <si>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</si>
  <si>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</si>
  <si>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</si>
  <si>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</si>
  <si>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</si>
  <si>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</si>
  <si>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</si>
  <si>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</si>
  <si>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</si>
  <si>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</si>
  <si>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</si>
  <si>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</si>
  <si>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</si>
  <si>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</si>
  <si>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</si>
  <si>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</si>
  <si>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</si>
  <si>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</si>
  <si>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</si>
  <si>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</si>
  <si>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</si>
  <si>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</si>
  <si>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</si>
  <si>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</si>
  <si>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</si>
  <si>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</si>
  <si>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</si>
  <si>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</si>
  <si>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</si>
  <si>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</si>
  <si>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</si>
  <si>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</si>
  <si>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</si>
  <si>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</si>
  <si>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</si>
  <si>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</si>
  <si>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</si>
  <si>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</si>
  <si>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</si>
  <si>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</si>
  <si>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</si>
  <si>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</si>
  <si>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</si>
  <si>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</si>
  <si>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</si>
  <si>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</si>
  <si>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</si>
  <si>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</si>
  <si>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</si>
  <si>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</si>
  <si>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</si>
  <si>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</si>
  <si>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</si>
  <si>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</si>
  <si>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</si>
  <si>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</si>
  <si>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</si>
  <si>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</si>
  <si>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</si>
  <si>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</si>
  <si>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</si>
  <si>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</si>
  <si>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</si>
  <si>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</si>
  <si>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</si>
  <si>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</si>
  <si>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</si>
  <si>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</si>
  <si>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</si>
  <si>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</si>
  <si>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</si>
  <si>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</si>
  <si>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</si>
  <si>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</si>
  <si>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</si>
  <si>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</si>
  <si>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</si>
  <si>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</si>
  <si>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</si>
  <si>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</si>
  <si>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</si>
  <si>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</si>
  <si>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</si>
  <si>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</si>
  <si>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</si>
  <si>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</si>
  <si>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</si>
  <si>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</si>
  <si>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</si>
  <si>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</si>
  <si>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</si>
  <si>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</si>
  <si>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</si>
  <si>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</si>
  <si>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</si>
  <si>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</si>
  <si>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</si>
  <si>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</si>
  <si>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</si>
  <si>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</si>
  <si>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</si>
  <si>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</si>
  <si>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</si>
  <si>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</si>
  <si>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</si>
  <si>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</si>
  <si>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</si>
  <si>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</si>
  <si>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</si>
  <si>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</si>
  <si>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</si>
  <si>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</si>
  <si>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</si>
  <si>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</si>
  <si>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</si>
  <si>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</si>
  <si>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</si>
  <si>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</si>
  <si>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</si>
  <si>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</si>
  <si>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</si>
  <si>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</si>
  <si>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</si>
  <si>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</si>
  <si>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</si>
  <si>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</si>
  <si>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</si>
  <si>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</si>
  <si>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</si>
  <si>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</si>
  <si>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</si>
  <si>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</si>
  <si>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</si>
  <si>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</si>
  <si>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</si>
  <si>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</si>
  <si>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</si>
  <si>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</si>
  <si>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</si>
  <si>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</si>
  <si>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</si>
  <si>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</si>
  <si>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</si>
  <si>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</si>
  <si>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</si>
  <si>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</si>
  <si>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</si>
  <si>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</si>
  <si>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</si>
  <si>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</si>
  <si>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</si>
  <si>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</si>
  <si>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</si>
  <si>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</si>
  <si>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</si>
  <si>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</si>
  <si>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</si>
  <si>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</si>
  <si>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</si>
  <si>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</si>
  <si>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</si>
  <si>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</si>
  <si>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</si>
  <si>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</si>
  <si>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</si>
  <si>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</si>
  <si>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</si>
  <si>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</si>
  <si>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</si>
  <si>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</si>
  <si>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</si>
  <si>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</si>
  <si>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</si>
  <si>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</si>
  <si>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</si>
  <si>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</si>
  <si>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</si>
  <si>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</si>
  <si>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</si>
  <si>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</si>
  <si>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</si>
  <si>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</si>
  <si>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</si>
  <si>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</si>
  <si>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</si>
  <si>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</si>
  <si>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</si>
  <si>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</si>
  <si>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</si>
  <si>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</si>
  <si>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</si>
  <si>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</si>
  <si>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</si>
  <si>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</si>
  <si>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</si>
  <si>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</si>
  <si>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</si>
  <si>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</si>
  <si>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</si>
  <si>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</si>
  <si>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</si>
  <si>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</si>
  <si>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</si>
  <si>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</si>
  <si>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</si>
  <si>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</si>
  <si>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</si>
  <si>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</si>
  <si>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</si>
  <si>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</si>
  <si>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</si>
  <si>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</si>
  <si>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</si>
  <si>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</si>
  <si>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</si>
  <si>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</si>
  <si>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</si>
  <si>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</si>
  <si>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</si>
  <si>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</si>
  <si>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</si>
  <si>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</si>
  <si>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</si>
  <si>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</si>
  <si>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</si>
  <si>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</si>
  <si>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</si>
  <si>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</si>
  <si>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</si>
  <si>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</si>
  <si>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</si>
  <si>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</si>
  <si>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</si>
  <si>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</si>
  <si>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</si>
  <si>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</si>
  <si>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</si>
  <si>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</si>
  <si>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</si>
  <si>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</si>
  <si>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</si>
  <si>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</si>
  <si>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</si>
  <si>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</si>
  <si>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</si>
  <si>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</si>
  <si>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</si>
  <si>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</si>
  <si>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</si>
  <si>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</si>
  <si>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</si>
  <si>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</si>
  <si>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</si>
  <si>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</si>
  <si>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</si>
  <si>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</si>
  <si>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</si>
  <si>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</si>
  <si>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</si>
  <si>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</si>
  <si>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</si>
  <si>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</si>
  <si>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</si>
  <si>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</si>
  <si>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</si>
  <si>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</si>
  <si>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</si>
  <si>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</si>
  <si>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</si>
  <si>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</si>
  <si>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</si>
  <si>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</si>
  <si>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</si>
  <si>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</si>
  <si>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</si>
  <si>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</si>
  <si>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</si>
  <si>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</si>
  <si>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</si>
  <si>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</si>
  <si>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</si>
  <si>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</si>
  <si>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</si>
  <si>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</si>
  <si>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</si>
  <si>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</si>
  <si>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</si>
  <si>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</si>
  <si>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</si>
  <si>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</si>
  <si>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</si>
  <si>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</si>
  <si>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</si>
  <si>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</si>
  <si>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</si>
  <si>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</si>
  <si>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</si>
  <si>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</si>
  <si>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</si>
  <si>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</si>
  <si>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</si>
  <si>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</si>
  <si>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</si>
  <si>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</si>
  <si>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</si>
  <si>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</si>
  <si>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</si>
  <si>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</si>
  <si>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</si>
  <si>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</si>
  <si>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</si>
  <si>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</si>
  <si>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</si>
  <si>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</si>
  <si>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</si>
  <si>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</si>
  <si>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</si>
  <si>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</si>
  <si>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</si>
  <si>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</si>
  <si>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</si>
  <si>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</si>
  <si>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</si>
  <si>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</si>
  <si>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</si>
  <si>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</si>
  <si>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</si>
  <si>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</si>
  <si>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</si>
  <si>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</si>
  <si>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</si>
  <si>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</si>
  <si>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</si>
  <si>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</si>
  <si>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</si>
  <si>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</si>
  <si>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</si>
  <si>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</si>
  <si>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</si>
  <si>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</si>
  <si>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</si>
  <si>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</si>
  <si>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</si>
  <si>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</si>
  <si>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</si>
  <si>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</si>
  <si>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</si>
  <si>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</si>
  <si>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</si>
  <si>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</si>
  <si>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</si>
  <si>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</si>
  <si>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</si>
  <si>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</si>
  <si>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</si>
  <si>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</si>
  <si>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</si>
  <si>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</si>
  <si>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</si>
  <si>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</si>
  <si>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</si>
  <si>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</si>
  <si>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</si>
  <si>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</si>
  <si>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</si>
  <si>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</si>
  <si>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</si>
  <si>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</si>
  <si>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</si>
  <si>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</si>
  <si>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</si>
  <si>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</si>
  <si>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</si>
  <si>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</si>
  <si>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</si>
  <si>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</si>
  <si>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</si>
  <si>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</si>
  <si>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</si>
  <si>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</si>
  <si>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</si>
  <si>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</si>
  <si>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</si>
  <si>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</si>
  <si>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</si>
  <si>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</si>
  <si>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</si>
  <si>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</si>
  <si>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</si>
  <si>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</si>
  <si>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</si>
  <si>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</si>
  <si>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</si>
  <si>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</si>
  <si>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</si>
  <si>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</si>
  <si>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</si>
  <si>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</si>
  <si>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</si>
  <si>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</si>
  <si>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</si>
  <si>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</si>
  <si>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</si>
  <si>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</si>
  <si>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</si>
  <si>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</si>
  <si>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</si>
  <si>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</si>
  <si>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</si>
  <si>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</si>
  <si>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</si>
  <si>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</si>
  <si>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</si>
  <si>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</si>
  <si>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</si>
  <si>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</si>
  <si>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</si>
  <si>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</si>
  <si>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</si>
  <si>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</si>
  <si>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</si>
  <si>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</si>
  <si>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</si>
  <si>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</si>
  <si>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</si>
  <si>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</si>
  <si>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</si>
  <si>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</si>
  <si>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</si>
  <si>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</si>
  <si>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</si>
  <si>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</si>
  <si>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</si>
  <si>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</si>
  <si>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</si>
  <si>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</si>
  <si>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</si>
  <si>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</si>
  <si>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</si>
  <si>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</si>
  <si>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</si>
  <si>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</si>
  <si>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</si>
  <si>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</si>
  <si>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</si>
  <si>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</si>
  <si>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</si>
  <si>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</si>
  <si>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</si>
  <si>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</si>
  <si>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</si>
  <si>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</si>
  <si>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</si>
  <si>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</si>
  <si>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</si>
  <si>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</si>
  <si>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</si>
  <si>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</si>
  <si>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</si>
  <si>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</si>
  <si>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</si>
  <si>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</si>
  <si>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</si>
  <si>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</si>
  <si>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</si>
  <si>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</si>
  <si>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</si>
  <si>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</si>
  <si>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</si>
  <si>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</si>
  <si>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</si>
  <si>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</si>
  <si>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</si>
  <si>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</si>
  <si>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</si>
  <si>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</si>
  <si>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</si>
  <si>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</si>
  <si>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</si>
  <si>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</si>
  <si>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</si>
  <si>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</si>
  <si>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</si>
  <si>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</si>
  <si>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</si>
  <si>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</si>
  <si>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</si>
  <si>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</si>
  <si>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</si>
  <si>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</si>
  <si>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</si>
  <si>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</si>
  <si>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</si>
  <si>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</si>
  <si>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</si>
  <si>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</si>
  <si>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</si>
  <si>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</si>
  <si>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</si>
  <si>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</si>
  <si>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</si>
  <si>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</si>
  <si>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</si>
  <si>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</si>
  <si>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</si>
  <si>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</si>
  <si>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</si>
  <si>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</si>
  <si>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</si>
  <si>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</si>
  <si>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</si>
  <si>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</si>
  <si>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</si>
  <si>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</si>
  <si>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</si>
  <si>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</si>
  <si>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</si>
  <si>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</si>
  <si>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</si>
  <si>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</si>
  <si>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</si>
  <si>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</si>
  <si>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</si>
  <si>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</si>
  <si>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</si>
  <si>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</si>
  <si>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</si>
  <si>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</si>
  <si>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</si>
  <si>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</si>
  <si>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</si>
  <si>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</si>
  <si>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</si>
  <si>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</si>
  <si>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</si>
  <si>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</si>
  <si>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</si>
  <si>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</si>
  <si>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</si>
  <si>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</si>
  <si>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</si>
  <si>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</si>
  <si>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</si>
  <si>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</si>
  <si>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</si>
  <si>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</si>
  <si>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</si>
  <si>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</si>
  <si>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</si>
  <si>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</si>
  <si>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</si>
  <si>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</si>
  <si>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</si>
  <si>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</si>
  <si>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</si>
  <si>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</si>
  <si>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</si>
  <si>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</si>
  <si>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</si>
  <si>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</si>
  <si>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</si>
  <si>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</si>
  <si>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</si>
  <si>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</si>
  <si>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</si>
  <si>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</si>
  <si>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</si>
  <si>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</si>
  <si>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</si>
  <si>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</si>
  <si>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</si>
  <si>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</si>
  <si>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</si>
  <si>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</si>
  <si>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</si>
  <si>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</si>
  <si>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</si>
  <si>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</si>
  <si>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</si>
  <si>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</si>
  <si>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</si>
  <si>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</si>
  <si>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</si>
  <si>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</si>
  <si>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</si>
  <si>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</si>
  <si>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</si>
  <si>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</si>
  <si>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</si>
  <si>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</si>
  <si>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</si>
  <si>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</si>
  <si>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</si>
  <si>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</si>
  <si>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</si>
  <si>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</si>
  <si>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</si>
  <si>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</si>
  <si>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</si>
  <si>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</si>
  <si>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</si>
  <si>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</si>
  <si>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</si>
  <si>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</si>
  <si>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</si>
  <si>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</si>
  <si>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</si>
  <si>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</si>
  <si>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</si>
  <si>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</si>
  <si>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</si>
  <si>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</si>
  <si>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</si>
  <si>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</si>
  <si>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</si>
  <si>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</si>
  <si>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</si>
  <si>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</si>
  <si>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</si>
  <si>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</si>
  <si>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</si>
  <si>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</si>
  <si>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</si>
  <si>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</si>
  <si>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</si>
  <si>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</si>
  <si>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</si>
  <si>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</si>
  <si>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</si>
  <si>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</si>
  <si>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</si>
  <si>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</si>
  <si>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</si>
  <si>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</si>
  <si>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</si>
  <si>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</si>
  <si>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</si>
  <si>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</si>
  <si>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</si>
  <si>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</si>
  <si>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</si>
  <si>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</si>
  <si>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</si>
  <si>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</si>
  <si>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</si>
  <si>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</si>
  <si>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</si>
  <si>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</si>
  <si>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</si>
  <si>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</si>
  <si>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</si>
  <si>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</si>
  <si>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</si>
  <si>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</si>
  <si>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</si>
  <si>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</si>
  <si>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</si>
  <si>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</si>
  <si>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</si>
  <si>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</si>
  <si>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</si>
  <si>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</si>
  <si>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</si>
  <si>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</si>
  <si>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</si>
  <si>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</si>
  <si>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</si>
  <si>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</si>
  <si>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</si>
  <si>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</si>
  <si>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</si>
  <si>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</si>
  <si>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</si>
  <si>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</si>
  <si>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</si>
  <si>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</si>
  <si>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</si>
  <si>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</si>
  <si>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</si>
  <si>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</si>
  <si>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</si>
  <si>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</si>
  <si>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</si>
  <si>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</si>
  <si>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</si>
  <si>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</si>
  <si>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</si>
  <si>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</si>
  <si>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</si>
  <si>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</si>
  <si>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</si>
  <si>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</si>
  <si>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</si>
  <si>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</si>
  <si>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</si>
  <si>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</si>
  <si>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</si>
  <si>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</si>
  <si>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</si>
  <si>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</si>
  <si>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</si>
  <si>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</si>
  <si>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</si>
  <si>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</si>
  <si>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</si>
  <si>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</si>
  <si>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</si>
  <si>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</si>
  <si>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</si>
  <si>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</si>
  <si>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</si>
  <si>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</si>
  <si>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</si>
  <si>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</si>
  <si>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</si>
  <si>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</si>
  <si>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</si>
  <si>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</si>
  <si>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</si>
  <si>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</si>
  <si>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</si>
  <si>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</si>
  <si>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</si>
  <si>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</si>
  <si>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</si>
  <si>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</si>
  <si>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</si>
  <si>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</si>
  <si>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</si>
  <si>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</si>
  <si>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</si>
  <si>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</si>
  <si>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</si>
  <si>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</si>
  <si>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</si>
  <si>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</si>
  <si>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</si>
  <si>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</si>
  <si>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</si>
  <si>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</si>
  <si>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</si>
  <si>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</si>
  <si>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</si>
  <si>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</si>
  <si>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</si>
  <si>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</si>
  <si>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</si>
  <si>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</si>
  <si>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</si>
  <si>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</si>
  <si>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</si>
  <si>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</si>
  <si>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</si>
  <si>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</si>
  <si>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</si>
  <si>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</si>
  <si>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</si>
  <si>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</si>
  <si>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</si>
  <si>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</si>
  <si>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</si>
  <si>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</si>
  <si>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</si>
  <si>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</si>
  <si>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</si>
  <si>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</si>
  <si>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</si>
  <si>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</si>
  <si>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</si>
  <si>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</si>
  <si>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</si>
  <si>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</si>
  <si>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</si>
  <si>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</si>
  <si>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</si>
  <si>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</si>
  <si>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</si>
  <si>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</si>
  <si>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</si>
  <si>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</si>
  <si>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</si>
  <si>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</si>
  <si>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</si>
  <si>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</si>
  <si>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</si>
  <si>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</si>
  <si>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</si>
  <si>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</si>
  <si>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</si>
  <si>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</si>
  <si>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</si>
  <si>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</si>
  <si>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</si>
  <si>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</si>
  <si>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</si>
  <si>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</si>
  <si>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</si>
  <si>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</si>
  <si>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</si>
  <si>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</si>
  <si>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</si>
  <si>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</si>
  <si>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</si>
  <si>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</si>
  <si>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</si>
  <si>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</si>
  <si>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</si>
  <si>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</si>
  <si>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</si>
  <si>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</si>
  <si>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</si>
  <si>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</si>
  <si>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</si>
  <si>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</si>
  <si>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</si>
  <si>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</si>
  <si>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</si>
  <si>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</si>
  <si>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</si>
  <si>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</si>
  <si>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</si>
  <si>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</si>
  <si>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</si>
  <si>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</si>
  <si>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</si>
  <si>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</si>
  <si>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</si>
  <si>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</si>
  <si>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</si>
  <si>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</si>
  <si>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</si>
  <si>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</si>
  <si>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</si>
  <si>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</si>
  <si>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</si>
  <si>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</si>
  <si>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</si>
  <si>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</si>
  <si>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</si>
  <si>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</si>
  <si>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</si>
  <si>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</si>
  <si>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</si>
  <si>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</si>
  <si>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</si>
  <si>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</si>
  <si>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</si>
  <si>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</si>
  <si>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</si>
  <si>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</si>
  <si>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</si>
  <si>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</si>
  <si>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</si>
  <si>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</si>
  <si>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</si>
  <si>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</si>
  <si>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</si>
  <si>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</si>
  <si>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</si>
  <si>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</si>
  <si>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</si>
  <si>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</si>
  <si>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</si>
  <si>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</si>
  <si>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</si>
  <si>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</si>
  <si>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</si>
  <si>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</si>
  <si>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</si>
  <si>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</si>
  <si>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</si>
  <si>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</si>
  <si>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</si>
  <si>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</si>
  <si>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</si>
  <si>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</si>
  <si>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</si>
  <si>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</si>
  <si>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</si>
  <si>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</si>
  <si>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</si>
  <si>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</si>
  <si>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</si>
  <si>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</si>
  <si>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</si>
  <si>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</si>
  <si>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</si>
  <si>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</si>
  <si>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</si>
  <si>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</si>
  <si>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</si>
  <si>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</si>
  <si>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</si>
  <si>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</si>
  <si>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</si>
  <si>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</si>
  <si>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</si>
  <si>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</si>
  <si>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</si>
  <si>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</si>
  <si>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</si>
  <si>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</si>
  <si>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</si>
  <si>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</si>
  <si>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</si>
  <si>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</si>
  <si>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</si>
  <si>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</si>
  <si>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</si>
  <si>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</si>
  <si>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</si>
  <si>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</si>
  <si>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</si>
  <si>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</si>
  <si>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</si>
  <si>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</si>
  <si>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</si>
  <si>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</si>
  <si>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</si>
  <si>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</si>
  <si>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</si>
  <si>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</si>
  <si>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</si>
  <si>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</si>
  <si>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</si>
  <si>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</si>
  <si>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</si>
  <si>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</si>
  <si>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</si>
  <si>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</si>
  <si>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</si>
  <si>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</si>
  <si>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</si>
  <si>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</si>
  <si>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</si>
  <si>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</si>
  <si>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</si>
  <si>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</si>
  <si>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</si>
  <si>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</si>
  <si>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</si>
  <si>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</si>
  <si>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</si>
  <si>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</si>
  <si>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</si>
  <si>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</si>
  <si>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</si>
  <si>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</si>
  <si>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</si>
  <si>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</si>
  <si>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</si>
  <si>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</si>
  <si>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</si>
  <si>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</si>
  <si>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</si>
  <si>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</si>
  <si>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</si>
  <si>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</si>
  <si>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</si>
  <si>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</si>
  <si>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</si>
  <si>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</si>
  <si>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</si>
  <si>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</si>
  <si>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</si>
  <si>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</si>
  <si>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</si>
  <si>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</si>
  <si>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</si>
  <si>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</si>
  <si>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</si>
  <si>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</si>
  <si>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</si>
  <si>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</si>
  <si>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</si>
  <si>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</si>
  <si>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</si>
  <si>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</si>
  <si>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</si>
  <si>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</si>
  <si>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</si>
  <si>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</si>
  <si>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</si>
  <si>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</si>
  <si>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</si>
  <si>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</si>
  <si>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</si>
  <si>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</si>
  <si>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</si>
  <si>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</si>
  <si>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</si>
  <si>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</si>
  <si>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</si>
  <si>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</si>
  <si>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</si>
  <si>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</si>
  <si>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</si>
  <si>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</si>
  <si>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</si>
  <si>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</si>
  <si>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</si>
  <si>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</si>
  <si>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</si>
  <si>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</si>
  <si>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</si>
  <si>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</si>
  <si>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</si>
  <si>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</si>
  <si>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</si>
  <si>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</si>
  <si>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</si>
  <si>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</si>
  <si>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</si>
  <si>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</si>
  <si>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</si>
  <si>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</si>
  <si>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</si>
  <si>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</si>
  <si>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</si>
  <si>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</si>
  <si>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</si>
  <si>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</si>
  <si>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</si>
  <si>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</si>
  <si>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</si>
  <si>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</si>
  <si>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</si>
  <si>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</si>
  <si>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</si>
  <si>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</si>
  <si>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</si>
  <si>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</si>
  <si>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</si>
  <si>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</si>
  <si>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</si>
  <si>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</si>
  <si>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</si>
  <si>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</si>
  <si>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</si>
  <si>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</si>
  <si>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</si>
  <si>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</si>
  <si>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</si>
  <si>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</si>
  <si>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</si>
  <si>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</si>
  <si>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</si>
  <si>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</si>
  <si>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</si>
  <si>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</si>
  <si>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</si>
  <si>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</si>
  <si>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</si>
  <si>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</si>
  <si>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</si>
  <si>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</si>
  <si>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</si>
  <si>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</si>
  <si>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</si>
  <si>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</si>
  <si>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</si>
  <si>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</si>
  <si>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</si>
  <si>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</si>
  <si>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</si>
  <si>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</si>
  <si>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</si>
  <si>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</si>
  <si>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</si>
  <si>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</si>
  <si>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</si>
  <si>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</si>
  <si>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</si>
  <si>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</si>
  <si>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</si>
  <si>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</si>
  <si>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</si>
  <si>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</si>
  <si>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</si>
  <si>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</si>
  <si>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</si>
  <si>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</si>
  <si>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</si>
  <si>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</si>
  <si>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</si>
  <si>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</si>
  <si>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</si>
  <si>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</si>
  <si>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</si>
  <si>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</si>
  <si>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</si>
  <si>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</si>
  <si>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</si>
  <si>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</si>
  <si>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</si>
  <si>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</si>
  <si>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</si>
  <si>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</si>
  <si>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</si>
  <si>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</si>
  <si>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</si>
  <si>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</si>
  <si>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</si>
  <si>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</si>
  <si>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</si>
  <si>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</si>
  <si>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</si>
  <si>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</si>
  <si>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</si>
  <si>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</si>
  <si>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</si>
  <si>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</si>
  <si>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</si>
  <si>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</si>
  <si>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</si>
  <si>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</si>
  <si>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</si>
  <si>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</si>
  <si>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</si>
  <si>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</si>
  <si>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</si>
  <si>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</si>
  <si>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</si>
  <si>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</si>
  <si>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</si>
  <si>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</si>
  <si>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</si>
  <si>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</si>
  <si>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</si>
  <si>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</si>
  <si>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</si>
  <si>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</si>
  <si>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</si>
  <si>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</si>
  <si>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</si>
  <si>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</si>
  <si>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</si>
  <si>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</si>
  <si>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</si>
  <si>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</si>
  <si>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</si>
  <si>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</si>
  <si>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</si>
  <si>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</si>
  <si>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</si>
  <si>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</si>
  <si>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</si>
  <si>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</si>
  <si>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</si>
  <si>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</si>
  <si>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</si>
  <si>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</si>
  <si>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</si>
  <si>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</si>
  <si>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</si>
  <si>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</si>
  <si>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</si>
  <si>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</si>
  <si>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</si>
  <si>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</si>
  <si>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</si>
  <si>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</si>
  <si>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</si>
  <si>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</si>
  <si>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</si>
  <si>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</si>
  <si>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</si>
  <si>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</si>
  <si>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</si>
  <si>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</si>
  <si>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</si>
  <si>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</si>
  <si>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</si>
  <si>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</si>
  <si>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</si>
  <si>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</si>
  <si>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</si>
  <si>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</si>
  <si>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</si>
  <si>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</si>
  <si>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</si>
  <si>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</si>
  <si>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</si>
  <si>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</si>
  <si>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</si>
  <si>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</si>
  <si>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</si>
  <si>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</si>
  <si>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</si>
  <si>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</si>
  <si>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</si>
  <si>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</si>
  <si>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</si>
  <si>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</si>
  <si>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</si>
  <si>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</si>
  <si>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</si>
  <si>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</si>
  <si>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</si>
  <si>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</si>
  <si>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</si>
  <si>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</si>
  <si>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</si>
  <si>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</si>
  <si>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</si>
  <si>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</si>
  <si>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</si>
  <si>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</si>
  <si>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</si>
  <si>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</si>
  <si>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</si>
  <si>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</si>
  <si>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</si>
  <si>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</si>
  <si>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</si>
  <si>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</si>
  <si>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</si>
  <si>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</si>
  <si>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</si>
  <si>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</si>
  <si>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</si>
  <si>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</si>
  <si>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</si>
  <si>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</si>
  <si>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</si>
  <si>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</si>
  <si>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</si>
  <si>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</si>
  <si>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</si>
  <si>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</si>
  <si>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</si>
  <si>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</si>
  <si>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</si>
  <si>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</si>
  <si>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</si>
  <si>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</si>
  <si>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</si>
  <si>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</si>
  <si>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</si>
  <si>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</si>
  <si>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</si>
  <si>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</si>
  <si>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</si>
  <si>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</si>
  <si>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</si>
  <si>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</si>
  <si>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</si>
  <si>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</si>
  <si>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</si>
  <si>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</si>
  <si>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</si>
  <si>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</si>
  <si>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</si>
  <si>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</si>
  <si>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</si>
  <si>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</si>
  <si>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</si>
  <si>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</si>
  <si>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</si>
  <si>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</si>
  <si>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</si>
  <si>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</si>
  <si>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</si>
  <si>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</si>
  <si>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</si>
  <si>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</si>
  <si>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</si>
  <si>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</si>
  <si>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</si>
  <si>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</si>
  <si>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</si>
  <si>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</si>
  <si>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</si>
  <si>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</si>
  <si>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</si>
  <si>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</si>
  <si>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</si>
  <si>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</si>
  <si>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</si>
  <si>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</si>
  <si>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</si>
  <si>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</si>
  <si>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</si>
  <si>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</si>
  <si>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</si>
  <si>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</si>
  <si>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</si>
  <si>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</si>
  <si>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</si>
  <si>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</si>
  <si>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</si>
  <si>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</si>
  <si>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</si>
  <si>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</si>
  <si>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</si>
  <si>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</si>
  <si>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</si>
  <si>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</si>
  <si>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</si>
  <si>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</si>
  <si>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</si>
  <si>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</si>
  <si>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</si>
  <si>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</si>
  <si>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</si>
  <si>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</si>
  <si>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</si>
  <si>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</si>
  <si>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</si>
  <si>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</si>
  <si>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</si>
  <si>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</si>
  <si>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</si>
  <si>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</si>
  <si>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</si>
  <si>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</si>
  <si>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</si>
  <si>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</si>
  <si>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</si>
  <si>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</si>
  <si>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</si>
  <si>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</si>
  <si>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</si>
  <si>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</si>
  <si>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</si>
  <si>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</si>
  <si>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</si>
  <si>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</si>
  <si>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</si>
  <si>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</si>
  <si>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</si>
  <si>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</si>
  <si>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</si>
  <si>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</si>
  <si>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</si>
  <si>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</si>
  <si>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</si>
  <si>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</si>
  <si>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</si>
  <si>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</si>
  <si>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</si>
  <si>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</si>
  <si>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</si>
  <si>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</si>
  <si>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</si>
  <si>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</si>
  <si>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</si>
  <si>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</si>
  <si>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</si>
  <si>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</si>
  <si>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</si>
  <si>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</si>
  <si>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</si>
  <si>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</si>
  <si>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</si>
  <si>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</si>
  <si>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</si>
  <si>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</si>
  <si>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</si>
  <si>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</si>
  <si>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</si>
  <si>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</si>
  <si>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</si>
  <si>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</si>
  <si>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</si>
  <si>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</si>
  <si>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</si>
  <si>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</si>
  <si>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</si>
  <si>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</si>
  <si>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</si>
  <si>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</si>
  <si>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</si>
  <si>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</si>
  <si>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</si>
  <si>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</si>
  <si>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</si>
  <si>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</si>
  <si>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</si>
  <si>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</si>
  <si>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</si>
  <si>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</si>
  <si>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</si>
  <si>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</si>
  <si>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</si>
  <si>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</si>
  <si>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</si>
  <si>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</si>
  <si>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</si>
  <si>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</si>
  <si>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</si>
  <si>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</si>
  <si>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</si>
  <si>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</si>
  <si>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</si>
  <si>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</si>
  <si>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</si>
  <si>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</si>
  <si>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</si>
  <si>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</si>
  <si>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</si>
  <si>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</si>
  <si>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</si>
  <si>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</si>
  <si>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</si>
  <si>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</si>
  <si>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</si>
  <si>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</si>
  <si>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</si>
  <si>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</si>
  <si>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</si>
  <si>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</si>
  <si>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</si>
  <si>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</si>
  <si>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</si>
  <si>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</si>
  <si>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</si>
  <si>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</si>
  <si>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</si>
  <si>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</si>
  <si>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</si>
  <si>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</si>
  <si>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</si>
  <si>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</si>
  <si>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</si>
  <si>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</si>
  <si>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</si>
  <si>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</si>
  <si>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</si>
  <si>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</si>
  <si>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</si>
  <si>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</si>
  <si>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</si>
  <si>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</si>
  <si>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</si>
  <si>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</si>
  <si>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</si>
  <si>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</si>
  <si>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</si>
  <si>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</si>
  <si>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</si>
  <si>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</si>
  <si>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</si>
  <si>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</si>
  <si>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</si>
  <si>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</si>
  <si>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</si>
  <si>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</si>
  <si>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</si>
  <si>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</si>
  <si>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</si>
  <si>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</si>
  <si>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</si>
  <si>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</si>
  <si>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</si>
  <si>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</si>
  <si>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</si>
  <si>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</si>
  <si>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</si>
  <si>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</si>
  <si>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</si>
  <si>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</si>
  <si>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</si>
  <si>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</si>
  <si>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</si>
  <si>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</si>
  <si>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</si>
  <si>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</si>
  <si>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</si>
  <si>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</si>
  <si>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</si>
  <si>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</si>
  <si>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</si>
  <si>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</si>
  <si>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</si>
  <si>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</si>
  <si>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</si>
  <si>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</si>
  <si>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</si>
  <si>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</si>
  <si>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</si>
  <si>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</si>
  <si>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</si>
  <si>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</si>
  <si>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</si>
  <si>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</si>
  <si>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</si>
  <si>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</si>
  <si>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</si>
  <si>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</si>
  <si>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</si>
  <si>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</si>
  <si>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</si>
  <si>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</si>
  <si>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</si>
  <si>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</si>
  <si>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</si>
  <si>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</si>
  <si>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</si>
  <si>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</si>
  <si>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</si>
  <si>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</si>
  <si>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</si>
  <si>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</si>
  <si>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</si>
  <si>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</si>
  <si>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</si>
  <si>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</si>
  <si>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</si>
  <si>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</si>
  <si>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</si>
  <si>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</si>
  <si>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</si>
  <si>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</si>
  <si>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</si>
  <si>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</si>
  <si>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</si>
  <si>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</si>
  <si>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</si>
  <si>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</si>
  <si>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</si>
  <si>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</si>
  <si>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</si>
  <si>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</si>
  <si>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</si>
  <si>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</si>
  <si>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</si>
  <si>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</si>
  <si>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</si>
  <si>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</si>
  <si>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</si>
  <si>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</si>
  <si>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</si>
  <si>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</si>
  <si>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</si>
  <si>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</si>
  <si>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</si>
  <si>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</si>
  <si>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</si>
  <si>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</si>
  <si>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</si>
  <si>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</si>
  <si>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</si>
  <si>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</si>
  <si>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</si>
  <si>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</si>
  <si>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</si>
  <si>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</si>
  <si>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</si>
  <si>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</si>
  <si>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</si>
  <si>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</si>
  <si>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</si>
  <si>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</si>
  <si>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</si>
  <si>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</si>
  <si>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</si>
  <si>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</si>
  <si>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</si>
  <si>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</si>
  <si>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</si>
  <si>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</si>
  <si>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</si>
  <si>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</si>
  <si>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</si>
  <si>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</si>
  <si>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</si>
  <si>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</si>
  <si>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</si>
  <si>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</si>
  <si>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</si>
  <si>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</si>
  <si>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</si>
  <si>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</si>
  <si>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</si>
  <si>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</si>
  <si>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</si>
  <si>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</si>
  <si>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</si>
  <si>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</si>
  <si>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</si>
  <si>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</si>
  <si>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</si>
  <si>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</si>
  <si>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</si>
  <si>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</si>
  <si>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</si>
  <si>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</si>
  <si>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</si>
  <si>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</si>
  <si>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</si>
  <si>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</si>
  <si>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</si>
  <si>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</si>
  <si>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</si>
  <si>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</si>
  <si>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</si>
  <si>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</si>
  <si>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</si>
  <si>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</si>
  <si>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</si>
  <si>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</si>
  <si>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</si>
  <si>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</si>
  <si>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</si>
  <si>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</si>
  <si>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</si>
  <si>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</si>
  <si>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</si>
  <si>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</si>
  <si>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</si>
  <si>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</si>
  <si>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</si>
  <si>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</si>
  <si>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</si>
  <si>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</si>
  <si>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</si>
  <si>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</si>
  <si>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</si>
  <si>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</si>
  <si>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</si>
  <si>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</si>
  <si>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</si>
  <si>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</si>
  <si>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</si>
  <si>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</si>
  <si>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</si>
  <si>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</si>
  <si>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</si>
  <si>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</si>
  <si>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</si>
  <si>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</si>
  <si>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</si>
  <si>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</si>
  <si>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</si>
  <si>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</si>
  <si>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</si>
  <si>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</si>
  <si>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</si>
  <si>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</si>
  <si>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</si>
  <si>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</si>
  <si>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</si>
  <si>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</si>
  <si>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</si>
  <si>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</si>
  <si>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</si>
  <si>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</si>
  <si>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</si>
  <si>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</si>
  <si>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</si>
  <si>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</si>
  <si>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</si>
  <si>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</si>
  <si>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</si>
  <si>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</si>
  <si>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</si>
  <si>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</si>
  <si>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</si>
  <si>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</si>
  <si>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</si>
  <si>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</si>
  <si>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</si>
  <si>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</si>
  <si>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</si>
  <si>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</si>
  <si>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</si>
  <si>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</si>
  <si>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</si>
  <si>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</si>
  <si>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</si>
  <si>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</si>
  <si>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</si>
  <si>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</si>
  <si>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</si>
  <si>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</si>
  <si>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</si>
  <si>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</si>
  <si>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</si>
  <si>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</si>
  <si>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</si>
  <si>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</si>
  <si>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</si>
  <si>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</si>
  <si>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</si>
  <si>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</si>
  <si>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</si>
  <si>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</si>
  <si>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</si>
  <si>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</si>
  <si>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</si>
  <si>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</si>
  <si>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</si>
  <si>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</si>
  <si>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</si>
  <si>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</si>
  <si>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</si>
  <si>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</si>
  <si>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</si>
  <si>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</si>
  <si>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</si>
  <si>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</si>
  <si>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</si>
  <si>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</si>
  <si>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</si>
  <si>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</si>
  <si>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</si>
  <si>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</si>
  <si>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</si>
  <si>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</si>
  <si>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</si>
  <si>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</si>
  <si>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</si>
  <si>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</si>
  <si>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</si>
  <si>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</si>
  <si>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</si>
  <si>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</si>
  <si>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</si>
  <si>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</si>
  <si>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</si>
  <si>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</si>
  <si>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</si>
  <si>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</si>
  <si>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</si>
  <si>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</si>
  <si>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</si>
  <si>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</si>
  <si>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</si>
  <si>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</si>
  <si>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</si>
  <si>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</si>
  <si>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</si>
  <si>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</si>
  <si>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</si>
  <si>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</si>
  <si>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</si>
  <si>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</si>
  <si>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</si>
  <si>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</si>
  <si>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</si>
  <si>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</si>
  <si>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</si>
  <si>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</si>
  <si>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</si>
  <si>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</si>
  <si>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</si>
  <si>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</si>
  <si>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</si>
  <si>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</si>
  <si>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</si>
  <si>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</si>
  <si>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</si>
  <si>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</si>
  <si>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</si>
  <si>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</si>
  <si>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</si>
  <si>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</si>
  <si>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</si>
  <si>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</si>
  <si>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</si>
  <si>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</si>
  <si>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</si>
  <si>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</si>
  <si>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</si>
  <si>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</si>
  <si>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</si>
  <si>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</si>
  <si>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</si>
  <si>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</si>
  <si>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</si>
  <si>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</si>
  <si>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</si>
  <si>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</si>
  <si>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</si>
  <si>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</si>
  <si>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</si>
  <si>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</si>
  <si>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</si>
  <si>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</si>
  <si>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</si>
  <si>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</si>
  <si>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</si>
  <si>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</si>
  <si>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</si>
  <si>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</si>
  <si>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</si>
  <si>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</si>
  <si>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</si>
  <si>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</si>
  <si>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</si>
  <si>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</si>
  <si>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</si>
  <si>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</si>
  <si>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</si>
  <si>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</si>
  <si>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</si>
  <si>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</si>
  <si>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</si>
  <si>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</si>
  <si>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</si>
  <si>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</si>
  <si>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</si>
  <si>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</si>
  <si>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</si>
  <si>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</si>
  <si>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</si>
  <si>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</si>
  <si>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</si>
  <si>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</si>
  <si>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</si>
  <si>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</si>
  <si>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</si>
  <si>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</si>
  <si>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</si>
  <si>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</si>
  <si>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</si>
  <si>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</si>
  <si>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</si>
  <si>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</si>
  <si>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</si>
  <si>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</si>
  <si>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</si>
  <si>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</si>
  <si>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</si>
  <si>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</si>
  <si>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</si>
  <si>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</si>
  <si>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</si>
  <si>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</si>
  <si>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</si>
  <si>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</si>
  <si>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</si>
  <si>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</si>
  <si>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</si>
  <si>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</si>
  <si>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</si>
  <si>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</si>
  <si>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</si>
  <si>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</si>
  <si>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</si>
  <si>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</si>
  <si>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</si>
  <si>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</si>
  <si>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</si>
  <si>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</si>
  <si>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</si>
  <si>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</si>
  <si>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</si>
  <si>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</si>
  <si>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</si>
  <si>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</si>
  <si>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</si>
  <si>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</si>
  <si>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</si>
  <si>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</si>
  <si>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</si>
  <si>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</si>
  <si>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</si>
  <si>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</si>
  <si>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</si>
  <si>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</si>
  <si>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</si>
  <si>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</si>
  <si>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</si>
  <si>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</si>
  <si>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</si>
  <si>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</si>
  <si>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</si>
  <si>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</si>
  <si>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</si>
  <si>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</si>
  <si>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</si>
  <si>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</si>
  <si>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</si>
  <si>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</si>
  <si>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</si>
  <si>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</si>
  <si>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</si>
  <si>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</si>
  <si>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</si>
  <si>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</si>
  <si>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</si>
  <si>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</si>
  <si>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</si>
  <si>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</si>
  <si>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</si>
  <si>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</si>
  <si>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</si>
  <si>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</si>
  <si>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</si>
  <si>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</si>
  <si>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</si>
  <si>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</si>
  <si>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</si>
  <si>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</si>
  <si>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</si>
  <si>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</si>
  <si>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</si>
  <si>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</si>
  <si>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</si>
  <si>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</si>
  <si>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</si>
  <si>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</si>
  <si>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</si>
  <si>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</si>
  <si>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</si>
  <si>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</si>
  <si>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</si>
  <si>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</si>
  <si>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</si>
  <si>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</si>
  <si>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</si>
  <si>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</si>
  <si>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</si>
  <si>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</si>
  <si>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</si>
  <si>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</si>
  <si>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</si>
  <si>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</si>
  <si>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</si>
  <si>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</si>
  <si>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</si>
  <si>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</si>
  <si>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</si>
  <si>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</si>
  <si>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</si>
  <si>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</si>
  <si>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</si>
  <si>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</si>
  <si>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</si>
  <si>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</si>
  <si>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</si>
  <si>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</si>
  <si>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</si>
  <si>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</si>
  <si>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</si>
  <si>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</si>
  <si>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</si>
  <si>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</si>
  <si>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</si>
  <si>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</si>
  <si>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</si>
  <si>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</si>
  <si>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</si>
  <si>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</si>
  <si>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</si>
  <si>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</si>
  <si>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</si>
  <si>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</si>
  <si>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</si>
  <si>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</si>
  <si>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</si>
  <si>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</si>
  <si>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</si>
  <si>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</si>
  <si>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</si>
  <si>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</si>
  <si>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</si>
  <si>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</si>
  <si>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</si>
  <si>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</si>
  <si>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</si>
  <si>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</si>
  <si>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</si>
  <si>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</si>
  <si>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</si>
  <si>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</si>
  <si>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</si>
  <si>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</si>
  <si>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</si>
  <si>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</si>
  <si>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</si>
  <si>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</si>
  <si>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</si>
  <si>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</si>
  <si>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</si>
  <si>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</si>
  <si>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</si>
  <si>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</si>
  <si>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</si>
  <si>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</si>
  <si>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</si>
  <si>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</si>
  <si>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</si>
  <si>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</si>
  <si>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</si>
  <si>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</si>
  <si>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</si>
  <si>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</si>
  <si>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</si>
  <si>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</si>
  <si>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</si>
  <si>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</si>
  <si>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</si>
  <si>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</si>
  <si>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</si>
  <si>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</si>
  <si>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</si>
  <si>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</si>
  <si>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</si>
  <si>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</si>
  <si>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</si>
  <si>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</si>
  <si>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</si>
  <si>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</si>
  <si>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</si>
  <si>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</si>
  <si>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</si>
  <si>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</si>
  <si>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</si>
  <si>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</si>
  <si>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</si>
  <si>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</si>
  <si>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</si>
  <si>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</si>
  <si>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</si>
  <si>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</si>
  <si>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</si>
  <si>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</si>
  <si>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</si>
  <si>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</si>
  <si>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</si>
  <si>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</si>
  <si>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</si>
  <si>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</si>
  <si>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</si>
  <si>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</si>
  <si>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</si>
  <si>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</si>
  <si>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</si>
  <si>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</si>
  <si>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</si>
  <si>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</si>
  <si>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</si>
  <si>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</si>
  <si>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</si>
  <si>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</si>
  <si>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</si>
  <si>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</si>
  <si>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</si>
  <si>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</si>
  <si>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</si>
  <si>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</si>
  <si>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</si>
  <si>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</si>
  <si>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</si>
  <si>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</si>
  <si>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</si>
  <si>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</si>
  <si>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</si>
  <si>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</si>
  <si>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</si>
  <si>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</si>
  <si>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</si>
  <si>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</si>
  <si>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</si>
  <si>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</si>
  <si>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</si>
  <si>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</si>
  <si>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</si>
  <si>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</si>
  <si>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</si>
  <si>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</si>
  <si>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</si>
  <si>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</si>
  <si>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</si>
  <si>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</si>
  <si>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</si>
  <si>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</si>
  <si>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</si>
  <si>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</si>
  <si>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</si>
  <si>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</si>
  <si>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</si>
  <si>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</si>
  <si>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</si>
  <si>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</si>
  <si>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</si>
  <si>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</si>
  <si>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</si>
  <si>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</si>
  <si>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</si>
  <si>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</si>
  <si>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</si>
  <si>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</si>
  <si>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</si>
  <si>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</si>
  <si>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</si>
  <si>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</si>
  <si>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</si>
  <si>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</si>
  <si>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</si>
  <si>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</si>
  <si>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</si>
  <si>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</si>
  <si>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</si>
  <si>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</si>
  <si>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</si>
  <si>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</si>
  <si>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</si>
  <si>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</si>
  <si>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</si>
  <si>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</si>
  <si>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</si>
  <si>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</si>
  <si>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</si>
  <si>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</si>
  <si>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</si>
  <si>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</si>
  <si>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</si>
  <si>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</si>
  <si>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</si>
  <si>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</si>
  <si>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</si>
  <si>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</si>
  <si>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</si>
  <si>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</si>
  <si>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</si>
  <si>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</si>
  <si>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</si>
  <si>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</si>
  <si>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</si>
  <si>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</si>
  <si>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</si>
  <si>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</si>
  <si>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</si>
  <si>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</si>
  <si>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</si>
  <si>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</si>
  <si>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</si>
  <si>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</si>
  <si>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</si>
  <si>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</si>
  <si>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</si>
  <si>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</si>
  <si>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</si>
  <si>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</si>
  <si>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</si>
  <si>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</si>
  <si>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</si>
  <si>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</si>
  <si>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</si>
  <si>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</si>
  <si>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</si>
  <si>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</si>
  <si>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</si>
  <si>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</si>
  <si>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</si>
  <si>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</si>
  <si>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</si>
  <si>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</si>
  <si>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</si>
  <si>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</si>
  <si>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</si>
  <si>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</si>
  <si>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</si>
  <si>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</si>
  <si>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</si>
  <si>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</si>
  <si>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</si>
  <si>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</si>
  <si>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</si>
  <si>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</si>
  <si>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</si>
  <si>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</si>
  <si>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</si>
  <si>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</si>
  <si>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</si>
  <si>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</si>
  <si>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</si>
  <si>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</si>
  <si>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</si>
  <si>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</si>
  <si>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</si>
  <si>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</si>
  <si>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</si>
  <si>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</si>
  <si>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</si>
  <si>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</si>
  <si>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</si>
  <si>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</si>
  <si>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</si>
  <si>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</si>
  <si>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</si>
  <si>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</si>
  <si>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</si>
  <si>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</si>
  <si>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</si>
  <si>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</si>
  <si>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</si>
  <si>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</si>
  <si>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</si>
  <si>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</si>
  <si>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</si>
  <si>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</si>
  <si>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</si>
  <si>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</si>
  <si>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</si>
  <si>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</si>
  <si>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</si>
  <si>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</si>
  <si>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</si>
  <si>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</si>
  <si>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</si>
  <si>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</si>
  <si>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</si>
  <si>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</si>
  <si>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</si>
  <si>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</si>
  <si>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</si>
  <si>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</si>
  <si>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</si>
  <si>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</si>
  <si>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</si>
  <si>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</si>
  <si>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</si>
  <si>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</si>
  <si>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</si>
  <si>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</si>
  <si>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</si>
  <si>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</si>
  <si>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</si>
  <si>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</si>
  <si>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</si>
  <si>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</si>
  <si>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</si>
  <si>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</si>
  <si>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</si>
  <si>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</si>
  <si>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</si>
  <si>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</si>
  <si>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</si>
  <si>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</si>
  <si>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</si>
  <si>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</si>
  <si>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</si>
  <si>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</si>
  <si>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</si>
  <si>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</si>
  <si>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</si>
  <si>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</si>
  <si>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</si>
  <si>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</si>
  <si>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</si>
  <si>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</si>
  <si>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</si>
  <si>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</si>
  <si>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</si>
  <si>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</si>
  <si>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</si>
  <si>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</si>
  <si>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</si>
  <si>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</si>
  <si>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</si>
  <si>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</si>
  <si>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</si>
  <si>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</si>
  <si>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</si>
  <si>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</si>
  <si>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</si>
  <si>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</si>
  <si>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</si>
  <si>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</si>
  <si>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</si>
  <si>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</si>
  <si>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</si>
  <si>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</si>
  <si>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</si>
  <si>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</si>
  <si>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</si>
  <si>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</si>
  <si>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</si>
  <si>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</si>
  <si>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</si>
  <si>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</si>
  <si>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</si>
  <si>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</si>
  <si>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</si>
  <si>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</si>
  <si>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</si>
  <si>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</si>
  <si>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</si>
  <si>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</si>
  <si>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</si>
  <si>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</si>
  <si>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</si>
  <si>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</si>
  <si>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</si>
  <si>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</si>
  <si>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</si>
  <si>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</si>
  <si>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</si>
  <si>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</si>
  <si>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</si>
  <si>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</si>
  <si>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</si>
  <si>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</si>
  <si>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</si>
  <si>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</si>
  <si>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</si>
  <si>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</si>
  <si>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</si>
  <si>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</si>
  <si>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</si>
  <si>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</si>
  <si>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</si>
  <si>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</si>
  <si>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</si>
  <si>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</si>
  <si>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</si>
  <si>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</si>
  <si>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</si>
  <si>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</si>
  <si>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</si>
  <si>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</si>
  <si>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</si>
  <si>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</si>
  <si>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</si>
  <si>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</si>
  <si>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</si>
  <si>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</si>
  <si>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</si>
  <si>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</si>
  <si>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</si>
  <si>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</si>
  <si>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</si>
  <si>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</si>
  <si>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</si>
  <si>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</si>
  <si>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</si>
  <si>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</si>
  <si>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</si>
  <si>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</si>
  <si>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</si>
  <si>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</si>
  <si>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</si>
  <si>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</si>
  <si>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</si>
  <si>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</si>
  <si>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</si>
  <si>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</si>
  <si>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</si>
  <si>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</si>
  <si>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</si>
  <si>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</si>
  <si>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</si>
  <si>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</si>
  <si>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</si>
  <si>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</si>
  <si>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</si>
  <si>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</si>
  <si>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</si>
  <si>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</si>
  <si>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</si>
  <si>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</si>
  <si>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</si>
  <si>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</si>
  <si>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</si>
  <si>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</si>
  <si>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</si>
  <si>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</si>
  <si>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</si>
  <si>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</si>
  <si>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</si>
  <si>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</si>
  <si>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</si>
  <si>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</si>
  <si>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</si>
  <si>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</si>
  <si>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</si>
  <si>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</si>
  <si>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</si>
  <si>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</si>
  <si>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</si>
  <si>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</si>
  <si>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</si>
  <si>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</si>
  <si>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</si>
  <si>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</si>
  <si>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</si>
  <si>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</si>
  <si>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</si>
  <si>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</si>
  <si>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</si>
  <si>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</si>
  <si>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</si>
  <si>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</si>
  <si>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</si>
  <si>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</si>
  <si>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</si>
  <si>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</si>
  <si>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</si>
  <si>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</si>
  <si>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</si>
  <si>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</si>
  <si>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</si>
  <si>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</si>
  <si>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</si>
  <si>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</si>
  <si>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</si>
  <si>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</si>
  <si>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</si>
  <si>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</si>
  <si>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</si>
  <si>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</si>
  <si>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</si>
  <si>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</si>
  <si>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</si>
  <si>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</si>
  <si>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</si>
  <si>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</si>
  <si>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</si>
  <si>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</si>
  <si>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</si>
  <si>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</si>
  <si>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</si>
  <si>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</si>
  <si>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</si>
  <si>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</si>
  <si>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</si>
  <si>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</si>
  <si>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</si>
  <si>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</si>
  <si>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</si>
  <si>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</si>
  <si>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</si>
  <si>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</si>
  <si>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</si>
  <si>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</si>
  <si>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</si>
  <si>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</si>
  <si>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</si>
  <si>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</si>
  <si>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</si>
  <si>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</si>
  <si>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</si>
  <si>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</si>
  <si>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</si>
  <si>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</si>
  <si>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</si>
  <si>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</si>
  <si>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</si>
  <si>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</si>
  <si>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</si>
  <si>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</si>
  <si>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</si>
  <si>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</si>
  <si>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</si>
  <si>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</si>
  <si>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</si>
  <si>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</si>
  <si>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</si>
  <si>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</si>
  <si>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</si>
  <si>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</si>
  <si>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</si>
  <si>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</si>
  <si>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</si>
  <si>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</si>
  <si>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</si>
  <si>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</si>
  <si>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</si>
  <si>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</si>
  <si>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</si>
  <si>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</si>
  <si>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</si>
  <si>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</si>
  <si>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</si>
  <si>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</si>
  <si>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</si>
  <si>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</si>
  <si>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</si>
  <si>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</si>
  <si>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</si>
  <si>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</si>
  <si>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</si>
  <si>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</si>
  <si>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</si>
  <si>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</si>
  <si>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</si>
  <si>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</si>
  <si>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</si>
  <si>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</si>
  <si>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</si>
  <si>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</si>
  <si>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</si>
  <si>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</si>
  <si>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</si>
  <si>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</si>
  <si>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</si>
  <si>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</si>
  <si>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</si>
  <si>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</si>
  <si>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</si>
  <si>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</si>
  <si>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</si>
  <si>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</si>
  <si>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</si>
  <si>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</si>
  <si>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</si>
  <si>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</si>
  <si>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</si>
  <si>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</si>
  <si>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</si>
  <si>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</si>
  <si>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</si>
  <si>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</si>
  <si>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</si>
  <si>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</si>
  <si>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</si>
  <si>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</si>
  <si>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</si>
  <si>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</si>
  <si>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</si>
  <si>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</si>
  <si>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</si>
  <si>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</si>
  <si>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</si>
  <si>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</si>
  <si>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</si>
  <si>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</si>
  <si>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</si>
  <si>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</si>
  <si>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</si>
  <si>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</si>
  <si>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</si>
  <si>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</si>
  <si>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</si>
  <si>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</si>
  <si>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</si>
  <si>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</si>
  <si>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</si>
  <si>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</si>
  <si>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</si>
  <si>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</si>
  <si>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</si>
  <si>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</si>
  <si>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</si>
  <si>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</si>
  <si>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</si>
  <si>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</si>
  <si>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</si>
  <si>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</si>
  <si>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</si>
  <si>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</si>
  <si>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</si>
  <si>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</si>
  <si>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</si>
  <si>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</si>
  <si>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</si>
  <si>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</si>
  <si>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</si>
  <si>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</si>
  <si>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</si>
  <si>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</si>
  <si>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</si>
  <si>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</si>
  <si>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</si>
  <si>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</si>
  <si>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</si>
  <si>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</si>
  <si>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</si>
  <si>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</si>
  <si>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</si>
  <si>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</si>
  <si>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</si>
  <si>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</si>
  <si>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</si>
  <si>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</si>
  <si>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</si>
  <si>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</si>
  <si>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</si>
  <si>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</si>
  <si>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</si>
  <si>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</si>
  <si>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</si>
  <si>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</si>
  <si>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</si>
  <si>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</si>
  <si>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</si>
  <si>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</si>
  <si>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</si>
  <si>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</si>
  <si>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</si>
  <si>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</si>
  <si>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</si>
  <si>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</si>
  <si>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</si>
  <si>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</si>
  <si>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</si>
  <si>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</si>
  <si>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</si>
  <si>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</si>
  <si>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</si>
  <si>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</si>
  <si>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</si>
  <si>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</si>
  <si>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</si>
  <si>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</si>
  <si>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</si>
  <si>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</si>
  <si>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</si>
  <si>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</si>
  <si>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</si>
  <si>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</si>
  <si>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</si>
  <si>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</si>
  <si>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</si>
  <si>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</si>
  <si>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</si>
  <si>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</si>
  <si>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</si>
  <si>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</si>
  <si>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</si>
  <si>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</si>
  <si>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</si>
  <si>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</si>
  <si>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</si>
  <si>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</si>
  <si>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</si>
  <si>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</si>
  <si>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</si>
  <si>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</si>
  <si>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</si>
  <si>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</si>
  <si>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</si>
  <si>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</si>
  <si>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</si>
  <si>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</si>
  <si>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</si>
  <si>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</si>
  <si>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</si>
  <si>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</si>
  <si>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</si>
  <si>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</si>
  <si>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</si>
  <si>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</si>
  <si>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</si>
  <si>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</si>
  <si>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</si>
  <si>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</si>
  <si>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</si>
  <si>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</si>
  <si>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</si>
  <si>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</si>
  <si>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</si>
  <si>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</si>
  <si>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</si>
  <si>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</si>
  <si>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</si>
  <si>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</si>
  <si>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</si>
  <si>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</si>
  <si>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</si>
  <si>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</si>
  <si>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</si>
  <si>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</si>
  <si>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</si>
  <si>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</si>
  <si>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</si>
  <si>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</si>
  <si>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</si>
  <si>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</si>
  <si>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</si>
  <si>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</si>
  <si>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</si>
  <si>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</si>
  <si>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</si>
  <si>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</si>
  <si>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</si>
  <si>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</si>
  <si>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</si>
  <si>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</si>
  <si>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</si>
  <si>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</si>
  <si>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</si>
  <si>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</si>
  <si>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</si>
  <si>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</si>
  <si>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</si>
  <si>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</si>
  <si>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</si>
  <si>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</si>
  <si>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</si>
  <si>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</si>
  <si>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</si>
  <si>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</si>
  <si>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</si>
  <si>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</si>
  <si>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</si>
  <si>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</si>
  <si>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</si>
  <si>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</si>
  <si>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</si>
  <si>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</si>
  <si>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</si>
  <si>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</si>
  <si>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</si>
  <si>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</si>
  <si>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</si>
  <si>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</si>
  <si>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</si>
  <si>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</si>
  <si>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</si>
  <si>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</si>
  <si>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</si>
  <si>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</si>
  <si>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</si>
  <si>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</si>
  <si>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</si>
  <si>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</si>
  <si>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</si>
  <si>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</si>
  <si>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</si>
  <si>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</si>
  <si>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</si>
  <si>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</si>
  <si>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</si>
  <si>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</si>
  <si>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</si>
  <si>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</si>
  <si>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</si>
  <si>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</si>
  <si>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</si>
  <si>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</si>
  <si>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</si>
  <si>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</si>
  <si>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</si>
  <si>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</si>
  <si>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</si>
  <si>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</si>
  <si>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</si>
  <si>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</si>
  <si>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</si>
  <si>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</si>
  <si>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</si>
  <si>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</si>
  <si>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</si>
  <si>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</si>
  <si>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</si>
  <si>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</si>
  <si>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</si>
  <si>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</si>
  <si>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</si>
  <si>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</si>
  <si>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</si>
  <si>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</si>
  <si>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</si>
  <si>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</si>
  <si>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</si>
  <si>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</si>
  <si>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</si>
  <si>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</si>
  <si>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</si>
  <si>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</si>
  <si>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</si>
  <si>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</si>
  <si>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</si>
  <si>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</si>
  <si>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</si>
  <si>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</si>
  <si>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</si>
  <si>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</si>
  <si>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</si>
  <si>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</si>
  <si>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</si>
  <si>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</si>
  <si>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</si>
  <si>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</si>
  <si>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</si>
  <si>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</si>
  <si>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</si>
  <si>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</si>
  <si>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</si>
  <si>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</si>
  <si>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</si>
  <si>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</si>
  <si>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</si>
  <si>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</si>
  <si>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</si>
  <si>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</si>
  <si>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</si>
  <si>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</si>
  <si>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</si>
  <si>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</si>
  <si>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</si>
  <si>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</si>
  <si>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</si>
  <si>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</si>
  <si>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</si>
  <si>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</si>
  <si>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</si>
  <si>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</si>
  <si>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</si>
  <si>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</si>
  <si>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</si>
  <si>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</si>
  <si>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</si>
  <si>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</si>
  <si>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</si>
  <si>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</si>
  <si>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</si>
  <si>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</si>
  <si>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</si>
  <si>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</si>
  <si>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</si>
  <si>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</si>
  <si>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</si>
  <si>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</si>
  <si>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</si>
  <si>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</si>
  <si>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</si>
  <si>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</si>
  <si>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</si>
  <si>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</si>
  <si>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</si>
  <si>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</si>
  <si>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</si>
  <si>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</si>
  <si>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</si>
  <si>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</si>
  <si>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</si>
  <si>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</si>
  <si>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</si>
  <si>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</si>
  <si>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</si>
  <si>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</si>
  <si>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</si>
  <si>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</si>
  <si>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</si>
  <si>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</si>
  <si>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</si>
  <si>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</si>
  <si>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</si>
  <si>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</si>
  <si>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</si>
  <si>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</si>
  <si>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</si>
  <si>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</si>
  <si>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</si>
  <si>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</si>
  <si>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</si>
  <si>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</si>
  <si>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</si>
  <si>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</si>
  <si>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</si>
  <si>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</si>
  <si>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</si>
  <si>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</si>
  <si>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</si>
  <si>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</si>
  <si>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</si>
  <si>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</si>
  <si>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</si>
  <si>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</si>
  <si>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</si>
  <si>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</si>
  <si>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</si>
  <si>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</si>
  <si>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</si>
  <si>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</si>
  <si>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</si>
  <si>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</si>
  <si>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</si>
  <si>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</si>
  <si>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</si>
  <si>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</si>
  <si>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</si>
  <si>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</si>
  <si>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</si>
  <si>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</si>
  <si>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</si>
  <si>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</si>
  <si>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</si>
  <si>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</si>
  <si>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</si>
  <si>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</si>
  <si>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</si>
  <si>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</si>
  <si>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</si>
  <si>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</si>
  <si>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</si>
  <si>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</si>
  <si>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</si>
  <si>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</si>
  <si>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</si>
  <si>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</si>
  <si>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</si>
  <si>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</si>
  <si>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</si>
  <si>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</si>
  <si>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</si>
  <si>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</si>
  <si>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</si>
  <si>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</si>
  <si>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</si>
  <si>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</si>
  <si>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</si>
  <si>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</si>
  <si>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</si>
  <si>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</si>
  <si>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</si>
  <si>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</si>
  <si>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</si>
  <si>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</si>
  <si>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</si>
  <si>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</si>
  <si>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</si>
  <si>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</si>
  <si>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</si>
  <si>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</si>
  <si>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</si>
  <si>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</si>
  <si>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</si>
  <si>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</si>
  <si>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</si>
  <si>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</si>
  <si>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</si>
  <si>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</si>
  <si>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</si>
  <si>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</si>
  <si>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</si>
  <si>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</si>
  <si>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</si>
  <si>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</si>
  <si>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</si>
  <si>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</si>
  <si>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</si>
  <si>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</si>
  <si>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</si>
  <si>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</si>
  <si>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</si>
  <si>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</si>
  <si>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</si>
  <si>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</si>
  <si>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</si>
  <si>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</si>
  <si>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</si>
  <si>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</si>
  <si>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</si>
  <si>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</si>
  <si>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</si>
  <si>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</si>
  <si>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</si>
  <si>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</si>
  <si>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</si>
  <si>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</si>
  <si>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</si>
  <si>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</si>
  <si>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</si>
  <si>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</si>
  <si>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</si>
  <si>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</si>
  <si>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</si>
  <si>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</si>
  <si>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</si>
  <si>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</si>
  <si>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</si>
  <si>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</si>
  <si>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</si>
  <si>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</si>
  <si>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</si>
  <si>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</si>
  <si>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</si>
  <si>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</si>
  <si>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</si>
  <si>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</si>
  <si>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</si>
  <si>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</si>
  <si>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</si>
  <si>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</si>
  <si>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</si>
  <si>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</si>
  <si>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</si>
  <si>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</si>
  <si>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</si>
  <si>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</si>
  <si>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</si>
  <si>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</si>
  <si>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</si>
  <si>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</si>
  <si>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</si>
  <si>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</si>
  <si>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</si>
  <si>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</si>
  <si>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</si>
  <si>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</si>
  <si>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</si>
  <si>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</si>
  <si>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</si>
  <si>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</si>
  <si>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</si>
  <si>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</si>
  <si>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</si>
  <si>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</si>
  <si>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</si>
  <si>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</si>
  <si>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</si>
  <si>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</si>
  <si>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</si>
  <si>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</si>
  <si>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</si>
  <si>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</si>
  <si>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</si>
  <si>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</si>
  <si>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</si>
  <si>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</si>
  <si>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</si>
  <si>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</si>
  <si>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</si>
  <si>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</si>
  <si>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</si>
  <si>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</si>
  <si>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</si>
  <si>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</si>
  <si>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</si>
  <si>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</si>
  <si>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</si>
  <si>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</si>
  <si>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</si>
  <si>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</si>
  <si>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</si>
  <si>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</si>
  <si>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</si>
  <si>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</si>
  <si>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</si>
  <si>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</si>
  <si>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</si>
  <si>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</si>
  <si>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</si>
  <si>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</si>
  <si>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</si>
  <si>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</si>
  <si>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</si>
  <si>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</si>
  <si>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</si>
  <si>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</si>
  <si>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</si>
  <si>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</si>
  <si>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</si>
  <si>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</si>
  <si>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</si>
  <si>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</si>
  <si>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</si>
  <si>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</si>
  <si>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</si>
  <si>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</si>
  <si>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</si>
  <si>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</si>
  <si>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</si>
  <si>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</si>
  <si>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</si>
  <si>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</si>
  <si>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</si>
  <si>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</si>
  <si>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</si>
  <si>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</si>
  <si>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</si>
  <si>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</si>
  <si>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</si>
  <si>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</si>
  <si>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</si>
  <si>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</si>
  <si>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</si>
  <si>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</si>
  <si>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</si>
  <si>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</si>
  <si>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</si>
  <si>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</si>
  <si>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</si>
  <si>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</si>
  <si>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</si>
  <si>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</si>
  <si>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</si>
  <si>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</si>
  <si>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</si>
  <si>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</si>
  <si>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</si>
  <si>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</si>
  <si>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</si>
  <si>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</si>
  <si>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</si>
  <si>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</si>
  <si>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</si>
  <si>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</si>
  <si>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</si>
  <si>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</si>
  <si>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</si>
  <si>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</si>
  <si>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</si>
  <si>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</si>
  <si>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</si>
  <si>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</si>
  <si>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</si>
  <si>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</si>
  <si>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</si>
  <si>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</si>
  <si>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</si>
  <si>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</si>
  <si>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</si>
  <si>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</si>
  <si>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</si>
  <si>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</si>
  <si>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</si>
  <si>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</si>
  <si>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</si>
  <si>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</si>
  <si>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</si>
  <si>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</si>
  <si>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</si>
  <si>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</si>
  <si>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</si>
  <si>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</si>
  <si>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</si>
  <si>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</si>
  <si>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</si>
  <si>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</si>
  <si>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</si>
  <si>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</si>
  <si>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</si>
  <si>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</si>
  <si>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</si>
  <si>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</si>
  <si>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</si>
  <si>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</si>
  <si>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</si>
  <si>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</si>
  <si>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</si>
  <si>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</si>
  <si>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</si>
  <si>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</si>
  <si>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</si>
  <si>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</si>
  <si>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</si>
  <si>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</si>
  <si>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</si>
  <si>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</si>
  <si>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</si>
  <si>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</si>
  <si>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</si>
  <si>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</si>
  <si>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</si>
  <si>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</si>
  <si>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</si>
  <si>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</si>
  <si>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</si>
  <si>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</si>
  <si>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</si>
  <si>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</si>
  <si>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</si>
  <si>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</si>
  <si>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</si>
  <si>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</si>
  <si>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</si>
  <si>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</si>
  <si>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</si>
  <si>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</si>
  <si>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</si>
  <si>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</si>
  <si>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</si>
  <si>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</si>
  <si>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</si>
  <si>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</si>
  <si>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</si>
  <si>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</si>
  <si>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</si>
  <si>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</si>
  <si>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</si>
  <si>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</si>
  <si>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</si>
  <si>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</si>
  <si>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</si>
  <si>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</si>
  <si>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</si>
  <si>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</si>
  <si>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</si>
  <si>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</si>
  <si>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</si>
  <si>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</si>
  <si>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</si>
  <si>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</si>
  <si>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</si>
  <si>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</si>
  <si>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</si>
  <si>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</si>
  <si>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</si>
  <si>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</si>
  <si>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</si>
  <si>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</si>
  <si>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</si>
  <si>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</si>
  <si>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</si>
  <si>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</si>
  <si>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</si>
  <si>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</si>
  <si>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</si>
  <si>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</si>
  <si>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</si>
  <si>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</si>
  <si>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</si>
  <si>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</si>
  <si>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</si>
  <si>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</si>
  <si>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</si>
  <si>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</si>
  <si>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</si>
  <si>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</si>
  <si>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</si>
  <si>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</si>
  <si>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</si>
  <si>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</si>
  <si>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</si>
  <si>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</si>
  <si>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</si>
  <si>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</si>
  <si>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</si>
  <si>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</si>
  <si>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</si>
  <si>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</si>
  <si>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</si>
  <si>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</si>
  <si>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</si>
  <si>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</si>
  <si>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</si>
  <si>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</si>
  <si>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</si>
  <si>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</si>
  <si>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</si>
  <si>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</si>
  <si>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</si>
  <si>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</si>
  <si>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</si>
  <si>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</si>
  <si>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</si>
  <si>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</si>
  <si>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</si>
  <si>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</si>
  <si>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</si>
  <si>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</si>
  <si>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</si>
  <si>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</si>
  <si>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</si>
  <si>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</si>
  <si>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</si>
  <si>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</si>
  <si>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</si>
  <si>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</si>
  <si>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</si>
  <si>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</si>
  <si>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</si>
  <si>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</si>
  <si>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</si>
  <si>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</si>
  <si>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</si>
  <si>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</si>
  <si>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</si>
  <si>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</si>
  <si>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</si>
  <si>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</si>
  <si>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</si>
  <si>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</si>
  <si>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</si>
  <si>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</si>
  <si>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</si>
  <si>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</si>
  <si>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</si>
  <si>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</si>
  <si>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</si>
  <si>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</si>
  <si>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</si>
  <si>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</si>
  <si>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</si>
  <si>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</si>
  <si>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</si>
  <si>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</si>
  <si>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</si>
  <si>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</si>
  <si>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</si>
  <si>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</si>
  <si>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</si>
  <si>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</si>
  <si>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</si>
  <si>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</si>
  <si>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</si>
  <si>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</si>
  <si>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</si>
  <si>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</si>
  <si>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</si>
  <si>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</si>
  <si>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</si>
  <si>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</si>
  <si>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</si>
  <si>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</si>
  <si>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</si>
  <si>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</si>
  <si>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</si>
  <si>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</si>
  <si>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</si>
  <si>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</si>
  <si>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</si>
  <si>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</si>
  <si>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</si>
  <si>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</si>
  <si>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</si>
  <si>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</si>
  <si>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</si>
  <si>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</si>
  <si>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</si>
  <si>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</si>
  <si>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</si>
  <si>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</si>
  <si>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</si>
  <si>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</si>
  <si>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</si>
  <si>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</si>
  <si>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</si>
  <si>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</si>
  <si>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</si>
  <si>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</si>
  <si>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</si>
  <si>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</si>
  <si>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</si>
  <si>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</si>
  <si>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</si>
  <si>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</si>
  <si>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</si>
  <si>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</si>
  <si>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</si>
  <si>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</si>
  <si>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</si>
  <si>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</si>
  <si>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</si>
  <si>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</si>
  <si>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</si>
  <si>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</si>
  <si>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</si>
  <si>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</si>
  <si>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</si>
  <si>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</si>
  <si>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</si>
  <si>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</si>
  <si>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</si>
  <si>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</si>
  <si>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</si>
  <si>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</si>
  <si>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</si>
  <si>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</si>
  <si>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</si>
  <si>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</si>
  <si>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</si>
  <si>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</si>
  <si>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</si>
  <si>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</si>
  <si>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</si>
  <si>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</si>
  <si>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</si>
  <si>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</si>
  <si>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</si>
  <si>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</si>
  <si>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</si>
  <si>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</si>
  <si>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</si>
  <si>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</si>
  <si>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</si>
  <si>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</si>
  <si>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</si>
  <si>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</si>
  <si>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</si>
  <si>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</si>
  <si>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</si>
  <si>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</si>
  <si>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</si>
  <si>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</si>
  <si>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</si>
  <si>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</si>
  <si>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</si>
  <si>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</si>
  <si>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</si>
  <si>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</si>
  <si>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</si>
  <si>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</si>
  <si>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</si>
  <si>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</si>
  <si>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</si>
  <si>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</si>
  <si>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</si>
  <si>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</si>
  <si>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</si>
  <si>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</si>
  <si>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</si>
  <si>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</si>
  <si>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</si>
  <si>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</si>
  <si>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</si>
  <si>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</si>
  <si>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</si>
  <si>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</si>
  <si>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</si>
  <si>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</si>
  <si>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</si>
  <si>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</si>
  <si>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</si>
  <si>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</si>
  <si>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</si>
  <si>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</si>
  <si>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</si>
  <si>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</si>
  <si>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</si>
  <si>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</si>
  <si>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</si>
  <si>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</si>
  <si>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</si>
  <si>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</si>
  <si>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</si>
  <si>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</si>
  <si>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</si>
  <si>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</si>
  <si>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</si>
  <si>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</si>
  <si>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</si>
  <si>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</si>
  <si>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</si>
  <si>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</si>
  <si>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</si>
  <si>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</si>
  <si>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</si>
  <si>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</si>
  <si>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</si>
  <si>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</si>
  <si>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</si>
  <si>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</si>
  <si>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</si>
  <si>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</si>
  <si>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</si>
  <si>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</si>
  <si>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</si>
  <si>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</si>
  <si>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</si>
  <si>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</si>
  <si>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</si>
  <si>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</si>
  <si>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</si>
  <si>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</si>
  <si>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</si>
  <si>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</si>
  <si>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</si>
  <si>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</si>
  <si>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</si>
  <si>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</si>
  <si>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</si>
  <si>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</si>
  <si>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</si>
  <si>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</si>
  <si>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</si>
  <si>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</si>
  <si>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</si>
  <si>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</si>
  <si>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</si>
  <si>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</si>
  <si>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</si>
  <si>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</si>
  <si>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</si>
  <si>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</si>
  <si>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</si>
  <si>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</si>
  <si>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</si>
  <si>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</si>
  <si>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</si>
  <si>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</si>
  <si>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</si>
  <si>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</si>
  <si>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</si>
  <si>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</si>
  <si>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</si>
  <si>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</si>
  <si>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</si>
  <si>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</si>
  <si>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</si>
  <si>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</si>
  <si>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</si>
  <si>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</si>
  <si>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</si>
  <si>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</si>
  <si>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</si>
  <si>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</si>
  <si>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</si>
  <si>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</si>
  <si>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</si>
  <si>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</si>
  <si>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</si>
  <si>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</si>
  <si>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</si>
  <si>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</si>
  <si>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</si>
  <si>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</si>
  <si>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</si>
  <si>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</si>
  <si>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</si>
  <si>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</si>
  <si>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</si>
  <si>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</si>
  <si>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</si>
  <si>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</si>
  <si>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</si>
  <si>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</si>
  <si>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</si>
  <si>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</si>
  <si>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</si>
  <si>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</si>
  <si>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</si>
  <si>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</si>
  <si>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</si>
  <si>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</si>
  <si>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</si>
  <si>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</si>
  <si>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</si>
  <si>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</si>
  <si>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</si>
  <si>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</si>
  <si>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</si>
  <si>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</si>
  <si>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</si>
  <si>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</si>
  <si>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</si>
  <si>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</si>
  <si>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</si>
  <si>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</si>
  <si>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</si>
  <si>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</si>
  <si>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</si>
  <si>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</si>
  <si>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</si>
  <si>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</si>
  <si>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</si>
  <si>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</si>
  <si>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</si>
  <si>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</si>
  <si>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</si>
  <si>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</si>
  <si>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</si>
  <si>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</si>
  <si>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</si>
  <si>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</si>
  <si>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</si>
  <si>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</si>
  <si>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</si>
  <si>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</si>
  <si>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</si>
  <si>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</si>
  <si>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</si>
  <si>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</si>
  <si>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</si>
  <si>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</si>
  <si>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</si>
  <si>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</si>
  <si>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</si>
  <si>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</si>
  <si>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</si>
  <si>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</si>
  <si>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</si>
  <si>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</si>
  <si>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</si>
  <si>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</si>
  <si>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</si>
  <si>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</si>
  <si>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</si>
  <si>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</si>
  <si>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</si>
  <si>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</si>
  <si>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</si>
  <si>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</si>
  <si>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</si>
  <si>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</si>
  <si>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</si>
  <si>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</si>
  <si>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</si>
  <si>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</si>
  <si>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</si>
  <si>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</si>
  <si>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</si>
  <si>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</si>
  <si>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</si>
  <si>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</si>
  <si>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</si>
  <si>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</si>
  <si>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</si>
  <si>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</si>
  <si>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</si>
  <si>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</si>
  <si>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</si>
  <si>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</si>
  <si>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</si>
  <si>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</si>
  <si>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</si>
  <si>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</si>
  <si>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</si>
  <si>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</si>
  <si>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</si>
  <si>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</si>
  <si>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</si>
  <si>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</si>
  <si>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</si>
  <si>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</si>
  <si>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</si>
  <si>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</si>
  <si>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</si>
  <si>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</si>
  <si>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</si>
  <si>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</si>
  <si>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</si>
  <si>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</si>
  <si>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</si>
  <si>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</si>
  <si>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</si>
  <si>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</si>
  <si>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</si>
  <si>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</si>
  <si>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</si>
  <si>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</si>
  <si>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</si>
  <si>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</si>
  <si>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</si>
  <si>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</si>
  <si>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</si>
  <si>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</si>
  <si>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</si>
  <si>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</si>
  <si>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</si>
  <si>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</si>
  <si>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</si>
  <si>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</si>
  <si>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</si>
  <si>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</si>
  <si>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</si>
  <si>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</si>
  <si>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</si>
  <si>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</si>
  <si>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</si>
  <si>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</si>
  <si>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</si>
  <si>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</si>
  <si>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</si>
  <si>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</si>
  <si>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</si>
  <si>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</si>
  <si>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</si>
  <si>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</si>
  <si>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</si>
  <si>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</si>
  <si>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</si>
  <si>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</si>
  <si>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</si>
  <si>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</si>
  <si>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</si>
  <si>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</si>
  <si>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</si>
  <si>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</si>
  <si>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</si>
  <si>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</si>
  <si>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</si>
  <si>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</si>
  <si>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</si>
  <si>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</si>
  <si>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</si>
  <si>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</si>
  <si>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</si>
  <si>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</si>
  <si>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</si>
  <si>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</si>
  <si>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</si>
  <si>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</si>
  <si>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</si>
  <si>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</si>
  <si>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</si>
  <si>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</si>
  <si>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</si>
  <si>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</si>
  <si>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</si>
  <si>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</si>
  <si>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</si>
  <si>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</si>
  <si>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</si>
  <si>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</si>
  <si>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</si>
  <si>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</si>
  <si>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</si>
  <si>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</si>
  <si>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</si>
  <si>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</si>
  <si>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</si>
  <si>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</si>
  <si>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</si>
  <si>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</si>
  <si>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</si>
  <si>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</si>
  <si>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</si>
  <si>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</si>
  <si>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</si>
  <si>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</si>
  <si>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</si>
  <si>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</si>
  <si>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</si>
  <si>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</si>
  <si>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</si>
  <si>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</si>
  <si>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</si>
  <si>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</si>
  <si>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</si>
  <si>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</si>
  <si>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</si>
  <si>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</si>
  <si>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</si>
  <si>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</si>
  <si>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</si>
  <si>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</si>
  <si>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</si>
  <si>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</si>
  <si>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</si>
  <si>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</si>
  <si>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</si>
  <si>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</si>
  <si>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</si>
  <si>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</si>
  <si>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</si>
  <si>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</si>
  <si>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</si>
  <si>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</si>
  <si>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</si>
  <si>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</si>
  <si>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</si>
  <si>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</si>
  <si>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</si>
  <si>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</si>
  <si>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</si>
  <si>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</si>
  <si>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</si>
  <si>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</si>
  <si>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</si>
  <si>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</si>
  <si>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</si>
  <si>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</si>
  <si>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</si>
  <si>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</si>
  <si>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</si>
  <si>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</si>
  <si>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</si>
  <si>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</si>
  <si>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</si>
  <si>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</si>
  <si>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</si>
  <si>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</si>
  <si>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</si>
  <si>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</si>
  <si>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</si>
  <si>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</si>
  <si>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</si>
  <si>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</si>
  <si>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</si>
  <si>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</si>
  <si>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</si>
  <si>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</si>
  <si>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</si>
  <si>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</si>
  <si>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</si>
  <si>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</si>
  <si>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</si>
  <si>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</si>
  <si>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</si>
  <si>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</si>
  <si>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</si>
  <si>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</si>
  <si>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</si>
  <si>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</si>
  <si>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</si>
  <si>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</si>
  <si>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</si>
  <si>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</si>
  <si>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</si>
  <si>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</si>
  <si>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</si>
  <si>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</si>
  <si>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</si>
  <si>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</si>
  <si>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</si>
  <si>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</si>
  <si>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</si>
  <si>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</si>
  <si>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</si>
  <si>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</si>
  <si>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</si>
  <si>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</si>
  <si>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</si>
  <si>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</si>
  <si>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</si>
  <si>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</si>
  <si>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</si>
  <si>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</si>
  <si>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</si>
  <si>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</si>
  <si>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</si>
  <si>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</si>
  <si>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</si>
  <si>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</si>
  <si>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</si>
  <si>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</si>
  <si>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</si>
  <si>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</si>
  <si>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</si>
  <si>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</si>
  <si>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</si>
  <si>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</si>
  <si>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</si>
  <si>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</si>
  <si>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</si>
  <si>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</si>
  <si>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</si>
  <si>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</si>
  <si>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</si>
  <si>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</si>
  <si>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</si>
  <si>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</si>
  <si>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</si>
  <si>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</si>
  <si>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</si>
  <si>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</si>
  <si>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</si>
  <si>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</si>
  <si>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</si>
  <si>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</si>
  <si>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</si>
  <si>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</si>
  <si>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</si>
  <si>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</si>
  <si>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</si>
  <si>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</si>
  <si>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</si>
  <si>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</si>
  <si>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</si>
  <si>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</si>
  <si>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</si>
  <si>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</si>
  <si>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</si>
  <si>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</si>
  <si>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</si>
  <si>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</si>
  <si>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</si>
  <si>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</si>
  <si>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</si>
  <si>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</si>
  <si>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</si>
  <si>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</si>
  <si>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</si>
  <si>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</si>
  <si>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</si>
  <si>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</si>
  <si>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</si>
  <si>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</si>
  <si>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</si>
  <si>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</si>
  <si>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</si>
  <si>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</si>
  <si>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</si>
  <si>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</si>
  <si>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</si>
  <si>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</si>
  <si>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</si>
  <si>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</si>
  <si>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</si>
  <si>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</si>
  <si>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</si>
  <si>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</si>
  <si>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</si>
  <si>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</si>
  <si>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</si>
  <si>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</si>
  <si>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</si>
  <si>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</si>
  <si>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</si>
  <si>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</si>
  <si>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</si>
  <si>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</si>
  <si>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</si>
  <si>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</si>
  <si>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</si>
  <si>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</si>
  <si>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</si>
  <si>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</si>
  <si>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</si>
  <si>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</si>
  <si>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</si>
  <si>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</si>
  <si>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</si>
  <si>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</si>
  <si>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</si>
  <si>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</si>
  <si>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</si>
  <si>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</si>
  <si>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</si>
  <si>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</si>
  <si>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</si>
  <si>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</si>
  <si>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</si>
  <si>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</si>
  <si>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</si>
  <si>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</si>
  <si>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</si>
  <si>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</si>
  <si>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</si>
  <si>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</si>
  <si>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</si>
  <si>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</si>
  <si>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</si>
  <si>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</si>
  <si>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</si>
  <si>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</si>
  <si>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</si>
  <si>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</si>
  <si>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</si>
  <si>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</si>
  <si>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</si>
  <si>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</si>
  <si>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</si>
  <si>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</si>
  <si>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</si>
  <si>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</si>
  <si>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</si>
  <si>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</si>
  <si>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</si>
  <si>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</si>
  <si>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</si>
  <si>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</si>
  <si>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</si>
  <si>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</si>
  <si>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</si>
  <si>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</si>
  <si>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</si>
  <si>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</si>
  <si>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</si>
  <si>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</si>
  <si>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</si>
  <si>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</si>
  <si>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</si>
  <si>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</si>
  <si>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</si>
  <si>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</si>
  <si>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</si>
  <si>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</si>
  <si>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</si>
  <si>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</si>
  <si>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</si>
  <si>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</si>
  <si>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</si>
  <si>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</si>
  <si>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</si>
  <si>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</si>
  <si>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</si>
  <si>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</si>
  <si>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</si>
  <si>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</si>
  <si>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</si>
  <si>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</si>
  <si>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</si>
  <si>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</si>
  <si>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</si>
  <si>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</si>
  <si>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</si>
  <si>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</si>
  <si>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</si>
  <si>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</si>
  <si>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</si>
  <si>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</si>
  <si>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</si>
  <si>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</si>
  <si>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</si>
  <si>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</si>
  <si>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</si>
  <si>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</si>
  <si>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</si>
  <si>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</si>
  <si>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</si>
  <si>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</si>
  <si>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</si>
  <si>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</si>
  <si>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</si>
  <si>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</si>
  <si>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</si>
  <si>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</si>
  <si>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</si>
  <si>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</si>
  <si>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</si>
  <si>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</si>
  <si>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</si>
  <si>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</si>
  <si>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</si>
  <si>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</si>
  <si>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</si>
  <si>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</si>
  <si>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</si>
  <si>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</si>
  <si>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</si>
  <si>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</si>
  <si>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</si>
  <si>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</si>
  <si>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</si>
  <si>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</si>
  <si>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</si>
  <si>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</si>
  <si>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</si>
  <si>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</si>
  <si>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</si>
  <si>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</si>
  <si>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</si>
  <si>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</si>
  <si>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</si>
  <si>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</si>
  <si>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</si>
  <si>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</si>
  <si>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</si>
  <si>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</si>
  <si>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</si>
  <si>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</si>
  <si>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</si>
  <si>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</si>
  <si>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</si>
  <si>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</si>
  <si>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</si>
  <si>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</si>
  <si>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</si>
  <si>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</si>
  <si>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</si>
  <si>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</si>
  <si>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</si>
  <si>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</si>
  <si>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</si>
  <si>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</si>
  <si>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</si>
  <si>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</si>
  <si>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</si>
  <si>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</si>
  <si>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</si>
  <si>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</si>
  <si>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</si>
  <si>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</si>
  <si>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</si>
  <si>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</si>
  <si>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</si>
  <si>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</si>
  <si>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</si>
  <si>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</si>
  <si>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</si>
  <si>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</si>
  <si>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</si>
  <si>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</si>
  <si>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</si>
  <si>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</si>
  <si>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</si>
  <si>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</si>
  <si>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</si>
  <si>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</si>
  <si>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</si>
  <si>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</si>
  <si>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</si>
  <si>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</si>
  <si>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</si>
  <si>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</si>
  <si>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</si>
  <si>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</si>
  <si>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</si>
  <si>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</si>
  <si>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</si>
  <si>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</si>
  <si>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</si>
  <si>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</si>
  <si>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</si>
  <si>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</si>
  <si>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</si>
  <si>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</si>
  <si>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</si>
  <si>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</si>
  <si>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</si>
  <si>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</si>
  <si>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</si>
  <si>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</si>
  <si>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</si>
  <si>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</si>
  <si>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</si>
  <si>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</si>
  <si>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</si>
  <si>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</si>
  <si>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</si>
  <si>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</si>
  <si>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</si>
  <si>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</si>
  <si>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</si>
  <si>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</si>
  <si>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</si>
  <si>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</si>
  <si>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</si>
  <si>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</si>
  <si>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</si>
  <si>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</si>
  <si>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</si>
  <si>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</si>
  <si>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</si>
  <si>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</si>
  <si>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</si>
  <si>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</si>
  <si>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</si>
  <si>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</si>
  <si>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</si>
  <si>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</si>
  <si>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</si>
  <si>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</si>
  <si>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</si>
  <si>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</si>
  <si>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</si>
  <si>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</si>
  <si>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</si>
  <si>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</si>
  <si>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</si>
  <si>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</si>
  <si>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</si>
  <si>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</si>
  <si>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</si>
  <si>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</si>
  <si>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</si>
  <si>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</si>
  <si>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</si>
  <si>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</si>
  <si>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</si>
  <si>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</si>
  <si>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</si>
  <si>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</si>
  <si>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</si>
  <si>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</si>
  <si>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</si>
  <si>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</si>
  <si>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</si>
  <si>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</si>
  <si>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</si>
  <si>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</si>
  <si>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</si>
  <si>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</si>
  <si>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</si>
  <si>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</si>
  <si>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</si>
  <si>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</si>
  <si>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</si>
  <si>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</si>
  <si>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</si>
  <si>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</si>
  <si>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</si>
  <si>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</si>
  <si>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</si>
  <si>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</si>
  <si>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</si>
  <si>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</si>
  <si>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</si>
  <si>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</si>
  <si>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</si>
  <si>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</si>
  <si>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</si>
  <si>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</si>
  <si>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</si>
  <si>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</si>
  <si>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</si>
  <si>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</si>
  <si>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</si>
  <si>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</si>
  <si>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</si>
  <si>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</si>
  <si>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</si>
  <si>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</si>
  <si>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</si>
  <si>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</si>
  <si>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</si>
  <si>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</si>
  <si>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</si>
  <si>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</si>
  <si>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</si>
  <si>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</si>
  <si>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</si>
  <si>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</si>
  <si>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</si>
  <si>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</si>
  <si>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</si>
  <si>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</si>
  <si>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</si>
  <si>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</si>
  <si>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</si>
  <si>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</si>
  <si>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</si>
  <si>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</si>
  <si>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</si>
  <si>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</si>
  <si>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</si>
  <si>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</si>
  <si>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</si>
  <si>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</si>
  <si>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</si>
  <si>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</si>
  <si>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</si>
  <si>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</si>
  <si>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</si>
  <si>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</si>
  <si>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</si>
  <si>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</si>
  <si>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</si>
  <si>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</si>
  <si>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</si>
  <si>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</si>
  <si>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</si>
  <si>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</si>
  <si>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</si>
  <si>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</si>
  <si>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</si>
  <si>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</si>
  <si>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</si>
  <si>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</si>
  <si>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</si>
  <si>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</si>
  <si>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</si>
  <si>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</si>
  <si>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</si>
  <si>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</si>
  <si>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</si>
  <si>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</si>
  <si>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</si>
  <si>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</si>
  <si>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</si>
  <si>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</si>
  <si>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</si>
  <si>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</si>
  <si>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</si>
  <si>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</si>
  <si>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</si>
  <si>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</si>
  <si>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</si>
  <si>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</si>
  <si>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</si>
  <si>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</si>
  <si>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</si>
  <si>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</si>
  <si>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</si>
  <si>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</si>
  <si>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</si>
  <si>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</si>
  <si>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</si>
  <si>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</si>
  <si>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</si>
  <si>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</si>
  <si>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</si>
  <si>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</si>
  <si>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</si>
  <si>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</si>
  <si>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</si>
  <si>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</si>
  <si>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</si>
  <si>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</si>
  <si>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</si>
  <si>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</si>
  <si>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</si>
  <si>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</si>
  <si>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</si>
  <si>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</si>
  <si>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</si>
  <si>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</si>
  <si>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</si>
  <si>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</si>
  <si>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</si>
  <si>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</si>
  <si>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</si>
  <si>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</si>
  <si>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</si>
  <si>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</si>
  <si>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</si>
  <si>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</si>
  <si>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</si>
  <si>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</si>
  <si>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</si>
  <si>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</si>
  <si>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</si>
  <si>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</si>
  <si>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</si>
  <si>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</si>
  <si>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</si>
  <si>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</si>
  <si>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</si>
  <si>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</si>
  <si>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</si>
  <si>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</si>
  <si>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</si>
  <si>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</si>
  <si>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</si>
  <si>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</si>
  <si>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</si>
  <si>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</si>
  <si>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</si>
  <si>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</si>
  <si>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</si>
  <si>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</si>
  <si>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</si>
  <si>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</si>
  <si>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</si>
  <si>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</si>
  <si>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</si>
  <si>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</si>
  <si>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</si>
  <si>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</si>
  <si>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</si>
  <si>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</si>
  <si>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</si>
  <si>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</si>
  <si>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</si>
  <si>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</si>
  <si>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</si>
  <si>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</si>
  <si>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</si>
  <si>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</si>
  <si>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</si>
  <si>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</si>
  <si>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</si>
  <si>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</si>
  <si>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</si>
  <si>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</si>
  <si>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</si>
  <si>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</si>
  <si>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</si>
  <si>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</si>
  <si>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</si>
  <si>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</si>
  <si>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</si>
  <si>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</si>
  <si>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</si>
  <si>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</si>
  <si>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</si>
  <si>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</si>
  <si>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</si>
  <si>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</si>
  <si>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</si>
  <si>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</si>
  <si>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</si>
  <si>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</si>
  <si>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</si>
  <si>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</si>
  <si>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</si>
  <si>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</si>
  <si>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</si>
  <si>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</si>
  <si>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</si>
  <si>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</si>
  <si>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</si>
  <si>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</si>
  <si>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</si>
  <si>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</si>
  <si>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</si>
  <si>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</si>
  <si>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</si>
  <si>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</si>
  <si>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</si>
  <si>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</si>
  <si>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</si>
  <si>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</si>
  <si>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</si>
  <si>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</si>
  <si>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</si>
  <si>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</si>
  <si>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</si>
  <si>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</si>
  <si>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</si>
  <si>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</si>
  <si>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</si>
  <si>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</si>
  <si>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</si>
  <si>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</si>
  <si>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</si>
  <si>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</si>
  <si>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</si>
  <si>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</si>
  <si>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</si>
  <si>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</si>
  <si>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</si>
  <si>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</si>
  <si>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</si>
  <si>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</si>
  <si>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</si>
  <si>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</si>
  <si>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</si>
  <si>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</si>
  <si>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</si>
  <si>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</si>
  <si>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</si>
  <si>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</si>
  <si>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</si>
  <si>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</si>
  <si>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</si>
  <si>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</si>
  <si>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</si>
  <si>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</si>
  <si>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</si>
  <si>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</si>
  <si>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</si>
  <si>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</si>
  <si>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</si>
  <si>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</si>
  <si>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</si>
  <si>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</si>
  <si>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</si>
  <si>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</si>
  <si>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</si>
  <si>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</si>
  <si>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</si>
  <si>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</si>
  <si>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</si>
  <si>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</si>
  <si>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</si>
  <si>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</si>
  <si>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</si>
  <si>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</si>
  <si>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</si>
  <si>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</si>
  <si>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</si>
  <si>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</si>
  <si>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</si>
  <si>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</si>
  <si>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</si>
  <si>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</si>
  <si>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</si>
  <si>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</si>
  <si>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</si>
  <si>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</si>
  <si>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</si>
  <si>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</si>
  <si>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</si>
  <si>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</si>
  <si>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</si>
  <si>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</si>
  <si>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</si>
  <si>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</si>
  <si>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</si>
  <si>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</si>
  <si>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</si>
  <si>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</si>
  <si>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</si>
  <si>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</si>
  <si>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</si>
  <si>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</si>
  <si>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</si>
  <si>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</si>
  <si>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</si>
  <si>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</si>
  <si>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</si>
  <si>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</si>
  <si>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</si>
  <si>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</si>
  <si>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</si>
  <si>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</si>
  <si>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</si>
  <si>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</si>
  <si>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</si>
  <si>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</si>
  <si>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</si>
  <si>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</si>
  <si>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</si>
  <si>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</si>
  <si>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</si>
  <si>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</si>
  <si>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</si>
  <si>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</si>
  <si>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</si>
  <si>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</si>
  <si>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</si>
  <si>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</si>
  <si>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</si>
  <si>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</si>
  <si>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</si>
  <si>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</si>
  <si>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</si>
  <si>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</si>
  <si>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</si>
  <si>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</si>
  <si>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</si>
  <si>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</si>
  <si>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</si>
  <si>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</si>
  <si>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</si>
  <si>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</si>
  <si>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</si>
  <si>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</si>
  <si>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</si>
  <si>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</si>
  <si>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</si>
  <si>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</si>
  <si>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</si>
  <si>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</si>
  <si>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</si>
  <si>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</si>
  <si>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</si>
  <si>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</si>
  <si>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</si>
  <si>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</si>
  <si>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</si>
  <si>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</si>
  <si>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</si>
  <si>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</si>
  <si>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</si>
  <si>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</si>
  <si>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</si>
  <si>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</si>
  <si>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</si>
  <si>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</si>
  <si>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</si>
  <si>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</si>
  <si>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</si>
  <si>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</si>
  <si>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</si>
  <si>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</si>
  <si>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</si>
  <si>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</si>
  <si>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</si>
  <si>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</si>
  <si>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</si>
  <si>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</si>
  <si>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</si>
  <si>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</si>
  <si>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</si>
  <si>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</si>
  <si>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</si>
  <si>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</si>
  <si>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</si>
  <si>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</si>
  <si>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</si>
  <si>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</si>
  <si>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</si>
  <si>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</si>
  <si>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</si>
  <si>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</si>
  <si>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</si>
  <si>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</si>
  <si>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</si>
  <si>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</si>
  <si>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</si>
  <si>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</si>
  <si>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</si>
  <si>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</si>
  <si>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</si>
  <si>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</si>
  <si>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</si>
  <si>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</si>
  <si>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</si>
  <si>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</si>
  <si>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</si>
  <si>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</si>
  <si>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</si>
  <si>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</si>
  <si>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</si>
  <si>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</si>
  <si>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</si>
  <si>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</si>
  <si>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</si>
  <si>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</si>
  <si>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</si>
  <si>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</si>
  <si>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</si>
  <si>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</si>
  <si>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</si>
  <si>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</si>
  <si>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</si>
  <si>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</si>
  <si>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</si>
  <si>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</si>
  <si>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</si>
  <si>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</si>
  <si>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</si>
  <si>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</si>
  <si>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</si>
  <si>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</si>
  <si>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</si>
  <si>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</si>
  <si>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</si>
  <si>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</si>
  <si>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</si>
  <si>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</si>
  <si>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</si>
  <si>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</si>
  <si>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</si>
  <si>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</si>
  <si>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</si>
  <si>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</si>
  <si>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</si>
  <si>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</si>
  <si>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</si>
  <si>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</si>
  <si>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</si>
  <si>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</si>
  <si>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</si>
  <si>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</si>
  <si>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</si>
  <si>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</si>
  <si>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</si>
  <si>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</si>
  <si>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</si>
  <si>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</si>
  <si>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</si>
  <si>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</si>
  <si>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</si>
  <si>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</si>
  <si>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</si>
  <si>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</si>
  <si>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</si>
  <si>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</si>
  <si>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</si>
  <si>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</si>
  <si>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</si>
  <si>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</si>
  <si>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</si>
  <si>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</si>
  <si>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</si>
  <si>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</si>
  <si>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</si>
  <si>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</si>
  <si>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</si>
  <si>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</si>
  <si>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</si>
  <si>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</si>
  <si>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</si>
  <si>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</si>
  <si>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</si>
  <si>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</si>
  <si>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</si>
  <si>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</si>
  <si>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</si>
  <si>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</si>
  <si>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</si>
  <si>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</si>
  <si>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</si>
  <si>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</si>
  <si>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</si>
  <si>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</si>
  <si>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</si>
  <si>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</si>
  <si>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</si>
  <si>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</si>
  <si>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</si>
  <si>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</si>
  <si>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</si>
  <si>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</si>
  <si>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</si>
  <si>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</si>
  <si>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</si>
  <si>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</si>
  <si>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</si>
  <si>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</si>
  <si>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</si>
  <si>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</si>
  <si>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</si>
  <si>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</si>
  <si>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</si>
  <si>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</si>
  <si>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</si>
  <si>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</si>
  <si>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</si>
  <si>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</si>
  <si>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</si>
  <si>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</si>
  <si>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</si>
  <si>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</si>
  <si>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</si>
  <si>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</si>
  <si>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</si>
  <si>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</si>
  <si>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</si>
  <si>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</si>
  <si>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</si>
  <si>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</si>
  <si>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</si>
  <si>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</si>
  <si>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</si>
  <si>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</si>
  <si>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</si>
  <si>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</si>
  <si>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</si>
  <si>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</si>
  <si>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</si>
  <si>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</si>
  <si>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</si>
  <si>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</si>
  <si>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</si>
  <si>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</si>
  <si>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</si>
  <si>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</si>
  <si>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</si>
  <si>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</si>
  <si>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</si>
  <si>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</si>
  <si>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</si>
  <si>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</si>
  <si>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</si>
  <si>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</si>
  <si>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</si>
  <si>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</si>
  <si>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</si>
  <si>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</si>
  <si>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</si>
  <si>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</si>
  <si>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</si>
  <si>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</si>
  <si>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</si>
  <si>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</si>
  <si>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</si>
  <si>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</si>
  <si>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</si>
  <si>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</si>
  <si>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</si>
  <si>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</si>
  <si>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</si>
  <si>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</si>
  <si>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</si>
  <si>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</si>
  <si>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</si>
  <si>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</si>
  <si>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</si>
  <si>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</si>
  <si>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</si>
  <si>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</si>
  <si>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</si>
  <si>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</si>
  <si>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</si>
  <si>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</si>
  <si>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</si>
  <si>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</si>
  <si>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</si>
  <si>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</si>
  <si>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</si>
  <si>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</si>
  <si>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</si>
  <si>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</si>
  <si>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</si>
  <si>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</si>
  <si>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</si>
  <si>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</si>
  <si>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</si>
  <si>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</si>
  <si>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</si>
  <si>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</si>
  <si>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</si>
  <si>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</si>
  <si>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</si>
  <si>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</si>
  <si>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</si>
  <si>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</si>
  <si>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</si>
  <si>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</si>
  <si>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</si>
  <si>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</si>
  <si>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</si>
  <si>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</si>
  <si>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</si>
  <si>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</si>
  <si>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</si>
  <si>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</si>
  <si>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</si>
  <si>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</si>
  <si>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</si>
  <si>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</si>
  <si>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</si>
  <si>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</si>
  <si>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</si>
  <si>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</si>
  <si>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</si>
  <si>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</si>
  <si>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</si>
  <si>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</si>
  <si>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</si>
  <si>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</si>
  <si>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</si>
  <si>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</si>
  <si>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</si>
  <si>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</si>
  <si>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</si>
  <si>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</si>
  <si>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</si>
  <si>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</si>
  <si>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</si>
  <si>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</si>
  <si>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</si>
  <si>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</si>
  <si>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</si>
  <si>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</si>
  <si>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</si>
  <si>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</si>
  <si>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</si>
  <si>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</si>
  <si>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</si>
  <si>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</si>
  <si>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</si>
  <si>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</si>
  <si>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</si>
  <si>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</si>
  <si>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</si>
  <si>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</si>
  <si>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</si>
  <si>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</si>
  <si>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</si>
  <si>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</si>
  <si>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</si>
  <si>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</si>
  <si>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</si>
  <si>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</si>
  <si>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</si>
  <si>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</si>
  <si>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</si>
  <si>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</si>
  <si>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</si>
  <si>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</si>
  <si>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</si>
  <si>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</si>
  <si>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</si>
  <si>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</si>
  <si>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</si>
  <si>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</si>
  <si>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</si>
  <si>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</si>
  <si>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</si>
  <si>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</si>
  <si>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</si>
  <si>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</si>
  <si>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</si>
  <si>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</si>
  <si>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</si>
  <si>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</si>
  <si>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</si>
  <si>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</si>
  <si>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</si>
  <si>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</si>
  <si>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</si>
  <si>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</si>
  <si>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</si>
  <si>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</si>
  <si>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</si>
  <si>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</si>
  <si>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</si>
  <si>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</si>
  <si>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</si>
  <si>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</si>
  <si>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</si>
  <si>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</si>
  <si>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</si>
  <si>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</si>
  <si>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</si>
  <si>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</si>
  <si>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</si>
  <si>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</si>
  <si>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</si>
  <si>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</si>
  <si>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</si>
  <si>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</si>
  <si>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</si>
  <si>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</si>
  <si>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</si>
  <si>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</si>
  <si>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</si>
  <si>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</si>
  <si>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</si>
  <si>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</si>
  <si>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</si>
  <si>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</si>
  <si>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</si>
  <si>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</si>
  <si>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</si>
  <si>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</si>
  <si>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</si>
  <si>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</si>
  <si>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</si>
  <si>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</si>
  <si>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</si>
  <si>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</si>
  <si>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</si>
  <si>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</si>
  <si>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</si>
  <si>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</si>
  <si>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</si>
  <si>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</si>
  <si>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</si>
  <si>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</si>
  <si>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</si>
  <si>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</si>
  <si>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</si>
  <si>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</si>
  <si>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</si>
  <si>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</si>
  <si>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</si>
  <si>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</si>
  <si>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</si>
  <si>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</si>
  <si>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</si>
  <si>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</si>
  <si>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</si>
  <si>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</si>
  <si>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</si>
  <si>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</si>
  <si>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</si>
  <si>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</si>
  <si>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</si>
  <si>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</si>
  <si>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</si>
  <si>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</si>
  <si>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</si>
  <si>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</si>
  <si>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</si>
  <si>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</si>
  <si>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</si>
  <si>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</si>
  <si>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</si>
  <si>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</si>
  <si>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</si>
  <si>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</si>
  <si>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</si>
  <si>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</si>
  <si>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</si>
  <si>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</si>
  <si>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</si>
  <si>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</si>
  <si>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</si>
  <si>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</si>
  <si>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</si>
  <si>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</si>
  <si>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</si>
  <si>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</si>
  <si>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</si>
  <si>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</si>
  <si>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</si>
  <si>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</si>
  <si>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</si>
  <si>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</si>
  <si>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</si>
  <si>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</si>
  <si>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</si>
  <si>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</si>
  <si>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</si>
  <si>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</si>
  <si>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</si>
  <si>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</si>
  <si>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</si>
  <si>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</si>
  <si>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</si>
  <si>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</si>
  <si>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</si>
  <si>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</si>
  <si>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</si>
  <si>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</si>
  <si>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</si>
  <si>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</si>
  <si>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</si>
  <si>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</si>
  <si>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</si>
  <si>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</si>
  <si>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</si>
  <si>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</si>
  <si>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</si>
  <si>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</si>
  <si>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</si>
  <si>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</si>
  <si>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</si>
  <si>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</si>
  <si>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</si>
  <si>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</si>
  <si>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</si>
  <si>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</si>
  <si>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</si>
  <si>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</si>
  <si>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</si>
  <si>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</si>
  <si>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</si>
  <si>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</si>
  <si>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</si>
  <si>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</si>
  <si>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</si>
  <si>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</si>
  <si>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</si>
  <si>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</si>
  <si>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</si>
  <si>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</si>
  <si>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</si>
  <si>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</si>
  <si>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</si>
  <si>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</si>
  <si>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</si>
  <si>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</si>
  <si>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</si>
  <si>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</si>
  <si>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</si>
  <si>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</si>
  <si>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</si>
  <si>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</si>
  <si>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</si>
  <si>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</si>
  <si>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</si>
  <si>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</si>
  <si>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</si>
  <si>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</si>
  <si>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</si>
  <si>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</si>
  <si>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</si>
  <si>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</si>
  <si>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</si>
  <si>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</si>
  <si>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</si>
  <si>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</si>
  <si>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</si>
  <si>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</si>
  <si>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</si>
  <si>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</si>
  <si>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</si>
  <si>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</si>
  <si>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</si>
  <si>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</si>
  <si>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</si>
  <si>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</si>
  <si>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</si>
  <si>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</si>
  <si>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</si>
  <si>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</si>
  <si>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</si>
  <si>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</si>
  <si>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</si>
  <si>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</si>
  <si>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</si>
  <si>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</si>
  <si>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</si>
  <si>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</si>
  <si>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</si>
  <si>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</si>
  <si>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</si>
  <si>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</si>
  <si>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</si>
  <si>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</si>
  <si>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</si>
  <si>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</si>
  <si>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</si>
  <si>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</si>
  <si>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</si>
  <si>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</si>
  <si>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</si>
  <si>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</si>
  <si>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</si>
  <si>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</si>
  <si>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</si>
  <si>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</si>
  <si>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</si>
  <si>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</si>
  <si>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</si>
  <si>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</si>
  <si>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</si>
  <si>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</si>
  <si>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</si>
  <si>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</si>
  <si>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</si>
  <si>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</si>
  <si>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</si>
  <si>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</si>
  <si>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</si>
  <si>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</si>
  <si>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</si>
  <si>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</si>
  <si>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</si>
  <si>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</si>
  <si>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</si>
  <si>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</si>
  <si>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</si>
  <si>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</si>
  <si>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</si>
  <si>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</si>
  <si>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</si>
  <si>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</si>
  <si>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</si>
  <si>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</si>
  <si>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</si>
  <si>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</si>
  <si>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</si>
  <si>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</si>
  <si>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</si>
  <si>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</si>
  <si>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</si>
  <si>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</si>
  <si>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</si>
  <si>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</si>
  <si>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</si>
  <si>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</si>
  <si>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</si>
  <si>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</si>
  <si>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</si>
  <si>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</si>
  <si>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</si>
  <si>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</si>
  <si>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</si>
  <si>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</si>
  <si>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</si>
  <si>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</si>
  <si>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</si>
  <si>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</si>
  <si>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</si>
  <si>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</si>
  <si>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</si>
  <si>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</si>
  <si>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</si>
  <si>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</si>
  <si>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</si>
  <si>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</si>
  <si>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</si>
  <si>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</si>
  <si>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</si>
  <si>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</si>
  <si>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</si>
  <si>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</si>
  <si>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</si>
  <si>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</si>
  <si>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</si>
  <si>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</si>
  <si>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</si>
  <si>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</si>
  <si>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</si>
  <si>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</si>
  <si>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</si>
  <si>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</si>
  <si>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</si>
  <si>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</si>
  <si>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</si>
  <si>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</si>
  <si>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</si>
  <si>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</si>
  <si>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</si>
  <si>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</si>
  <si>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</si>
  <si>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</si>
  <si>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</si>
  <si>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</si>
  <si>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</si>
  <si>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</si>
  <si>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</si>
  <si>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</si>
  <si>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</si>
  <si>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</si>
  <si>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</si>
  <si>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</si>
  <si>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</si>
  <si>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</si>
  <si>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</si>
  <si>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</si>
  <si>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</si>
  <si>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</si>
  <si>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</si>
  <si>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</si>
  <si>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</si>
  <si>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</si>
  <si>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</si>
  <si>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</si>
  <si>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</si>
  <si>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</si>
  <si>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</si>
  <si>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</si>
  <si>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</si>
  <si>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</si>
  <si>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</si>
  <si>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</si>
  <si>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</si>
  <si>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</si>
  <si>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</si>
  <si>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</si>
  <si>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</si>
  <si>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</si>
  <si>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</si>
  <si>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</si>
  <si>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</si>
  <si>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</si>
  <si>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</si>
  <si>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</si>
  <si>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</si>
  <si>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</si>
  <si>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</si>
  <si>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</si>
  <si>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</si>
  <si>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</si>
  <si>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</si>
  <si>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</si>
  <si>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</si>
  <si>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</si>
  <si>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</si>
  <si>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</si>
  <si>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</si>
  <si>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</si>
  <si>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</si>
  <si>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</si>
  <si>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</si>
  <si>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</si>
  <si>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</si>
  <si>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</si>
  <si>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</si>
  <si>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</si>
  <si>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</si>
  <si>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</si>
  <si>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</si>
  <si>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</si>
  <si>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</si>
  <si>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</si>
  <si>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</si>
  <si>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</si>
  <si>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</si>
  <si>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</si>
  <si>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</si>
  <si>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</si>
  <si>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</si>
  <si>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</si>
  <si>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</si>
  <si>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</si>
  <si>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</si>
  <si>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</si>
  <si>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</si>
  <si>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</si>
  <si>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</si>
  <si>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</si>
  <si>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</si>
  <si>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</si>
  <si>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</si>
  <si>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</si>
  <si>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</si>
  <si>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</si>
  <si>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</si>
  <si>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</si>
  <si>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</si>
  <si>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</si>
  <si>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</si>
  <si>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</si>
  <si>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</si>
  <si>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</si>
  <si>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</si>
  <si>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</si>
  <si>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</si>
  <si>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</si>
  <si>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</si>
  <si>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</si>
  <si>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</si>
  <si>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</si>
  <si>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</si>
  <si>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</si>
  <si>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</si>
  <si>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</si>
  <si>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</si>
  <si>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</si>
  <si>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</si>
  <si>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</si>
  <si>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</si>
  <si>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</si>
  <si>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</si>
  <si>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</si>
  <si>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</si>
  <si>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</si>
  <si>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</si>
  <si>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</si>
  <si>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</si>
  <si>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</si>
  <si>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</si>
  <si>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</si>
  <si>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</si>
  <si>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</si>
  <si>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</si>
  <si>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</si>
  <si>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</si>
  <si>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</si>
  <si>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</si>
  <si>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</si>
  <si>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</si>
  <si>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</si>
  <si>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</si>
  <si>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</si>
  <si>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</si>
  <si>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</si>
  <si>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</si>
  <si>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</si>
  <si>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</si>
  <si>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</si>
  <si>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</si>
  <si>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</si>
  <si>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</si>
  <si>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</si>
  <si>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</si>
  <si>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</si>
  <si>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</si>
  <si>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</si>
  <si>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</si>
  <si>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</si>
  <si>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</si>
  <si>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</si>
  <si>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</si>
  <si>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</si>
  <si>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</si>
  <si>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</si>
  <si>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</si>
  <si>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</si>
  <si>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</si>
  <si>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</si>
  <si>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</si>
  <si>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</si>
  <si>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</si>
  <si>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</si>
  <si>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</si>
  <si>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</si>
  <si>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</si>
  <si>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</si>
  <si>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</si>
  <si>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</si>
  <si>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</si>
  <si>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</si>
  <si>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</si>
  <si>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</si>
  <si>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</si>
  <si>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</si>
  <si>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</si>
  <si>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</si>
  <si>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</si>
  <si>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</si>
  <si>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</si>
  <si>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</si>
  <si>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</si>
  <si>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</si>
  <si>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</si>
  <si>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</si>
  <si>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</si>
  <si>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</si>
  <si>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</si>
  <si>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</si>
  <si>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</si>
  <si>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</si>
  <si>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</si>
  <si>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</si>
  <si>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</si>
  <si>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</si>
  <si>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</si>
  <si>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</si>
  <si>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</si>
  <si>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</si>
  <si>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</si>
  <si>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</si>
  <si>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</si>
  <si>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</si>
  <si>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</si>
  <si>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</si>
  <si>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</si>
  <si>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</si>
  <si>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</si>
  <si>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</si>
  <si>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</si>
  <si>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</si>
  <si>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</si>
  <si>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</si>
  <si>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</si>
  <si>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</si>
  <si>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</si>
  <si>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</si>
  <si>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</si>
  <si>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</si>
  <si>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</si>
  <si>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</si>
  <si>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</si>
  <si>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</si>
  <si>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</si>
  <si>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</si>
  <si>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</si>
  <si>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</si>
  <si>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</si>
  <si>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</si>
  <si>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</si>
  <si>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</si>
  <si>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</si>
  <si>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</si>
  <si>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</si>
  <si>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</si>
  <si>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</si>
  <si>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</si>
  <si>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</si>
  <si>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</si>
  <si>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</si>
  <si>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</si>
  <si>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</si>
  <si>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</si>
  <si>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</si>
  <si>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</si>
  <si>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</si>
  <si>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</si>
  <si>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</si>
  <si>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</si>
  <si>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</si>
  <si>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</si>
  <si>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</si>
  <si>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</si>
  <si>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</si>
  <si>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</si>
  <si>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</si>
  <si>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</si>
  <si>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</si>
  <si>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</si>
  <si>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</si>
  <si>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</si>
  <si>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</si>
  <si>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</si>
  <si>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</si>
  <si>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</si>
  <si>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</si>
  <si>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</si>
  <si>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</si>
  <si>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</si>
  <si>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</si>
  <si>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</si>
  <si>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</si>
  <si>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</si>
  <si>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</si>
  <si>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</si>
  <si>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</si>
  <si>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</si>
  <si>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</si>
  <si>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</si>
  <si>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</si>
  <si>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</si>
  <si>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</si>
  <si>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</si>
  <si>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</si>
  <si>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</si>
  <si>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</si>
  <si>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</si>
  <si>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</si>
  <si>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</si>
  <si>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</si>
  <si>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</si>
  <si>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</si>
  <si>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</si>
  <si>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</si>
  <si>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</si>
  <si>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</si>
  <si>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</si>
  <si>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</si>
  <si>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</si>
  <si>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</si>
  <si>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</si>
  <si>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</si>
  <si>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</si>
  <si>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</si>
  <si>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</si>
  <si>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</si>
  <si>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</si>
  <si>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</si>
  <si>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</si>
  <si>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</si>
  <si>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</si>
  <si>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</si>
  <si>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</si>
  <si>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</si>
  <si>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</si>
  <si>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</si>
  <si>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</si>
  <si>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</si>
  <si>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</si>
  <si>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</si>
  <si>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</si>
  <si>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</si>
  <si>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</si>
  <si>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</si>
  <si>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</si>
  <si>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</si>
  <si>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</si>
  <si>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</si>
  <si>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</si>
  <si>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</si>
  <si>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</si>
  <si>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</si>
  <si>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</si>
  <si>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</si>
  <si>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</si>
  <si>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</si>
  <si>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</si>
  <si>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</si>
  <si>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</si>
  <si>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</si>
  <si>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</si>
  <si>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</si>
  <si>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</si>
  <si>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</si>
  <si>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</si>
  <si>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</si>
  <si>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</si>
  <si>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</si>
  <si>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</si>
  <si>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</si>
  <si>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</si>
  <si>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</si>
  <si>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</si>
  <si>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</si>
  <si>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</si>
  <si>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</si>
  <si>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</si>
  <si>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</si>
  <si>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</si>
  <si>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</si>
  <si>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</si>
  <si>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</si>
  <si>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</si>
  <si>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</si>
  <si>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</si>
  <si>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</si>
  <si>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</si>
  <si>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</si>
  <si>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</si>
  <si>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</si>
  <si>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</si>
  <si>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</si>
  <si>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</si>
  <si>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</si>
  <si>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</si>
  <si>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</si>
  <si>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</si>
  <si>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</si>
  <si>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</si>
  <si>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</si>
  <si>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</si>
  <si>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</si>
  <si>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</si>
  <si>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</si>
  <si>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</si>
  <si>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</si>
  <si>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</si>
  <si>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</si>
  <si>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</si>
  <si>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</si>
  <si>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</si>
  <si>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</si>
  <si>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</si>
  <si>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</si>
  <si>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</si>
  <si>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</si>
  <si>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</si>
  <si>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</si>
  <si>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</si>
  <si>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</si>
  <si>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</si>
  <si>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</si>
  <si>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</si>
  <si>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</si>
  <si>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</si>
  <si>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</si>
  <si>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</si>
  <si>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</si>
  <si>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</si>
  <si>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</si>
  <si>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</si>
  <si>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</si>
  <si>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</si>
  <si>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</si>
  <si>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</si>
  <si>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</si>
  <si>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</si>
  <si>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</si>
  <si>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</si>
  <si>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</si>
  <si>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</si>
  <si>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</si>
  <si>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</si>
  <si>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</si>
  <si>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</si>
  <si>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</si>
  <si>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</si>
  <si>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</si>
  <si>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</si>
  <si>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</si>
  <si>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</si>
  <si>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</si>
  <si>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</si>
  <si>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</si>
  <si>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</si>
  <si>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</si>
  <si>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</si>
  <si>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</si>
  <si>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</si>
  <si>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</si>
  <si>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</si>
  <si>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</si>
  <si>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</si>
  <si>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</si>
  <si>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</si>
  <si>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</si>
  <si>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</si>
  <si>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</si>
  <si>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</si>
  <si>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</si>
  <si>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</si>
  <si>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</si>
  <si>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</si>
  <si>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</si>
  <si>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</si>
  <si>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</si>
  <si>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</si>
  <si>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</si>
  <si>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</si>
  <si>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</si>
  <si>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</si>
  <si>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</si>
  <si>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</si>
  <si>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</si>
  <si>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</si>
  <si>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</si>
  <si>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</si>
  <si>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</si>
  <si>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</si>
  <si>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</si>
  <si>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</si>
  <si>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</si>
  <si>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</si>
  <si>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</si>
  <si>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</si>
  <si>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</si>
  <si>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</si>
  <si>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</si>
  <si>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</si>
  <si>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</si>
  <si>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</si>
  <si>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</si>
  <si>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</si>
  <si>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</si>
  <si>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</si>
  <si>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</si>
  <si>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</si>
  <si>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</si>
  <si>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</si>
  <si>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</si>
  <si>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</si>
  <si>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</si>
  <si>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</si>
  <si>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</si>
  <si>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</si>
  <si>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</si>
  <si>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</si>
  <si>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</si>
  <si>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</si>
  <si>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</si>
  <si>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</si>
  <si>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</si>
  <si>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</si>
  <si>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</si>
  <si>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</si>
  <si>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</si>
  <si>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</si>
  <si>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</si>
  <si>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</si>
  <si>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</si>
  <si>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</si>
  <si>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</si>
  <si>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</si>
  <si>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</si>
  <si>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</si>
  <si>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</si>
  <si>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</si>
  <si>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</si>
  <si>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</si>
  <si>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</si>
  <si>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</si>
  <si>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</si>
  <si>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</si>
  <si>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</si>
  <si>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</si>
  <si>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</si>
  <si>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</si>
  <si>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</si>
  <si>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</si>
  <si>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</si>
  <si>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</si>
  <si>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</si>
  <si>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</si>
  <si>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</si>
  <si>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</si>
  <si>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</si>
  <si>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</si>
  <si>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</si>
  <si>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</si>
  <si>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</si>
  <si>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</si>
  <si>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</si>
  <si>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</si>
  <si>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</si>
  <si>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</si>
  <si>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</si>
  <si>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</si>
  <si>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</si>
  <si>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</si>
  <si>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</si>
  <si>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</si>
  <si>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</si>
  <si>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</si>
  <si>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</si>
  <si>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</si>
  <si>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</si>
  <si>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</si>
  <si>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</si>
  <si>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</si>
  <si>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</si>
  <si>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</si>
  <si>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</si>
  <si>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</si>
  <si>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</si>
  <si>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</si>
  <si>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</si>
  <si>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</si>
  <si>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</si>
  <si>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</si>
  <si>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</si>
  <si>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</si>
  <si>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</si>
  <si>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</si>
  <si>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</si>
  <si>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</si>
  <si>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</si>
  <si>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</si>
  <si>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</si>
  <si>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</si>
  <si>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</si>
  <si>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</si>
  <si>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</si>
  <si>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</si>
  <si>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</si>
  <si>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</si>
  <si>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</si>
  <si>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</si>
  <si>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</si>
  <si>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</si>
  <si>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</si>
  <si>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</si>
  <si>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</si>
  <si>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</si>
  <si>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</si>
  <si>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</si>
  <si>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</si>
  <si>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</si>
  <si>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</si>
  <si>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</si>
  <si>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</si>
  <si>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</si>
  <si>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</si>
  <si>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</si>
  <si>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</si>
  <si>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</si>
  <si>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</si>
  <si>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</si>
  <si>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</si>
  <si>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</si>
  <si>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</si>
  <si>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</si>
  <si>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</si>
  <si>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</si>
  <si>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</si>
  <si>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</si>
  <si>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</si>
  <si>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</si>
  <si>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</si>
  <si>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</si>
  <si>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</si>
  <si>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</si>
  <si>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</si>
  <si>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</si>
  <si>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</si>
  <si>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</si>
  <si>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</si>
  <si>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</si>
  <si>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</si>
  <si>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</si>
  <si>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</si>
  <si>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</si>
  <si>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</si>
  <si>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</si>
  <si>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</si>
  <si>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</si>
  <si>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</si>
  <si>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</si>
  <si>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</si>
  <si>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</si>
  <si>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</si>
  <si>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</si>
  <si>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</si>
  <si>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</si>
  <si>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</si>
  <si>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</si>
  <si>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</si>
  <si>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</si>
  <si>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</si>
  <si>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</si>
  <si>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</si>
  <si>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</si>
  <si>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</si>
  <si>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</si>
  <si>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</si>
  <si>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</si>
  <si>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</si>
  <si>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</si>
  <si>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</si>
  <si>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</si>
  <si>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</si>
  <si>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</si>
  <si>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</si>
  <si>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</si>
  <si>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</si>
  <si>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</si>
  <si>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</si>
  <si>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</si>
  <si>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</si>
  <si>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</si>
  <si>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</si>
  <si>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</si>
  <si>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</si>
  <si>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</si>
  <si>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</si>
  <si>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</si>
  <si>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</si>
  <si>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</si>
  <si>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</si>
  <si>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</si>
  <si>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</si>
  <si>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</si>
  <si>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</si>
  <si>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</si>
  <si>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</si>
  <si>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</si>
  <si>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</si>
  <si>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</si>
  <si>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</si>
  <si>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</si>
  <si>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</si>
  <si>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</si>
  <si>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</si>
  <si>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</si>
  <si>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</si>
  <si>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</si>
  <si>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</si>
  <si>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</si>
  <si>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</si>
  <si>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</si>
  <si>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</si>
  <si>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</si>
  <si>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</si>
  <si>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</si>
  <si>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</si>
  <si>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</si>
  <si>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</si>
  <si>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</si>
  <si>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</si>
  <si>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</si>
  <si>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</si>
  <si>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</si>
  <si>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</si>
  <si>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</si>
  <si>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</si>
  <si>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</si>
  <si>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</si>
  <si>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</si>
  <si>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</si>
  <si>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</si>
  <si>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</si>
  <si>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</si>
  <si>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</si>
  <si>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</si>
  <si>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</si>
  <si>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</si>
  <si>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</si>
  <si>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</si>
  <si>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</si>
  <si>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</si>
  <si>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</si>
  <si>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</si>
  <si>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</si>
  <si>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</si>
  <si>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</si>
  <si>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</si>
  <si>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</si>
  <si>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</si>
  <si>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</si>
  <si>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</si>
  <si>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</si>
  <si>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</si>
  <si>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</si>
  <si>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</si>
  <si>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</si>
  <si>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</si>
  <si>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</si>
  <si>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</si>
  <si>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</si>
  <si>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</si>
  <si>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</si>
  <si>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</si>
  <si>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</si>
  <si>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</si>
  <si>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</si>
  <si>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</si>
  <si>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</si>
  <si>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</si>
  <si>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</si>
  <si>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</si>
  <si>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</si>
  <si>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</si>
  <si>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</si>
  <si>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</si>
  <si>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</si>
  <si>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</si>
  <si>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</si>
  <si>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</si>
  <si>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</si>
  <si>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</si>
  <si>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</si>
  <si>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</si>
  <si>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</si>
  <si>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</si>
  <si>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</si>
  <si>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</si>
  <si>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</si>
  <si>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</si>
  <si>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</si>
  <si>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</si>
  <si>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</si>
  <si>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</si>
  <si>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</si>
  <si>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</si>
  <si>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</si>
  <si>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</si>
  <si>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</si>
  <si>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</si>
  <si>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</si>
  <si>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</si>
  <si>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</si>
  <si>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</si>
  <si>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</si>
  <si>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</si>
  <si>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</si>
  <si>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</si>
  <si>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</si>
  <si>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</si>
  <si>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</si>
  <si>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</si>
  <si>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</si>
  <si>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</si>
  <si>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</si>
  <si>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</si>
  <si>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</si>
  <si>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</si>
  <si>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</si>
  <si>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</si>
  <si>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</si>
  <si>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</si>
  <si>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</si>
  <si>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</si>
  <si>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</si>
  <si>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</si>
  <si>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</si>
  <si>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</si>
  <si>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</si>
  <si>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</si>
  <si>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</si>
  <si>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</si>
  <si>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</si>
  <si>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</si>
  <si>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</si>
  <si>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</si>
  <si>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</si>
  <si>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</si>
  <si>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</si>
  <si>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</si>
  <si>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</si>
  <si>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</si>
  <si>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</si>
  <si>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</si>
  <si>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</si>
  <si>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</si>
  <si>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</si>
  <si>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</si>
  <si>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</si>
  <si>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</si>
  <si>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</si>
  <si>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</si>
  <si>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</si>
  <si>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</si>
  <si>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</si>
  <si>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</si>
  <si>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</si>
  <si>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</si>
  <si>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</si>
  <si>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</si>
  <si>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</si>
  <si>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</si>
  <si>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</si>
  <si>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</si>
  <si>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</si>
  <si>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</si>
  <si>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</si>
  <si>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</si>
  <si>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</si>
  <si>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</si>
  <si>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</si>
  <si>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</si>
  <si>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</si>
  <si>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</si>
  <si>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</si>
  <si>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</si>
  <si>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</si>
  <si>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</si>
  <si>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</si>
  <si>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</si>
  <si>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</si>
  <si>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</si>
  <si>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</si>
  <si>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</si>
  <si>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</si>
  <si>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</si>
  <si>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</si>
  <si>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</si>
  <si>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</si>
  <si>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</si>
  <si>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</si>
  <si>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</si>
  <si>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</si>
  <si>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</si>
  <si>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</si>
  <si>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</si>
  <si>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</si>
  <si>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</si>
  <si>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</si>
  <si>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</si>
  <si>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</si>
  <si>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</si>
  <si>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</si>
  <si>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</si>
  <si>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</si>
  <si>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</si>
  <si>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</si>
  <si>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</si>
  <si>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</si>
  <si>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</si>
  <si>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</si>
  <si>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</si>
  <si>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</si>
  <si>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</si>
  <si>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</si>
  <si>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</si>
  <si>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</si>
  <si>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</si>
  <si>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</si>
  <si>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</si>
  <si>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</si>
  <si>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</si>
  <si>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</si>
  <si>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</si>
  <si>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</si>
  <si>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</si>
  <si>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</si>
  <si>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</si>
  <si>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</si>
  <si>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</si>
  <si>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</si>
  <si>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</si>
  <si>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</si>
  <si>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</si>
  <si>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</si>
  <si>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</si>
  <si>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</si>
  <si>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</si>
  <si>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</si>
  <si>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</si>
  <si>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</si>
  <si>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</si>
  <si>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</si>
  <si>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</si>
  <si>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</si>
  <si>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</si>
  <si>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</si>
  <si>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</si>
  <si>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</si>
  <si>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</si>
  <si>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</si>
  <si>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</si>
  <si>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</si>
  <si>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</si>
  <si>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</si>
  <si>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</si>
  <si>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</si>
  <si>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</si>
  <si>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</si>
  <si>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</si>
  <si>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</si>
  <si>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</si>
  <si>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</si>
  <si>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</si>
  <si>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</si>
  <si>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</si>
  <si>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</si>
  <si>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</si>
  <si>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</si>
  <si>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</si>
  <si>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</si>
  <si>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</si>
  <si>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</si>
  <si>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</si>
  <si>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</si>
  <si>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</si>
  <si>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</si>
  <si>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</si>
  <si>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</si>
  <si>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</si>
  <si>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</si>
  <si>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</si>
  <si>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</si>
  <si>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</si>
  <si>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</si>
  <si>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</si>
  <si>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</si>
  <si>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</si>
  <si>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</si>
  <si>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</si>
  <si>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</si>
  <si>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</si>
  <si>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</si>
  <si>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</si>
  <si>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</si>
  <si>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</si>
  <si>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</si>
  <si>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</si>
  <si>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</si>
  <si>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</si>
  <si>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</si>
  <si>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</si>
  <si>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</si>
  <si>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</si>
  <si>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</si>
  <si>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</si>
  <si>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</si>
  <si>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</si>
  <si>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</si>
  <si>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</si>
  <si>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</si>
  <si>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</si>
  <si>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</si>
  <si>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</si>
  <si>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</si>
  <si>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</si>
  <si>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</si>
  <si>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</si>
  <si>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</si>
  <si>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</si>
  <si>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</si>
  <si>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</si>
  <si>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</si>
  <si>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</si>
  <si>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</si>
  <si>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</si>
  <si>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</si>
  <si>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</si>
  <si>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</si>
  <si>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</si>
  <si>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</si>
  <si>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</si>
  <si>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</si>
  <si>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</si>
  <si>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</si>
  <si>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</si>
  <si>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</si>
  <si>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</si>
  <si>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</si>
  <si>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</si>
  <si>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</si>
  <si>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</si>
  <si>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</si>
  <si>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</si>
  <si>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</si>
  <si>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</si>
  <si>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</si>
  <si>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</si>
  <si>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</si>
  <si>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</si>
  <si>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</si>
  <si>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</si>
  <si>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</si>
  <si>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</si>
  <si>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</si>
  <si>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</si>
  <si>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</si>
  <si>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</si>
  <si>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</si>
  <si>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</si>
  <si>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</si>
  <si>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</si>
  <si>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</si>
  <si>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</si>
  <si>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</si>
  <si>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</si>
  <si>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</si>
  <si>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</si>
  <si>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</si>
  <si>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</si>
  <si>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</si>
  <si>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</si>
  <si>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</si>
  <si>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</si>
  <si>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</si>
  <si>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</si>
  <si>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</si>
  <si>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</si>
  <si>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</si>
  <si>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</si>
  <si>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</si>
  <si>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</si>
  <si>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</si>
  <si>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</si>
  <si>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</si>
  <si>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</si>
  <si>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</si>
  <si>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</si>
  <si>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</si>
  <si>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</si>
  <si>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</si>
  <si>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</si>
  <si>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</si>
  <si>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</si>
  <si>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</si>
  <si>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</si>
  <si>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</si>
  <si>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</si>
  <si>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</si>
  <si>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</si>
  <si>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</si>
  <si>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</si>
  <si>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</si>
  <si>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</si>
  <si>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</si>
  <si>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</si>
  <si>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</si>
  <si>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</si>
  <si>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</si>
  <si>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</si>
  <si>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</si>
  <si>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</si>
  <si>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</si>
  <si>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</si>
  <si>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</si>
  <si>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</si>
  <si>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</si>
  <si>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</si>
  <si>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</si>
  <si>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</si>
  <si>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</si>
  <si>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</si>
  <si>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</si>
  <si>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</si>
  <si>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</si>
  <si>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</si>
  <si>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</si>
  <si>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</si>
  <si>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</si>
  <si>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</si>
  <si>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</si>
  <si>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</si>
  <si>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</si>
  <si>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</si>
  <si>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Percentage Canceled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</si>
  <si>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</si>
  <si>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</si>
  <si>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</si>
  <si>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</si>
  <si>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</si>
  <si>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</si>
  <si>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</si>
  <si>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</si>
  <si>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</si>
  <si>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</si>
  <si>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</si>
  <si>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</si>
  <si>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</si>
  <si>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</si>
  <si>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</si>
  <si>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</si>
  <si>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</si>
  <si>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</si>
  <si>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Plays are the most financed category and most successful</t>
  </si>
  <si>
    <t>Higher the goal, higher the chance the project is canceled or fails.</t>
  </si>
  <si>
    <t>Projects $5000 or lower has the highest chance or success</t>
  </si>
  <si>
    <t>Journalism project had the most challenge acquiring financing.</t>
  </si>
  <si>
    <t>conclusions</t>
  </si>
  <si>
    <t>limitations</t>
  </si>
  <si>
    <t>Information on experience of people executing the project.</t>
  </si>
  <si>
    <t>Other graphs</t>
  </si>
  <si>
    <t>Category/State by percentage funded</t>
  </si>
  <si>
    <t>The use of kick start as a funding source is declining</t>
  </si>
  <si>
    <t>Category/state by year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</si>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</sst>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.8000000000000007"/>
      <color rgb="FF000000"/>
      <name val="Courier New"/>
      <family val="3"/>
    </font>
    <font>
      <sz val="10"/>
      <color rgb="FF24292E"/>
      <name val="Segoe UI"/>
      <family val="2"/>
    </font>
    <font>
      <b/>
      <sz val="9.35"/>
      <color rgb="FF24292E"/>
      <name val="Consolas"/>
      <family val="3"/>
    </font>
    <font>
      <b/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4" fillId="0" borderId="0" xfId="0" applyFont="1"/>
    <xf numFmtId="0" fontId="3" fillId="0" borderId="0" xfId="0" applyFont="1" applyAlignment="1">
      <alignment horizontal="left" vertical="center"/>
    </xf>
    <xf numFmtId="2" fontId="0" fillId="0" borderId="0" xfId="0" applyNumberFormat="1"/>
    <xf numFmtId="0" fontId="3" fillId="0" borderId="0" xfId="0" applyFont="1"/>
    <xf numFmtId="0" fontId="0" fillId="0" borderId="0" xfId="0" applyAlignment="1">
      <alignment vertical="center"/>
    </xf>
    <xf numFmtId="0" fontId="5" fillId="0" borderId="0" xfId="0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[StarterBook_jic_solved.xlsx]Pivot1 - by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projects</a:t>
            </a:r>
            <a:r>
              <a:rPr lang="en-US"/>
              <a:t> by category</a:t>
            </a:r>
          </a:p>
        </c:rich>
      </c:tx>
      <c:layout>
        <c:manualLayout>
          <c:xMode val="edge"/>
          <c:yMode val="edge"/>
          <c:x val="0.23395122484689415"/>
          <c:y val="0.10906969962088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'Pivot1 -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C0-4A91-90BD-23012E38E1B3}"/>
            </c:ext>
          </c:extLst>
        </c:ser>
        <c:ser>
          <c:idx val="1"/>
          <c:order val="1"/>
          <c:tx>
            <c:strRef>
              <c:f>'Pivot1 -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C0-4A91-90BD-23012E38E1B3}"/>
            </c:ext>
          </c:extLst>
        </c:ser>
        <c:ser>
          <c:idx val="2"/>
          <c:order val="2"/>
          <c:tx>
            <c:strRef>
              <c:f>'Pivot1 -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C0-4A91-90BD-23012E38E1B3}"/>
            </c:ext>
          </c:extLst>
        </c:ser>
        <c:ser>
          <c:idx val="3"/>
          <c:order val="3"/>
          <c:tx>
            <c:strRef>
              <c:f>'Pivot1 -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'Pivot1 -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C0-4A91-90BD-23012E38E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364088"/>
        <c:axId val="594367928"/>
      </c:barChart>
      <c:catAx>
        <c:axId val="594364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67928"/>
        <c:crosses val="autoZero"/>
        <c:auto val="1"/>
        <c:lblAlgn val="ctr"/>
        <c:lblOffset val="100"/>
        <c:noMultiLvlLbl val="0"/>
      </c:catAx>
      <c:valAx>
        <c:axId val="594367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364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[StarterBook_jic_solved.xlsx]Pivot2-by Subcategory!PivotTable1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</a:t>
            </a:r>
            <a:r>
              <a:rPr lang="en-US" baseline="0"/>
              <a:t> by Category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'Pivot2-by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06-4997-856A-FC2F825B18DB}"/>
            </c:ext>
          </c:extLst>
        </c:ser>
        <c:ser>
          <c:idx val="1"/>
          <c:order val="1"/>
          <c:tx>
            <c:strRef>
              <c:f>'Pivot2-by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06-4997-856A-FC2F825B18DB}"/>
            </c:ext>
          </c:extLst>
        </c:ser>
        <c:ser>
          <c:idx val="2"/>
          <c:order val="2"/>
          <c:tx>
            <c:strRef>
              <c:f>'Pivot2-by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06-4997-856A-FC2F825B18DB}"/>
            </c:ext>
          </c:extLst>
        </c:ser>
        <c:ser>
          <c:idx val="3"/>
          <c:order val="3"/>
          <c:tx>
            <c:strRef>
              <c:f>'Pivot2-by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'Pivot2-by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06-4997-856A-FC2F825B1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7621424"/>
        <c:axId val="517621744"/>
      </c:barChart>
      <c:catAx>
        <c:axId val="5176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21744"/>
        <c:crosses val="autoZero"/>
        <c:auto val="1"/>
        <c:lblAlgn val="ctr"/>
        <c:lblOffset val="100"/>
        <c:noMultiLvlLbl val="0"/>
      </c:catAx>
      <c:valAx>
        <c:axId val="51762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[StarterBook_jic_solved.xlsx]Pivot3 - by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'Pivot3 - by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80-4E26-8BDD-B2B0FF86C2CF}"/>
            </c:ext>
          </c:extLst>
        </c:ser>
        <c:ser>
          <c:idx val="1"/>
          <c:order val="1"/>
          <c:tx>
            <c:strRef>
              <c:f>'Pivot3 -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80-4E26-8BDD-B2B0FF86C2CF}"/>
            </c:ext>
          </c:extLst>
        </c:ser>
        <c:ser>
          <c:idx val="2"/>
          <c:order val="2"/>
          <c:tx>
            <c:strRef>
              <c:f>'Pivot3 - by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80-4E26-8BDD-B2B0FF86C2CF}"/>
            </c:ext>
          </c:extLst>
        </c:ser>
        <c:ser>
          <c:idx val="3"/>
          <c:order val="3"/>
          <c:tx>
            <c:strRef>
              <c:f>'Pivot3 - by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'Pivot3 - by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'Pivot3 - by date'!$E$6:$E$18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E80-4E26-8BDD-B2B0FF86C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7617904"/>
        <c:axId val="517616944"/>
      </c:lineChart>
      <c:catAx>
        <c:axId val="51761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16944"/>
        <c:crosses val="autoZero"/>
        <c:auto val="1"/>
        <c:lblAlgn val="ctr"/>
        <c:lblOffset val="100"/>
        <c:noMultiLvlLbl val="0"/>
      </c:catAx>
      <c:valAx>
        <c:axId val="5176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61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338-4A59-A5B7-C8BBC7B925EF}"/>
            </c:ext>
          </c:extLst>
        </c:ser>
        <c:ser>
          <c:idx val="5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38-4A59-A5B7-C8BBC7B925EF}"/>
            </c:ext>
          </c:extLst>
        </c:ser>
        <c:ser>
          <c:idx val="6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38-4A59-A5B7-C8BBC7B92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9769656"/>
        <c:axId val="572501368"/>
      </c:lineChart>
      <c:catAx>
        <c:axId val="56976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501368"/>
        <c:crosses val="autoZero"/>
        <c:auto val="1"/>
        <c:lblAlgn val="ctr"/>
        <c:lblOffset val="100"/>
        <c:noMultiLvlLbl val="0"/>
      </c:catAx>
      <c:valAx>
        <c:axId val="57250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7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1</xdr:row>
      <xdr:rowOff>163830</xdr:rowOff>
    </xdr:from>
    <xdr:to>
      <xdr:col>14</xdr:col>
      <xdr:colOff>243840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41B9B-D55B-4A59-8183-937BEAF0F0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3</xdr:row>
      <xdr:rowOff>11430</xdr:rowOff>
    </xdr:from>
    <xdr:to>
      <xdr:col>15</xdr:col>
      <xdr:colOff>396240</xdr:colOff>
      <xdr:row>22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0CD23-A1B1-4D7F-AFEA-BC8318C8A4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3</xdr:row>
      <xdr:rowOff>3810</xdr:rowOff>
    </xdr:from>
    <xdr:to>
      <xdr:col>14</xdr:col>
      <xdr:colOff>472440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5D34A-0CD0-48FB-A6DA-C6BE6069C1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213360</xdr:colOff>
      <xdr:row>16</xdr:row>
      <xdr:rowOff>125730</xdr:rowOff>
    </xdr:from>
    <xdr:to>
      <xdr:col>7</xdr:col>
      <xdr:colOff>350520</xdr:colOff>
      <xdr:row>31</xdr:row>
      <xdr:rowOff>125730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FF6C4A-791E-436B-81DE-9CC58DC8F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cross" refreshedDate="43505.812041203702" createdVersion="6" refreshedVersion="6" minRefreshableVersion="3" recordCount="4114" xr:uid="{181B6854-D4B9-44BC-82DA-37E631A9488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cross" refreshedDate="43505.835475231484" createdVersion="6" refreshedVersion="6" minRefreshableVersion="3" recordCount="4114" xr:uid="{65068B80-7E74-41CF-AB8C-A8924DB0F4B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7D7D8C-0F1F-411C-B299-E1E4597EB5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79F25-CBAC-4427-A6E8-D0F95CEBFA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B1EBC-102D-4329-B564-099CC0CA035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E1" zoomScale="55" zoomScaleNormal="55" workbookViewId="0">
      <selection activeCell="S2" sqref="S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109375" bestFit="1" customWidth="1"/>
    <col min="16" max="16" width="21.77734375" bestFit="1" customWidth="1"/>
    <col min="17" max="17" width="16.664062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  <c r="U1" s="1"/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 * 100</f>
        <v>136.85882352941178</v>
      </c>
      <c r="P2">
        <f>E2/L2</f>
        <v>63.917582417582416</v>
      </c>
      <c r="Q2" t="str">
        <f>LEFT(N2,(FIND("/",N2) - 1))</f>
        <v>film &amp; video</v>
      </c>
      <c r="R2" t="str">
        <f>RIGHT(N2,LEN(N2)-FIND("/",N2) )</f>
        <v>television</v>
      </c>
      <c r="S2" s="8">
        <f>(J2/86400)+25569+(-5/24)</f>
        <v>42176.798738425925</v>
      </c>
      <c r="T2" s="8">
        <f>(I2/86400)+25569+(-5/24)</f>
        <v>42207.916666666664</v>
      </c>
    </row>
    <row r="3" spans="1:21" ht="28.8" hidden="1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 * 100</f>
        <v>142.60827250608273</v>
      </c>
      <c r="P3">
        <f t="shared" ref="P3:P66" si="1">E3/L3</f>
        <v>185.48101265822785</v>
      </c>
      <c r="Q3" t="str">
        <f t="shared" ref="Q3:Q66" si="2">LEFT(N3,(FIND("/",N3) - 1))</f>
        <v>film &amp; video</v>
      </c>
      <c r="R3" t="str">
        <f t="shared" ref="R3:R66" si="3">RIGHT(N3,LEN(N3)-FIND("/",N3) )</f>
        <v>television</v>
      </c>
      <c r="S3" s="8">
        <f t="shared" ref="S3:S66" si="4">(J3/86400)+25569+(-5/24)</f>
        <v>42766.392164351848</v>
      </c>
      <c r="T3" s="8">
        <f t="shared" ref="T3:T66" si="5">(I3/86400)+25569+(-5/24)</f>
        <v>42796.392164351848</v>
      </c>
    </row>
    <row r="4" spans="1:21" ht="43.2" hidden="1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1" ht="28.8" hidden="1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1" ht="57.6" hidden="1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1" ht="43.2" hidden="1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42515.838738425919</v>
      </c>
      <c r="T9" s="8">
        <f t="shared" si="5"/>
        <v>42555.838738425919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41869.333981481475</v>
      </c>
      <c r="T20" s="8">
        <f t="shared" si="5"/>
        <v>41899.333981481475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42200.549907407403</v>
      </c>
      <c r="T22" s="8">
        <f t="shared" si="5"/>
        <v>42260.549907407403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42262.610416666663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42316.494224537033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41374.84888888889</v>
      </c>
      <c r="T40" s="8">
        <f t="shared" si="5"/>
        <v>41404.84888888889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41873.890474537031</v>
      </c>
      <c r="T46" s="8">
        <f t="shared" si="5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42323.756643518514</v>
      </c>
      <c r="T48" s="8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hidden="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</v>
      </c>
      <c r="T53" s="8">
        <f t="shared" si="5"/>
        <v>42226.72033564814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42149.340555555558</v>
      </c>
      <c r="T58" s="8">
        <f t="shared" si="5"/>
        <v>42163.458333333336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42230.027499999997</v>
      </c>
      <c r="T61" s="8">
        <f t="shared" si="5"/>
        <v>42261.666666666664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41701.693483796298</v>
      </c>
      <c r="T62" s="8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41409.605983796289</v>
      </c>
      <c r="T63" s="8">
        <f t="shared" si="5"/>
        <v>41431.605983796289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(E67/D67) * 100</f>
        <v>107.52857142857141</v>
      </c>
      <c r="P67">
        <f t="shared" ref="P67:P130" si="7">E67/L67</f>
        <v>132.05263157894737</v>
      </c>
      <c r="Q67" t="str">
        <f t="shared" ref="Q67:Q130" si="8">LEFT(N67,(FIND("/",N67) - 1))</f>
        <v>film &amp; video</v>
      </c>
      <c r="R67" t="str">
        <f t="shared" ref="R67:R130" si="9">RIGHT(N67,LEN(N67)-FIND("/",N67) )</f>
        <v>shorts</v>
      </c>
      <c r="S67" s="8">
        <f t="shared" ref="S67:S130" si="10">(J67/86400)+25569+(-5/24)</f>
        <v>41835.612893518519</v>
      </c>
      <c r="T67" s="8">
        <f t="shared" ref="T67:T130" si="11">(I67/86400)+25569+(-5/24)</f>
        <v>41862.040972222218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41207.801863425928</v>
      </c>
      <c r="T74" s="8">
        <f t="shared" si="11"/>
        <v>41227.791666666664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40996.936539351846</v>
      </c>
      <c r="T79" s="8">
        <f t="shared" si="11"/>
        <v>41049.915972222218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41099.950543981475</v>
      </c>
      <c r="T83" s="8">
        <f t="shared" si="11"/>
        <v>41103.918055555558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40322.331053240741</v>
      </c>
      <c r="T89" s="8">
        <f t="shared" si="11"/>
        <v>40331.861805555549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41402.543888888882</v>
      </c>
      <c r="T91" s="8">
        <f t="shared" si="11"/>
        <v>41427.543888888882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41214.586504629631</v>
      </c>
      <c r="T100" s="8">
        <f t="shared" si="11"/>
        <v>41250.770833333328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40987.568298611106</v>
      </c>
      <c r="T108" s="8">
        <f t="shared" si="11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41717.834699074076</v>
      </c>
      <c r="T114" s="8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40918.530601851853</v>
      </c>
      <c r="T117" s="8">
        <f t="shared" si="11"/>
        <v>40943.530601851853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(E131/D131) * 100</f>
        <v>0</v>
      </c>
      <c r="P131" t="e">
        <f t="shared" ref="P131:P194" si="13">E131/L131</f>
        <v>#DIV/0!</v>
      </c>
      <c r="Q131" t="str">
        <f t="shared" ref="Q131:Q194" si="14">LEFT(N131,(FIND("/",N131) - 1))</f>
        <v>film &amp; video</v>
      </c>
      <c r="R131" t="str">
        <f t="shared" ref="R131:R194" si="15">RIGHT(N131,LEN(N131)-FIND("/",N131) )</f>
        <v>science fiction</v>
      </c>
      <c r="S131" s="8">
        <f t="shared" ref="S131:S194" si="16">(J131/86400)+25569+(-5/24)</f>
        <v>41882.728969907403</v>
      </c>
      <c r="T131" s="8">
        <f t="shared" ref="T131:T194" si="17">(I131/86400)+25569+(-5/24)</f>
        <v>41942.728969907403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41778.707083333335</v>
      </c>
      <c r="T132" s="8">
        <f t="shared" si="17"/>
        <v>41806.636111111111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42558.855810185181</v>
      </c>
      <c r="T145" s="8">
        <f t="shared" si="17"/>
        <v>42616.038194444445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41874.869212962956</v>
      </c>
      <c r="T154" s="8">
        <f t="shared" si="17"/>
        <v>41904.869212962956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</v>
      </c>
      <c r="T162" s="8">
        <f t="shared" si="17"/>
        <v>42231.70475694444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(E195/D195) * 100</f>
        <v>0</v>
      </c>
      <c r="P195" t="e">
        <f t="shared" ref="P195:P258" si="19">E195/L195</f>
        <v>#DIV/0!</v>
      </c>
      <c r="Q195" t="str">
        <f t="shared" ref="Q195:Q258" si="20">LEFT(N195,(FIND("/",N195) - 1))</f>
        <v>film &amp; video</v>
      </c>
      <c r="R195" t="str">
        <f t="shared" ref="R195:R258" si="21">RIGHT(N195,LEN(N195)-FIND("/",N195) )</f>
        <v>drama</v>
      </c>
      <c r="S195" s="8">
        <f t="shared" ref="S195:S258" si="22">(J195/86400)+25569+(-5/24)</f>
        <v>41911.726458333331</v>
      </c>
      <c r="T195" s="8">
        <f t="shared" ref="T195:T258" si="23">(I195/86400)+25569+(-5/24)</f>
        <v>41971.768124999995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41866.875034722216</v>
      </c>
      <c r="T202" s="8">
        <f t="shared" si="23"/>
        <v>41896.875034722216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42235.951585648145</v>
      </c>
      <c r="T213" s="8">
        <f t="shared" si="23"/>
        <v>42265.951585648145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42236.629166666666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42129.568877314814</v>
      </c>
      <c r="T232" s="8">
        <f t="shared" si="23"/>
        <v>42159.568877314814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</v>
      </c>
      <c r="T233" s="8">
        <f t="shared" si="23"/>
        <v>42371.75059027777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42320.876145833332</v>
      </c>
      <c r="T238" s="8">
        <f t="shared" si="23"/>
        <v>42373.791666666664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42713.754166666666</v>
      </c>
      <c r="T240" s="8">
        <f t="shared" si="23"/>
        <v>42734.166666666664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40266.454374999994</v>
      </c>
      <c r="T254" s="8">
        <f t="shared" si="23"/>
        <v>40329.957638888889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42263.744328703702</v>
      </c>
      <c r="T256" s="8">
        <f t="shared" si="23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(E259/D259) * 100</f>
        <v>106.72648571428572</v>
      </c>
      <c r="P259">
        <f t="shared" ref="P259:P322" si="25">E259/L259</f>
        <v>66.70405357142856</v>
      </c>
      <c r="Q259" t="str">
        <f t="shared" ref="Q259:Q322" si="26">LEFT(N259,(FIND("/",N259) - 1))</f>
        <v>film &amp; video</v>
      </c>
      <c r="R259" t="str">
        <f t="shared" ref="R259:R322" si="27">RIGHT(N259,LEN(N259)-FIND("/",N259) )</f>
        <v>documentary</v>
      </c>
      <c r="S259" s="8">
        <f t="shared" ref="S259:S322" si="28">(J259/86400)+25569+(-5/24)</f>
        <v>42479.418541666666</v>
      </c>
      <c r="T259" s="8">
        <f t="shared" ref="T259:T322" si="29">(I259/86400)+25569+(-5/24)</f>
        <v>42509.418541666666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40267.03738425926</v>
      </c>
      <c r="T267" s="8">
        <f t="shared" si="29"/>
        <v>40308.636111111111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40637.658217592594</v>
      </c>
      <c r="T272" s="8">
        <f t="shared" si="29"/>
        <v>40687.958333333328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41611.891909722217</v>
      </c>
      <c r="T273" s="8">
        <f t="shared" si="29"/>
        <v>41641.125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40966.873541666668</v>
      </c>
      <c r="T278" s="8">
        <f t="shared" si="29"/>
        <v>41026.831874999996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41744.382349537038</v>
      </c>
      <c r="T282" s="8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41313.607916666668</v>
      </c>
      <c r="T288" s="8">
        <f t="shared" si="29"/>
        <v>41358.566249999996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42089.519687499997</v>
      </c>
      <c r="T299" s="8">
        <f t="shared" si="29"/>
        <v>42124.957638888889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41031.862800925919</v>
      </c>
      <c r="T305" s="8">
        <f t="shared" si="29"/>
        <v>41061.862800925919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41353.587187499994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41282.736122685186</v>
      </c>
      <c r="T309" s="8">
        <f t="shared" si="29"/>
        <v>41312.736122685186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(E323/D323) * 100</f>
        <v>102.66285714285715</v>
      </c>
      <c r="P323">
        <f t="shared" ref="P323:P386" si="31">E323/L323</f>
        <v>106.62314540059347</v>
      </c>
      <c r="Q323" t="str">
        <f t="shared" ref="Q323:Q386" si="32">LEFT(N323,(FIND("/",N323) - 1))</f>
        <v>film &amp; video</v>
      </c>
      <c r="R323" t="str">
        <f t="shared" ref="R323:R386" si="33">RIGHT(N323,LEN(N323)-FIND("/",N323) )</f>
        <v>documentary</v>
      </c>
      <c r="S323" s="8">
        <f t="shared" ref="S323:S386" si="34">(J323/86400)+25569+(-5/24)</f>
        <v>42647.238263888888</v>
      </c>
      <c r="T323" s="8">
        <f t="shared" ref="T323:T386" si="35">(I323/86400)+25569+(-5/24)</f>
        <v>42682.279930555553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42261.291909722218</v>
      </c>
      <c r="T348" s="8">
        <f t="shared" si="35"/>
        <v>42291.291909722218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41934.86215277778</v>
      </c>
      <c r="T361" s="8">
        <f t="shared" si="35"/>
        <v>41957.008333333331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41019.584699074076</v>
      </c>
      <c r="T368" s="8">
        <f t="shared" si="35"/>
        <v>41049.584699074076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(E387/D387) * 100</f>
        <v>105.982</v>
      </c>
      <c r="P387">
        <f t="shared" ref="P387:P450" si="37">E387/L387</f>
        <v>111.79535864978902</v>
      </c>
      <c r="Q387" t="str">
        <f t="shared" ref="Q387:Q450" si="38">LEFT(N387,(FIND("/",N387) - 1))</f>
        <v>film &amp; video</v>
      </c>
      <c r="R387" t="str">
        <f t="shared" ref="R387:R450" si="39">RIGHT(N387,LEN(N387)-FIND("/",N387) )</f>
        <v>documentary</v>
      </c>
      <c r="S387" s="8">
        <f t="shared" ref="S387:S450" si="40">(J387/86400)+25569+(-5/24)</f>
        <v>41934.376168981478</v>
      </c>
      <c r="T387" s="8">
        <f t="shared" ref="T387:T450" si="41">(I387/86400)+25569+(-5/24)</f>
        <v>41964.41783564815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</v>
      </c>
      <c r="T390" s="8">
        <f t="shared" si="41"/>
        <v>42578.86782407407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41673.854745370372</v>
      </c>
      <c r="T391" s="8">
        <f t="shared" si="41"/>
        <v>41705.749305555553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40864.833923611106</v>
      </c>
      <c r="T393" s="8">
        <f t="shared" si="41"/>
        <v>40894.832638888889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41082.356550925928</v>
      </c>
      <c r="T398" s="8">
        <f t="shared" si="41"/>
        <v>41097.356550925928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41646.419699074067</v>
      </c>
      <c r="T406" s="8">
        <f t="shared" si="41"/>
        <v>41675.75277777778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42113.773113425923</v>
      </c>
      <c r="T412" s="8">
        <f t="shared" si="41"/>
        <v>42173.773113425923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41360.762268518512</v>
      </c>
      <c r="T419" s="8">
        <f t="shared" si="41"/>
        <v>41371.981249999997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41863.052048611113</v>
      </c>
      <c r="T424" s="8">
        <f t="shared" si="41"/>
        <v>41893.052048611113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42285.700694444444</v>
      </c>
      <c r="T429" s="8">
        <f t="shared" si="41"/>
        <v>42299.582638888889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42526.662997685184</v>
      </c>
      <c r="T433" s="8">
        <f t="shared" si="41"/>
        <v>42556.662997685184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42228.421550925923</v>
      </c>
      <c r="T435" s="8">
        <f t="shared" si="41"/>
        <v>42288.421550925923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41919.553449074076</v>
      </c>
      <c r="T441" s="8">
        <f t="shared" si="41"/>
        <v>41929.553449074076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(E451/D451) * 100</f>
        <v>2.25</v>
      </c>
      <c r="P451">
        <f t="shared" ref="P451:P514" si="43">E451/L451</f>
        <v>9</v>
      </c>
      <c r="Q451" t="str">
        <f t="shared" ref="Q451:Q514" si="44">LEFT(N451,(FIND("/",N451) - 1))</f>
        <v>film &amp; video</v>
      </c>
      <c r="R451" t="str">
        <f t="shared" ref="R451:R514" si="45">RIGHT(N451,LEN(N451)-FIND("/",N451) )</f>
        <v>animation</v>
      </c>
      <c r="S451" s="8">
        <f t="shared" ref="S451:S514" si="46">(J451/86400)+25569+(-5/24)</f>
        <v>41534.359780092593</v>
      </c>
      <c r="T451" s="8">
        <f t="shared" ref="T451:T514" si="47">(I451/86400)+25569+(-5/24)</f>
        <v>41564.359780092593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42107.49554398148</v>
      </c>
      <c r="T454" s="8">
        <f t="shared" si="47"/>
        <v>42137.49554398148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40970.794236111113</v>
      </c>
      <c r="T457" s="8">
        <f t="shared" si="47"/>
        <v>41015.813194444439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41547.486122685186</v>
      </c>
      <c r="T458" s="8">
        <f t="shared" si="47"/>
        <v>41568.957638888889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40704.918298611105</v>
      </c>
      <c r="T464" s="8">
        <f t="shared" si="47"/>
        <v>40764.918298611105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42488.640451388885</v>
      </c>
      <c r="T466" s="8">
        <f t="shared" si="47"/>
        <v>42508.640451388885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41040.959293981483</v>
      </c>
      <c r="T470" s="8">
        <f t="shared" si="47"/>
        <v>41100.952141203699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41465.29184027778</v>
      </c>
      <c r="T482" s="8">
        <f t="shared" si="47"/>
        <v>41495.29184027778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42447.688541666663</v>
      </c>
      <c r="T484" s="8">
        <f t="shared" si="47"/>
        <v>42474.398611111108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41381.297442129631</v>
      </c>
      <c r="T487" s="8">
        <f t="shared" si="47"/>
        <v>41411.297442129631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41113.760243055549</v>
      </c>
      <c r="T492" s="8">
        <f t="shared" si="47"/>
        <v>41143.760243055549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42366.774293981478</v>
      </c>
      <c r="T493" s="8">
        <f t="shared" si="47"/>
        <v>42396.774293981478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42114.517800925925</v>
      </c>
      <c r="T495" s="8">
        <f t="shared" si="47"/>
        <v>42144.517800925925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40247.677673611106</v>
      </c>
      <c r="T502" s="8">
        <f t="shared" si="47"/>
        <v>40306.719444444439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(E515/D515) * 100</f>
        <v>13.923999999999999</v>
      </c>
      <c r="P515">
        <f t="shared" ref="P515:P578" si="49">E515/L515</f>
        <v>102.38235294117646</v>
      </c>
      <c r="Q515" t="str">
        <f t="shared" ref="Q515:Q578" si="50">LEFT(N515,(FIND("/",N515) - 1))</f>
        <v>film &amp; video</v>
      </c>
      <c r="R515" t="str">
        <f t="shared" ref="R515:R578" si="51">RIGHT(N515,LEN(N515)-FIND("/",N515) )</f>
        <v>animation</v>
      </c>
      <c r="S515" s="8">
        <f t="shared" ref="S515:S578" si="52">(J515/86400)+25569+(-5/24)</f>
        <v>42552.445659722223</v>
      </c>
      <c r="T515" s="8">
        <f t="shared" ref="T515:T578" si="53">(I515/86400)+25569+(-5/24)</f>
        <v>42597.083333333336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41218.183113425919</v>
      </c>
      <c r="T521" s="8">
        <f t="shared" si="53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42711.336863425924</v>
      </c>
      <c r="T537" s="8">
        <f t="shared" si="53"/>
        <v>42741.336863425924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42179.136655092589</v>
      </c>
      <c r="T538" s="8">
        <f t="shared" si="53"/>
        <v>42219.541666666664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42692.180729166663</v>
      </c>
      <c r="T564" s="8">
        <f t="shared" si="53"/>
        <v>42722.180729166663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42165.576956018514</v>
      </c>
      <c r="T567" s="8">
        <f t="shared" si="53"/>
        <v>42195.576956018514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42388.589918981474</v>
      </c>
      <c r="T572" s="8">
        <f t="shared" si="53"/>
        <v>42418.589918981474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42282.507962962962</v>
      </c>
      <c r="T574" s="8">
        <f t="shared" si="53"/>
        <v>42312.549629629626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(E579/D579) * 100</f>
        <v>0.2</v>
      </c>
      <c r="P579">
        <f t="shared" ref="P579:P642" si="55">E579/L579</f>
        <v>10</v>
      </c>
      <c r="Q579" t="str">
        <f t="shared" ref="Q579:Q642" si="56">LEFT(N579,(FIND("/",N579) - 1))</f>
        <v>technology</v>
      </c>
      <c r="R579" t="str">
        <f t="shared" ref="R579:R642" si="57">RIGHT(N579,LEN(N579)-FIND("/",N579) )</f>
        <v>web</v>
      </c>
      <c r="S579" s="8">
        <f t="shared" ref="S579:S642" si="58">(J579/86400)+25569+(-5/24)</f>
        <v>42450.380810185183</v>
      </c>
      <c r="T579" s="8">
        <f t="shared" ref="T579:T642" si="59">(I579/86400)+25569+(-5/24)</f>
        <v>42510.380810185183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42631.561180555553</v>
      </c>
      <c r="T590" s="8">
        <f t="shared" si="59"/>
        <v>42691.602847222217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42082.861550925925</v>
      </c>
      <c r="T597" s="8">
        <f t="shared" si="59"/>
        <v>42127.861550925925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42194.149398148147</v>
      </c>
      <c r="T607" s="8">
        <f t="shared" si="59"/>
        <v>42239.149398148147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42584.823449074072</v>
      </c>
      <c r="T614" s="8">
        <f t="shared" si="59"/>
        <v>42614.823449074072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42761.167905092589</v>
      </c>
      <c r="T618" s="8">
        <f t="shared" si="59"/>
        <v>42791.167905092589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42507.090995370367</v>
      </c>
      <c r="T635" s="8">
        <f t="shared" si="59"/>
        <v>42538.749999999993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42683.211979166663</v>
      </c>
      <c r="T642" s="8">
        <f t="shared" si="59"/>
        <v>42698.749999999993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(E643/D643) * 100</f>
        <v>119.16249999999999</v>
      </c>
      <c r="P643">
        <f t="shared" ref="P643:P706" si="61">E643/L643</f>
        <v>151.31746031746033</v>
      </c>
      <c r="Q643" t="str">
        <f t="shared" ref="Q643:Q706" si="62">LEFT(N643,(FIND("/",N643) - 1))</f>
        <v>technology</v>
      </c>
      <c r="R643" t="str">
        <f t="shared" ref="R643:R706" si="63">RIGHT(N643,LEN(N643)-FIND("/",N643) )</f>
        <v>wearables</v>
      </c>
      <c r="S643" s="8">
        <f t="shared" ref="S643:S706" si="64">(J643/86400)+25569+(-5/24)</f>
        <v>42199.361666666664</v>
      </c>
      <c r="T643" s="8">
        <f t="shared" ref="T643:T706" si="65">(I643/86400)+25569+(-5/24)</f>
        <v>42229.361666666664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41838.623819444438</v>
      </c>
      <c r="T668" s="8">
        <f t="shared" si="65"/>
        <v>41868.623819444438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42012.559965277775</v>
      </c>
      <c r="T678" s="8">
        <f t="shared" si="65"/>
        <v>42042.559965277775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41866.722743055558</v>
      </c>
      <c r="T700" s="8">
        <f t="shared" si="65"/>
        <v>41899.875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42698.560034722221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(E707/D707) * 100</f>
        <v>0.97699999999999987</v>
      </c>
      <c r="P707">
        <f t="shared" ref="P707:P770" si="67">E707/L707</f>
        <v>195.4</v>
      </c>
      <c r="Q707" t="str">
        <f t="shared" ref="Q707:Q770" si="68">LEFT(N707,(FIND("/",N707) - 1))</f>
        <v>technology</v>
      </c>
      <c r="R707" t="str">
        <f t="shared" ref="R707:R770" si="69">RIGHT(N707,LEN(N707)-FIND("/",N707) )</f>
        <v>wearables</v>
      </c>
      <c r="S707" s="8">
        <f t="shared" ref="S707:S770" si="70">(J707/86400)+25569+(-5/24)</f>
        <v>42726.283310185179</v>
      </c>
      <c r="T707" s="8">
        <f t="shared" ref="T707:T770" si="71">(I707/86400)+25569+(-5/24)</f>
        <v>42756.283310185179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42384.472592592589</v>
      </c>
      <c r="T714" s="8">
        <f t="shared" si="71"/>
        <v>42414.472592592589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41857.645856481475</v>
      </c>
      <c r="T719" s="8">
        <f t="shared" si="71"/>
        <v>41887.645856481475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42184.608206018514</v>
      </c>
      <c r="T725" s="8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41246.811909722222</v>
      </c>
      <c r="T729" s="8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41943.39576388889</v>
      </c>
      <c r="T740" s="8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42700.597372685188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41471.238518518519</v>
      </c>
      <c r="T765" s="8">
        <f t="shared" si="71"/>
        <v>41501.238518518519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(E771/D771) * 100</f>
        <v>41.4</v>
      </c>
      <c r="P771">
        <f t="shared" ref="P771:P834" si="73">E771/L771</f>
        <v>31.846153846153847</v>
      </c>
      <c r="Q771" t="str">
        <f t="shared" ref="Q771:Q834" si="74">LEFT(N771,(FIND("/",N771) - 1))</f>
        <v>publishing</v>
      </c>
      <c r="R771" t="str">
        <f t="shared" ref="R771:R834" si="75">RIGHT(N771,LEN(N771)-FIND("/",N771) )</f>
        <v>fiction</v>
      </c>
      <c r="S771" s="8">
        <f t="shared" ref="S771:S834" si="76">(J771/86400)+25569+(-5/24)</f>
        <v>41604.788124999999</v>
      </c>
      <c r="T771" s="8">
        <f t="shared" ref="T771:T834" si="77">(I771/86400)+25569+(-5/24)</f>
        <v>41634.788124999999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41289.791307870364</v>
      </c>
      <c r="T772" s="8">
        <f t="shared" si="77"/>
        <v>41329.791307870364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42100.527604166666</v>
      </c>
      <c r="T775" s="8">
        <f t="shared" si="77"/>
        <v>42134.750694444439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41402.792523148142</v>
      </c>
      <c r="T783" s="8">
        <f t="shared" si="77"/>
        <v>41432.792523148142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41303.38559027778</v>
      </c>
      <c r="T787" s="8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41040.449305555558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41276.977777777771</v>
      </c>
      <c r="T791" s="8">
        <f t="shared" si="77"/>
        <v>41295.124305555553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41555.665312499994</v>
      </c>
      <c r="T794" s="8">
        <f t="shared" si="77"/>
        <v>41585.706979166665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41122.813935185179</v>
      </c>
      <c r="T804" s="8">
        <f t="shared" si="77"/>
        <v>41168.961805555555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40729.897291666661</v>
      </c>
      <c r="T806" s="8">
        <f t="shared" si="77"/>
        <v>40746.957638888889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41072.842384259253</v>
      </c>
      <c r="T830" s="8">
        <f t="shared" si="77"/>
        <v>41085.474999999999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(E835/D835) * 100</f>
        <v>101.66666666666666</v>
      </c>
      <c r="P835">
        <f t="shared" ref="P835:P898" si="79">E835/L835</f>
        <v>148.78048780487805</v>
      </c>
      <c r="Q835" t="str">
        <f t="shared" ref="Q835:Q898" si="80">LEFT(N835,(FIND("/",N835) - 1))</f>
        <v>music</v>
      </c>
      <c r="R835" t="str">
        <f t="shared" ref="R835:R898" si="81">RIGHT(N835,LEN(N835)-FIND("/",N835) )</f>
        <v>rock</v>
      </c>
      <c r="S835" s="8">
        <f t="shared" ref="S835:S898" si="82">(J835/86400)+25569+(-5/24)</f>
        <v>41718.669849537036</v>
      </c>
      <c r="T835" s="8">
        <f t="shared" ref="T835:T898" si="83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41923.630358796298</v>
      </c>
      <c r="T843" s="8">
        <f t="shared" si="83"/>
        <v>41953.672025462962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41526.384062499994</v>
      </c>
      <c r="T844" s="8">
        <f t="shared" si="83"/>
        <v>41560.957638888889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</v>
      </c>
      <c r="T849" s="8">
        <f t="shared" si="83"/>
        <v>42195.59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42544.916863425919</v>
      </c>
      <c r="T857" s="8">
        <f t="shared" si="83"/>
        <v>42574.916863425919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41230.564780092587</v>
      </c>
      <c r="T867" s="8">
        <f t="shared" si="83"/>
        <v>41290.564780092587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41342.637233796289</v>
      </c>
      <c r="T871" s="8">
        <f t="shared" si="83"/>
        <v>41372.595567129625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41607.394618055558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41183.958796296291</v>
      </c>
      <c r="T875" s="8">
        <f t="shared" si="83"/>
        <v>41224.000462962962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41597.580555555549</v>
      </c>
      <c r="T879" s="8">
        <f t="shared" si="83"/>
        <v>41627.580555555549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40981.594282407408</v>
      </c>
      <c r="T886" s="8">
        <f t="shared" si="83"/>
        <v>41040.896527777775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42496.773263888885</v>
      </c>
      <c r="T896" s="8">
        <f t="shared" si="83"/>
        <v>42526.773263888885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</v>
      </c>
      <c r="T898" s="8">
        <f t="shared" si="83"/>
        <v>42243.958333333336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(E899/D899) * 100</f>
        <v>0</v>
      </c>
      <c r="P899" t="e">
        <f t="shared" ref="P899:P962" si="85">E899/L899</f>
        <v>#DIV/0!</v>
      </c>
      <c r="Q899" t="str">
        <f t="shared" ref="Q899:Q962" si="86">LEFT(N899,(FIND("/",N899) - 1))</f>
        <v>music</v>
      </c>
      <c r="R899" t="str">
        <f t="shared" ref="R899:R962" si="87">RIGHT(N899,LEN(N899)-FIND("/",N899) )</f>
        <v>indie rock</v>
      </c>
      <c r="S899" s="8">
        <f t="shared" ref="S899:S962" si="88">(J899/86400)+25569+(-5/24)</f>
        <v>41211.480416666665</v>
      </c>
      <c r="T899" s="8">
        <f t="shared" ref="T899:T962" si="89">(I899/86400)+25569+(-5/24)</f>
        <v>41241.52208333333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41253.942673611113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41116.554942129624</v>
      </c>
      <c r="T916" s="8">
        <f t="shared" si="89"/>
        <v>41146.554942129624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41562.463217592587</v>
      </c>
      <c r="T922" s="8">
        <f t="shared" si="89"/>
        <v>41592.504884259259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40846.962685185186</v>
      </c>
      <c r="T923" s="8">
        <f t="shared" si="89"/>
        <v>40889.004351851851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41288.734594907401</v>
      </c>
      <c r="T926" s="8">
        <f t="shared" si="89"/>
        <v>41318.734594907401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41710.960752314808</v>
      </c>
      <c r="T935" s="8">
        <f t="shared" si="89"/>
        <v>41770.960752314808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41581.631446759253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42382.634953703702</v>
      </c>
      <c r="T944" s="8">
        <f t="shared" si="89"/>
        <v>42418.634953703702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</v>
      </c>
      <c r="T947" s="8">
        <f t="shared" si="89"/>
        <v>42784.790972222218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42480.445277777777</v>
      </c>
      <c r="T953" s="8">
        <f t="shared" si="89"/>
        <v>42525.445277777777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(E963/D963) * 100</f>
        <v>42.188421052631583</v>
      </c>
      <c r="P963">
        <f t="shared" ref="P963:P1026" si="91">E963/L963</f>
        <v>364.35454545454547</v>
      </c>
      <c r="Q963" t="str">
        <f t="shared" ref="Q963:Q1026" si="92">LEFT(N963,(FIND("/",N963) - 1))</f>
        <v>technology</v>
      </c>
      <c r="R963" t="str">
        <f t="shared" ref="R963:R1026" si="93">RIGHT(N963,LEN(N963)-FIND("/",N963) )</f>
        <v>wearables</v>
      </c>
      <c r="S963" s="8">
        <f t="shared" ref="S963:S1026" si="94">(J963/86400)+25569+(-5/24)</f>
        <v>42740.485358796293</v>
      </c>
      <c r="T963" s="8">
        <f t="shared" ref="T963:T1026" si="95">(I963/86400)+25569+(-5/24)</f>
        <v>42786.583333333336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42506.208657407406</v>
      </c>
      <c r="T981" s="8">
        <f t="shared" si="95"/>
        <v>42541.582638888889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42574.459317129622</v>
      </c>
      <c r="T985" s="8">
        <f t="shared" si="95"/>
        <v>42605.662499999999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42748.851388888885</v>
      </c>
      <c r="T1002" s="8">
        <f t="shared" si="95"/>
        <v>42808.80972222222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42276.41646990741</v>
      </c>
      <c r="T1007" s="8">
        <f t="shared" si="95"/>
        <v>42307.41646990741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42111.438391203701</v>
      </c>
      <c r="T1024" s="8">
        <f t="shared" si="95"/>
        <v>42141.438391203701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(E1027/D1027) * 100</f>
        <v>109.92831428571431</v>
      </c>
      <c r="P1027">
        <f t="shared" ref="P1027:P1090" si="97">E1027/L1027</f>
        <v>71.848571428571432</v>
      </c>
      <c r="Q1027" t="str">
        <f t="shared" ref="Q1027:Q1090" si="98">LEFT(N1027,(FIND("/",N1027) - 1))</f>
        <v>music</v>
      </c>
      <c r="R1027" t="str">
        <f t="shared" ref="R1027:R1090" si="99">RIGHT(N1027,LEN(N1027)-FIND("/",N1027) )</f>
        <v>electronic music</v>
      </c>
      <c r="S1027" s="8">
        <f t="shared" ref="S1027:S1090" si="100">(J1027/86400)+25569+(-5/24)</f>
        <v>42049.625428240739</v>
      </c>
      <c r="T1027" s="8">
        <f t="shared" ref="T1027:T1090" si="101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</v>
      </c>
      <c r="T1035" s="8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41830.851759259254</v>
      </c>
      <c r="T1043" s="8">
        <f t="shared" si="101"/>
        <v>41850.851759259254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41844.666087962956</v>
      </c>
      <c r="T1047" s="8">
        <f t="shared" si="101"/>
        <v>41874.666087962956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41918.610127314816</v>
      </c>
      <c r="T1049" s="8">
        <f t="shared" si="101"/>
        <v>41948.65179398148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42678.662997685184</v>
      </c>
      <c r="T1059" s="8">
        <f t="shared" si="101"/>
        <v>42708.704664351848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41445.754421296289</v>
      </c>
      <c r="T1068" s="8">
        <f t="shared" si="101"/>
        <v>41490.754421296289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42440.162777777776</v>
      </c>
      <c r="T1070" s="8">
        <f t="shared" si="101"/>
        <v>42470.121111111112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42479.358055555553</v>
      </c>
      <c r="T1081" s="8">
        <f t="shared" si="101"/>
        <v>42504.358055555553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41101.697777777772</v>
      </c>
      <c r="T1084" s="8">
        <f t="shared" si="101"/>
        <v>41131.697777777772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41775.505636574067</v>
      </c>
      <c r="T1089" s="8">
        <f t="shared" si="101"/>
        <v>41805.505636574067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(E1091/D1091) * 100</f>
        <v>7.8266666666666662</v>
      </c>
      <c r="P1091">
        <f t="shared" ref="P1091:P1154" si="103">E1091/L1091</f>
        <v>23.959183673469386</v>
      </c>
      <c r="Q1091" t="str">
        <f t="shared" ref="Q1091:Q1154" si="104">LEFT(N1091,(FIND("/",N1091) - 1))</f>
        <v>games</v>
      </c>
      <c r="R1091" t="str">
        <f t="shared" ref="R1091:R1154" si="105">RIGHT(N1091,LEN(N1091)-FIND("/",N1091) )</f>
        <v>video games</v>
      </c>
      <c r="S1091" s="8">
        <f t="shared" ref="S1091:S1154" si="106">(J1091/86400)+25569+(-5/24)</f>
        <v>42150.981192129628</v>
      </c>
      <c r="T1091" s="8">
        <f t="shared" ref="T1091:T1154" si="107">(I1091/86400)+25569+(-5/24)</f>
        <v>42180.981192129628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40795.505011574074</v>
      </c>
      <c r="T1096" s="8">
        <f t="shared" si="107"/>
        <v>40825.505011574074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42346.995254629626</v>
      </c>
      <c r="T1113" s="8">
        <f t="shared" si="107"/>
        <v>42376.995254629626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41009.638981481483</v>
      </c>
      <c r="T1118" s="8">
        <f t="shared" si="107"/>
        <v>41069.638981481483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42535.119143518517</v>
      </c>
      <c r="T1128" s="8">
        <f t="shared" si="107"/>
        <v>42565.119143518517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42558.781180555554</v>
      </c>
      <c r="T1137" s="8">
        <f t="shared" si="107"/>
        <v>42588.781180555554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42327.46329861111</v>
      </c>
      <c r="T1138" s="8">
        <f t="shared" si="107"/>
        <v>42357.46329861111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41975.139189814814</v>
      </c>
      <c r="T1141" s="8">
        <f t="shared" si="107"/>
        <v>42005.139189814814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42021.797766203701</v>
      </c>
      <c r="T1144" s="8">
        <f t="shared" si="107"/>
        <v>42051.797766203701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41854.539259259254</v>
      </c>
      <c r="T1147" s="8">
        <f t="shared" si="107"/>
        <v>41914.539259259254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42223.894247685188</v>
      </c>
      <c r="T1153" s="8">
        <f t="shared" si="107"/>
        <v>42253.894247685188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(E1155/D1155) * 100</f>
        <v>0.625</v>
      </c>
      <c r="P1155">
        <f t="shared" ref="P1155:P1218" si="109">E1155/L1155</f>
        <v>50</v>
      </c>
      <c r="Q1155" t="str">
        <f t="shared" ref="Q1155:Q1218" si="110">LEFT(N1155,(FIND("/",N1155) - 1))</f>
        <v>food</v>
      </c>
      <c r="R1155" t="str">
        <f t="shared" ref="R1155:R1218" si="111">RIGHT(N1155,LEN(N1155)-FIND("/",N1155) )</f>
        <v>food trucks</v>
      </c>
      <c r="S1155" s="8">
        <f t="shared" ref="S1155:S1218" si="112">(J1155/86400)+25569+(-5/24)</f>
        <v>42143.505844907406</v>
      </c>
      <c r="T1155" s="8">
        <f t="shared" ref="T1155:T1218" si="113">(I1155/86400)+25569+(-5/24)</f>
        <v>42173.505844907406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41792.00613425926</v>
      </c>
      <c r="T1167" s="8">
        <f t="shared" si="113"/>
        <v>41826.00613425926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41841.473981481475</v>
      </c>
      <c r="T1174" s="8">
        <f t="shared" si="113"/>
        <v>41871.473981481475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42409.567743055552</v>
      </c>
      <c r="T1195" s="8">
        <f t="shared" si="113"/>
        <v>42469.526076388887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42152.08048611111</v>
      </c>
      <c r="T1204" s="8">
        <f t="shared" si="113"/>
        <v>42182.08048611111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42772.567743055552</v>
      </c>
      <c r="T1208" s="8">
        <f t="shared" si="113"/>
        <v>42805.353472222218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(E1219/D1219) * 100</f>
        <v>102.60000000000001</v>
      </c>
      <c r="P1219">
        <f t="shared" ref="P1219:P1282" si="115">E1219/L1219</f>
        <v>148.57377049180329</v>
      </c>
      <c r="Q1219" t="str">
        <f t="shared" ref="Q1219:Q1282" si="116">LEFT(N1219,(FIND("/",N1219) - 1))</f>
        <v>photography</v>
      </c>
      <c r="R1219" t="str">
        <f t="shared" ref="R1219:R1282" si="117">RIGHT(N1219,LEN(N1219)-FIND("/",N1219) )</f>
        <v>photobooks</v>
      </c>
      <c r="S1219" s="8">
        <f t="shared" ref="S1219:S1282" si="118">(J1219/86400)+25569+(-5/24)</f>
        <v>42535.6011574074</v>
      </c>
      <c r="T1219" s="8">
        <f t="shared" ref="T1219:T1282" si="119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42633.253622685188</v>
      </c>
      <c r="T1221" s="8">
        <f t="shared" si="119"/>
        <v>42663.253622685188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41506.639699074069</v>
      </c>
      <c r="T1234" s="8">
        <f t="shared" si="119"/>
        <v>41553.639699074069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41355.617164351854</v>
      </c>
      <c r="T1246" s="8">
        <f t="shared" si="119"/>
        <v>41386.666666666664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41774.391597222224</v>
      </c>
      <c r="T1247" s="8">
        <f t="shared" si="119"/>
        <v>41804.391597222224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41067.532534722217</v>
      </c>
      <c r="T1251" s="8">
        <f t="shared" si="119"/>
        <v>41097.532534722217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40921.711006944439</v>
      </c>
      <c r="T1258" s="8">
        <f t="shared" si="119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42445.614722222221</v>
      </c>
      <c r="T1271" s="8">
        <f t="shared" si="119"/>
        <v>42475.791666666664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40933.648634259254</v>
      </c>
      <c r="T1272" s="8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(E1283/D1283) * 100</f>
        <v>110.71428571428572</v>
      </c>
      <c r="P1283">
        <f t="shared" ref="P1283:P1346" si="121">E1283/L1283</f>
        <v>104.72972972972973</v>
      </c>
      <c r="Q1283" t="str">
        <f t="shared" ref="Q1283:Q1346" si="122">LEFT(N1283,(FIND("/",N1283) - 1))</f>
        <v>music</v>
      </c>
      <c r="R1283" t="str">
        <f t="shared" ref="R1283:R1346" si="123">RIGHT(N1283,LEN(N1283)-FIND("/",N1283) )</f>
        <v>rock</v>
      </c>
      <c r="S1283" s="8">
        <f t="shared" ref="S1283:S1346" si="124">(J1283/86400)+25569+(-5/24)</f>
        <v>41463.535138888888</v>
      </c>
      <c r="T1283" s="8">
        <f t="shared" ref="T1283:T1346" si="125">(I1283/86400)+25569+(-5/24)</f>
        <v>41483.535138888888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41586.266840277771</v>
      </c>
      <c r="T1284" s="8">
        <f t="shared" si="125"/>
        <v>41616.999305555553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42708.926446759258</v>
      </c>
      <c r="T1291" s="8">
        <f t="shared" si="125"/>
        <v>42738.926446759258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42322.534386574072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42458.472592592589</v>
      </c>
      <c r="T1300" s="8">
        <f t="shared" si="125"/>
        <v>42488.472592592589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42387.294895833336</v>
      </c>
      <c r="T1309" s="8">
        <f t="shared" si="125"/>
        <v>42417.294895833336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42393.753576388888</v>
      </c>
      <c r="T1318" s="8">
        <f t="shared" si="125"/>
        <v>42428.753576388888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41974.583657407406</v>
      </c>
      <c r="T1328" s="8">
        <f t="shared" si="125"/>
        <v>42019.583657407406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42172.608090277776</v>
      </c>
      <c r="T1344" s="8">
        <f t="shared" si="125"/>
        <v>42202.608090277776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(E1347/D1347) * 100</f>
        <v>125</v>
      </c>
      <c r="P1347">
        <f t="shared" ref="P1347:P1410" si="127">E1347/L1347</f>
        <v>53.571428571428569</v>
      </c>
      <c r="Q1347" t="str">
        <f t="shared" ref="Q1347:Q1410" si="128">LEFT(N1347,(FIND("/",N1347) - 1))</f>
        <v>publishing</v>
      </c>
      <c r="R1347" t="str">
        <f t="shared" ref="R1347:R1410" si="129">RIGHT(N1347,LEN(N1347)-FIND("/",N1347) )</f>
        <v>nonfiction</v>
      </c>
      <c r="S1347" s="8">
        <f t="shared" ref="S1347:S1410" si="130">(J1347/86400)+25569+(-5/24)</f>
        <v>41799.606006944443</v>
      </c>
      <c r="T1347" s="8">
        <f t="shared" ref="T1347:T1410" si="131">(I1347/86400)+25569+(-5/24)</f>
        <v>41834.606006944443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41963.297835648147</v>
      </c>
      <c r="T1350" s="8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41429.830555555549</v>
      </c>
      <c r="T1358" s="8">
        <f t="shared" si="131"/>
        <v>41459.830555555549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41951.487337962964</v>
      </c>
      <c r="T1366" s="8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42568.551041666666</v>
      </c>
      <c r="T1380" s="8">
        <f t="shared" si="131"/>
        <v>42583.551041666666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42130.283287037033</v>
      </c>
      <c r="T1381" s="8">
        <f t="shared" si="131"/>
        <v>42160.283287037033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42087.594976851855</v>
      </c>
      <c r="T1392" s="8">
        <f t="shared" si="131"/>
        <v>42121.508333333331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(E1411/D1411) * 100</f>
        <v>0</v>
      </c>
      <c r="P1411" t="e">
        <f t="shared" ref="P1411:P1474" si="133">E1411/L1411</f>
        <v>#DIV/0!</v>
      </c>
      <c r="Q1411" t="str">
        <f t="shared" ref="Q1411:Q1474" si="134">LEFT(N1411,(FIND("/",N1411) - 1))</f>
        <v>publishing</v>
      </c>
      <c r="R1411" t="str">
        <f t="shared" ref="R1411:R1474" si="135">RIGHT(N1411,LEN(N1411)-FIND("/",N1411) )</f>
        <v>translations</v>
      </c>
      <c r="S1411" s="8">
        <f t="shared" ref="S1411:S1474" si="136">(J1411/86400)+25569+(-5/24)</f>
        <v>41944.925173611111</v>
      </c>
      <c r="T1411" s="8">
        <f t="shared" ref="T1411:T1474" si="137">(I1411/86400)+25569+(-5/24)</f>
        <v>42004.966840277775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42262.257638888885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42073.852337962962</v>
      </c>
      <c r="T1431" s="8">
        <f t="shared" si="137"/>
        <v>42103.852337962962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41961.605185185188</v>
      </c>
      <c r="T1432" s="8">
        <f t="shared" si="137"/>
        <v>41992.605185185188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42040.621539351851</v>
      </c>
      <c r="T1441" s="8">
        <f t="shared" si="137"/>
        <v>42070.621539351851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40645.806122685179</v>
      </c>
      <c r="T1470" s="8">
        <f t="shared" si="137"/>
        <v>40705.806122685179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(E1475/D1475) * 100</f>
        <v>120.51600000000001</v>
      </c>
      <c r="P1475">
        <f t="shared" ref="P1475:P1538" si="139">E1475/L1475</f>
        <v>38.462553191489363</v>
      </c>
      <c r="Q1475" t="str">
        <f t="shared" ref="Q1475:Q1538" si="140">LEFT(N1475,(FIND("/",N1475) - 1))</f>
        <v>publishing</v>
      </c>
      <c r="R1475" t="str">
        <f t="shared" ref="R1475:R1538" si="141">RIGHT(N1475,LEN(N1475)-FIND("/",N1475) )</f>
        <v>radio &amp; podcasts</v>
      </c>
      <c r="S1475" s="8">
        <f t="shared" ref="S1475:S1538" si="142">(J1475/86400)+25569+(-5/24)</f>
        <v>40939.771284722221</v>
      </c>
      <c r="T1475" s="8">
        <f t="shared" ref="T1475:T1538" si="143">(I1475/86400)+25569+(-5/24)</f>
        <v>40969.771284722221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41500.519583333335</v>
      </c>
      <c r="T1476" s="8">
        <f t="shared" si="143"/>
        <v>41530.519583333335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41136.649722222217</v>
      </c>
      <c r="T1484" s="8">
        <f t="shared" si="143"/>
        <v>41159.118750000001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41411.658275462956</v>
      </c>
      <c r="T1495" s="8">
        <f t="shared" si="143"/>
        <v>41441.658275462956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40254.242002314808</v>
      </c>
      <c r="T1509" s="8">
        <f t="shared" si="143"/>
        <v>40313.131944444445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41809.176828703705</v>
      </c>
      <c r="T1512" s="8">
        <f t="shared" si="143"/>
        <v>41839.176828703705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42275.558969907404</v>
      </c>
      <c r="T1532" s="8">
        <f t="shared" si="143"/>
        <v>42300.558969907404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42221.465995370367</v>
      </c>
      <c r="T1536" s="8">
        <f t="shared" si="143"/>
        <v>42251.465995370367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(E1539/D1539) * 100</f>
        <v>179.9</v>
      </c>
      <c r="P1539">
        <f t="shared" ref="P1539:P1602" si="145">E1539/L1539</f>
        <v>96.375</v>
      </c>
      <c r="Q1539" t="str">
        <f t="shared" ref="Q1539:Q1602" si="146">LEFT(N1539,(FIND("/",N1539) - 1))</f>
        <v>photography</v>
      </c>
      <c r="R1539" t="str">
        <f t="shared" ref="R1539:R1602" si="147">RIGHT(N1539,LEN(N1539)-FIND("/",N1539) )</f>
        <v>photobooks</v>
      </c>
      <c r="S1539" s="8">
        <f t="shared" ref="S1539:S1602" si="148">(J1539/86400)+25569+(-5/24)</f>
        <v>42552.106793981475</v>
      </c>
      <c r="T1539" s="8">
        <f t="shared" ref="T1539:T1602" si="149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42705.710868055554</v>
      </c>
      <c r="T1541" s="8">
        <f t="shared" si="149"/>
        <v>42738.710868055554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42316.715509259258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42107.844895833332</v>
      </c>
      <c r="T1561" s="8">
        <f t="shared" si="149"/>
        <v>42122.844895833332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41584.875034722216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41671.728530092594</v>
      </c>
      <c r="T1569" s="8">
        <f t="shared" si="149"/>
        <v>41686.791666666664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</v>
      </c>
      <c r="T1573" s="8">
        <f t="shared" si="149"/>
        <v>42174.56114583333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41799.315925925919</v>
      </c>
      <c r="T1577" s="8">
        <f t="shared" si="149"/>
        <v>41829.315925925919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41054.639444444438</v>
      </c>
      <c r="T1579" s="8">
        <f t="shared" si="149"/>
        <v>41114.639444444438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40989.841736111106</v>
      </c>
      <c r="T1582" s="8">
        <f t="shared" si="149"/>
        <v>41049.841736111106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42068.896087962959</v>
      </c>
      <c r="T1588" s="8">
        <f t="shared" si="149"/>
        <v>42098.854421296295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42505.472916666666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41808.634027777771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41790.848981481475</v>
      </c>
      <c r="T1602" s="8">
        <f t="shared" si="149"/>
        <v>41835.007638888885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(E1603/D1603) * 100</f>
        <v>108.2492</v>
      </c>
      <c r="P1603">
        <f t="shared" ref="P1603:P1666" si="151">E1603/L1603</f>
        <v>48.325535714285714</v>
      </c>
      <c r="Q1603" t="str">
        <f t="shared" ref="Q1603:Q1666" si="152">LEFT(N1603,(FIND("/",N1603) - 1))</f>
        <v>music</v>
      </c>
      <c r="R1603" t="str">
        <f t="shared" ref="R1603:R1666" si="153">RIGHT(N1603,LEN(N1603)-FIND("/",N1603) )</f>
        <v>rock</v>
      </c>
      <c r="S1603" s="8">
        <f t="shared" ref="S1603:S1666" si="154">(J1603/86400)+25569+(-5/24)</f>
        <v>40637.884641203702</v>
      </c>
      <c r="T1603" s="8">
        <f t="shared" ref="T1603:T1666" si="155">(I1603/86400)+25569+(-5/24)</f>
        <v>40667.884641203702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41640.018055555549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41794.772789351853</v>
      </c>
      <c r="T1616" s="8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41875.977847222217</v>
      </c>
      <c r="T1621" s="8">
        <f t="shared" si="155"/>
        <v>41896.977847222217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41950.086504629631</v>
      </c>
      <c r="T1624" s="8">
        <f t="shared" si="155"/>
        <v>41990.124305555553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41579.639664351846</v>
      </c>
      <c r="T1628" s="8">
        <f t="shared" si="155"/>
        <v>41609.681331018517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40750.132569444446</v>
      </c>
      <c r="T1634" s="8">
        <f t="shared" si="155"/>
        <v>40810.132569444446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40178.777083333327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41521.40902777778</v>
      </c>
      <c r="T1647" s="8">
        <f t="shared" si="155"/>
        <v>41535.40902777778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40939.553449074076</v>
      </c>
      <c r="T1666" s="8">
        <f t="shared" si="155"/>
        <v>40983.957638888889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(E1667/D1667) * 100</f>
        <v>119.45714285714286</v>
      </c>
      <c r="P1667">
        <f t="shared" ref="P1667:P1730" si="157">E1667/L1667</f>
        <v>44.956989247311824</v>
      </c>
      <c r="Q1667" t="str">
        <f t="shared" ref="Q1667:Q1730" si="158">LEFT(N1667,(FIND("/",N1667) - 1))</f>
        <v>music</v>
      </c>
      <c r="R1667" t="str">
        <f t="shared" ref="R1667:R1730" si="159">RIGHT(N1667,LEN(N1667)-FIND("/",N1667) )</f>
        <v>pop</v>
      </c>
      <c r="S1667" s="8">
        <f t="shared" ref="S1667:S1730" si="160">(J1667/86400)+25569+(-5/24)</f>
        <v>40564.441122685181</v>
      </c>
      <c r="T1667" s="8">
        <f t="shared" ref="T1667:T1730" si="161">(I1667/86400)+25569+(-5/24)</f>
        <v>40595.916666666664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40844.941423611112</v>
      </c>
      <c r="T1670" s="8">
        <f t="shared" si="161"/>
        <v>40874.983090277776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40313.722210648142</v>
      </c>
      <c r="T1672" s="8">
        <f t="shared" si="161"/>
        <v>40363.958333333328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40973.517905092587</v>
      </c>
      <c r="T1678" s="8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42795.493148148147</v>
      </c>
      <c r="T1693" s="8">
        <f t="shared" si="161"/>
        <v>42827.833333333336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42804.824629629627</v>
      </c>
      <c r="T1699" s="8">
        <f t="shared" si="161"/>
        <v>42834.782962962963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42187.073344907403</v>
      </c>
      <c r="T1705" s="8">
        <f t="shared" si="161"/>
        <v>42247.073344907403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41841.355486111112</v>
      </c>
      <c r="T1711" s="8">
        <f t="shared" si="161"/>
        <v>41882.610416666663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42341.382962962962</v>
      </c>
      <c r="T1712" s="8">
        <f t="shared" si="161"/>
        <v>42387.333333333336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42713.410868055558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42460.773587962962</v>
      </c>
      <c r="T1719" s="8">
        <f t="shared" si="161"/>
        <v>42480.958333333336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42044.719641203701</v>
      </c>
      <c r="T1729" s="8">
        <f t="shared" si="161"/>
        <v>42099.249999999993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(E1731/D1731) * 100</f>
        <v>0</v>
      </c>
      <c r="P1731" t="e">
        <f t="shared" ref="P1731:P1794" si="163">E1731/L1731</f>
        <v>#DIV/0!</v>
      </c>
      <c r="Q1731" t="str">
        <f t="shared" ref="Q1731:Q1794" si="164">LEFT(N1731,(FIND("/",N1731) - 1))</f>
        <v>music</v>
      </c>
      <c r="R1731" t="str">
        <f t="shared" ref="R1731:R1794" si="165">RIGHT(N1731,LEN(N1731)-FIND("/",N1731) )</f>
        <v>faith</v>
      </c>
      <c r="S1731" s="8">
        <f t="shared" ref="S1731:S1794" si="166">(J1731/86400)+25569+(-5/24)</f>
        <v>42470.843819444439</v>
      </c>
      <c r="T1731" s="8">
        <f t="shared" ref="T1731:T1794" si="167">(I1731/86400)+25569+(-5/24)</f>
        <v>42530.843819444439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42271.879432870366</v>
      </c>
      <c r="T1732" s="8">
        <f t="shared" si="167"/>
        <v>42301.879432870366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42559.605844907404</v>
      </c>
      <c r="T1737" s="8">
        <f t="shared" si="167"/>
        <v>42589.605844907404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42175.740648148145</v>
      </c>
      <c r="T1739" s="8">
        <f t="shared" si="167"/>
        <v>42205.740648148145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42171.609050925923</v>
      </c>
      <c r="T1742" s="8">
        <f t="shared" si="167"/>
        <v>42201.609050925923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42710.668634259258</v>
      </c>
      <c r="T1744" s="8">
        <f t="shared" si="167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</v>
      </c>
      <c r="T1749" s="8">
        <f t="shared" si="167"/>
        <v>42321.416666666664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41905.771296296291</v>
      </c>
      <c r="T1773" s="8">
        <f t="shared" si="167"/>
        <v>41935.771296296291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41891.768055555549</v>
      </c>
      <c r="T1777" s="8">
        <f t="shared" si="167"/>
        <v>41936.768055555549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42493.392476851848</v>
      </c>
      <c r="T1782" s="8">
        <f t="shared" si="167"/>
        <v>42553.392476851848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42010.466180555552</v>
      </c>
      <c r="T1792" s="8">
        <f t="shared" si="167"/>
        <v>42040.466180555552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(E1795/D1795) * 100</f>
        <v>1.3333333333333335</v>
      </c>
      <c r="P1795">
        <f t="shared" ref="P1795:P1858" si="169">E1795/L1795</f>
        <v>20</v>
      </c>
      <c r="Q1795" t="str">
        <f t="shared" ref="Q1795:Q1858" si="170">LEFT(N1795,(FIND("/",N1795) - 1))</f>
        <v>photography</v>
      </c>
      <c r="R1795" t="str">
        <f t="shared" ref="R1795:R1858" si="171">RIGHT(N1795,LEN(N1795)-FIND("/",N1795) )</f>
        <v>photobooks</v>
      </c>
      <c r="S1795" s="8">
        <f t="shared" ref="S1795:S1858" si="172">(J1795/86400)+25569+(-5/24)</f>
        <v>41940.683333333327</v>
      </c>
      <c r="T1795" s="8">
        <f t="shared" ref="T1795:T1858" si="173">(I1795/86400)+25569+(-5/24)</f>
        <v>41970.724999999999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42017.863217592589</v>
      </c>
      <c r="T1805" s="8">
        <f t="shared" si="173"/>
        <v>42048.863217592589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42172.698344907403</v>
      </c>
      <c r="T1817" s="8">
        <f t="shared" si="173"/>
        <v>42186.698344907403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42064.876041666663</v>
      </c>
      <c r="T1822" s="8">
        <f t="shared" si="173"/>
        <v>42094.834374999999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41634.588680555556</v>
      </c>
      <c r="T1824" s="8">
        <f t="shared" si="173"/>
        <v>41670.584027777775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41626.707951388882</v>
      </c>
      <c r="T1826" s="8">
        <f t="shared" si="173"/>
        <v>41646.880555555552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(E1859/D1859) * 100</f>
        <v>100</v>
      </c>
      <c r="P1859">
        <f t="shared" ref="P1859:P1922" si="175">E1859/L1859</f>
        <v>136.36363636363637</v>
      </c>
      <c r="Q1859" t="str">
        <f t="shared" ref="Q1859:Q1922" si="176">LEFT(N1859,(FIND("/",N1859) - 1))</f>
        <v>music</v>
      </c>
      <c r="R1859" t="str">
        <f t="shared" ref="R1859:R1922" si="177">RIGHT(N1859,LEN(N1859)-FIND("/",N1859) )</f>
        <v>rock</v>
      </c>
      <c r="S1859" s="8">
        <f t="shared" ref="S1859:S1922" si="178">(J1859/86400)+25569+(-5/24)</f>
        <v>41864.560335648144</v>
      </c>
      <c r="T1859" s="8">
        <f t="shared" ref="T1859:T1922" si="179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41655.500972222224</v>
      </c>
      <c r="T1862" s="8">
        <f t="shared" si="179"/>
        <v>41676.500972222224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42755.284421296295</v>
      </c>
      <c r="T1864" s="8">
        <f t="shared" si="179"/>
        <v>42802.104166666664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42680.200775462959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41776.07644675926</v>
      </c>
      <c r="T1878" s="8">
        <f t="shared" si="179"/>
        <v>41806.07644675926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40920.696562499994</v>
      </c>
      <c r="T1896" s="8">
        <f t="shared" si="179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41680.375069444439</v>
      </c>
      <c r="T1899" s="8">
        <f t="shared" si="179"/>
        <v>41702.666666666664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42113.667233796295</v>
      </c>
      <c r="T1921" s="8">
        <f t="shared" si="179"/>
        <v>42143.667233796295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(E1923/D1923) * 100</f>
        <v>136.80000000000001</v>
      </c>
      <c r="P1923">
        <f t="shared" ref="P1923:P1986" si="181">E1923/L1923</f>
        <v>54</v>
      </c>
      <c r="Q1923" t="str">
        <f t="shared" ref="Q1923:Q1986" si="182">LEFT(N1923,(FIND("/",N1923) - 1))</f>
        <v>music</v>
      </c>
      <c r="R1923" t="str">
        <f t="shared" ref="R1923:R1986" si="183">RIGHT(N1923,LEN(N1923)-FIND("/",N1923) )</f>
        <v>indie rock</v>
      </c>
      <c r="S1923" s="8">
        <f t="shared" ref="S1923:S1986" si="184">(J1923/86400)+25569+(-5/24)</f>
        <v>41074.013229166667</v>
      </c>
      <c r="T1923" s="8">
        <f t="shared" ref="T1923:T1986" si="185">(I1923/86400)+25569+(-5/24)</f>
        <v>41104.013229166667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41371.439745370364</v>
      </c>
      <c r="T1930" s="8">
        <f t="shared" si="185"/>
        <v>41401.439745370364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40911.601539351854</v>
      </c>
      <c r="T1934" s="8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41773.724201388883</v>
      </c>
      <c r="T1937" s="8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42157.043495370366</v>
      </c>
      <c r="T1947" s="8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41688.941678240742</v>
      </c>
      <c r="T1948" s="8">
        <f t="shared" si="185"/>
        <v>41748.900011574071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41800.21471064815</v>
      </c>
      <c r="T1951" s="8">
        <f t="shared" si="185"/>
        <v>41830.21471064815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41178.890196759261</v>
      </c>
      <c r="T1959" s="8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41871.637268518512</v>
      </c>
      <c r="T1961" s="8">
        <f t="shared" si="185"/>
        <v>41912.791666666664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41383.943298611106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(E1987/D1987) * 100</f>
        <v>3.1875</v>
      </c>
      <c r="P1987">
        <f t="shared" ref="P1987:P2050" si="187">E1987/L1987</f>
        <v>12.75</v>
      </c>
      <c r="Q1987" t="str">
        <f t="shared" ref="Q1987:Q2050" si="188">LEFT(N1987,(FIND("/",N1987) - 1))</f>
        <v>photography</v>
      </c>
      <c r="R1987" t="str">
        <f t="shared" ref="R1987:R2050" si="189">RIGHT(N1987,LEN(N1987)-FIND("/",N1987) )</f>
        <v>people</v>
      </c>
      <c r="S1987" s="8">
        <f t="shared" ref="S1987:S2050" si="190">(J1987/86400)+25569+(-5/24)</f>
        <v>42555.490405092591</v>
      </c>
      <c r="T1987" s="8">
        <f t="shared" ref="T1987:T2050" si="191">(I1987/86400)+25569+(-5/24)</f>
        <v>42584.749999999993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42413.225497685184</v>
      </c>
      <c r="T1988" s="8">
        <f t="shared" si="191"/>
        <v>42443.183831018519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42329.380057870367</v>
      </c>
      <c r="T1995" s="8">
        <f t="shared" si="191"/>
        <v>42359.380057870367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41312.672442129631</v>
      </c>
      <c r="T2018" s="8">
        <f t="shared" si="191"/>
        <v>41342.672442129631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41736.889166666668</v>
      </c>
      <c r="T2022" s="8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42048.605543981474</v>
      </c>
      <c r="T2029" s="8">
        <f t="shared" si="191"/>
        <v>42093.563877314817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41738.656469907401</v>
      </c>
      <c r="T2038" s="8">
        <f t="shared" si="191"/>
        <v>41768.656469907401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41578.718784722216</v>
      </c>
      <c r="T2042" s="8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41068.880173611113</v>
      </c>
      <c r="T2047" s="8">
        <f t="shared" si="191"/>
        <v>41098.880173611113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(E2051/D2051) * 100</f>
        <v>120.19070000000001</v>
      </c>
      <c r="P2051">
        <f t="shared" ref="P2051:P2114" si="193">E2051/L2051</f>
        <v>80.991037735849048</v>
      </c>
      <c r="Q2051" t="str">
        <f t="shared" ref="Q2051:Q2114" si="194">LEFT(N2051,(FIND("/",N2051) - 1))</f>
        <v>technology</v>
      </c>
      <c r="R2051" t="str">
        <f t="shared" ref="R2051:R2114" si="195">RIGHT(N2051,LEN(N2051)-FIND("/",N2051) )</f>
        <v>hardware</v>
      </c>
      <c r="S2051" s="8">
        <f t="shared" ref="S2051:S2114" si="196">(J2051/86400)+25569+(-5/24)</f>
        <v>41575.319016203699</v>
      </c>
      <c r="T2051" s="8">
        <f t="shared" ref="T2051:T2114" si="197">(I2051/86400)+25569+(-5/24)</f>
        <v>41610.749305555553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41003.948553240734</v>
      </c>
      <c r="T2083" s="8">
        <f t="shared" si="197"/>
        <v>41044.999305555553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40870.953657407408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40395.506388888891</v>
      </c>
      <c r="T2090" s="8">
        <f t="shared" si="197"/>
        <v>40431.957638888889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41299.173090277771</v>
      </c>
      <c r="T2092" s="8">
        <f t="shared" si="197"/>
        <v>41329.173090277771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40555.114328703705</v>
      </c>
      <c r="T2093" s="8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40758.525150462963</v>
      </c>
      <c r="T2097" s="8">
        <f t="shared" si="197"/>
        <v>40818.525150462963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40818.376562500001</v>
      </c>
      <c r="T2099" s="8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(E2115/D2115) * 100</f>
        <v>104.85714285714285</v>
      </c>
      <c r="P2115">
        <f t="shared" ref="P2115:P2178" si="199">E2115/L2115</f>
        <v>68.598130841121488</v>
      </c>
      <c r="Q2115" t="str">
        <f t="shared" ref="Q2115:Q2178" si="200">LEFT(N2115,(FIND("/",N2115) - 1))</f>
        <v>music</v>
      </c>
      <c r="R2115" t="str">
        <f t="shared" ref="R2115:R2178" si="201">RIGHT(N2115,LEN(N2115)-FIND("/",N2115) )</f>
        <v>indie rock</v>
      </c>
      <c r="S2115" s="8">
        <f t="shared" ref="S2115:S2178" si="202">(J2115/86400)+25569+(-5/24)</f>
        <v>41870.657129629624</v>
      </c>
      <c r="T2115" s="8">
        <f t="shared" ref="T2115:T2178" si="203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40463.819849537038</v>
      </c>
      <c r="T2126" s="8">
        <f t="shared" si="203"/>
        <v>40512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42045.297025462962</v>
      </c>
      <c r="T2129" s="8">
        <f t="shared" si="203"/>
        <v>42075.255358796298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41156.755011574074</v>
      </c>
      <c r="T2137" s="8">
        <f t="shared" si="203"/>
        <v>41186.755011574074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42520.639050925922</v>
      </c>
      <c r="T2153" s="8">
        <f t="shared" si="203"/>
        <v>42550.639050925922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40710.522847222222</v>
      </c>
      <c r="T2161" s="8">
        <f t="shared" si="203"/>
        <v>40740.522847222222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42240.644201388888</v>
      </c>
      <c r="T2163" s="8">
        <f t="shared" si="203"/>
        <v>42270.644201388888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42082.371759259258</v>
      </c>
      <c r="T2174" s="8">
        <f t="shared" si="203"/>
        <v>42112.371759259258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(E2179/D2179) * 100</f>
        <v>100.12</v>
      </c>
      <c r="P2179">
        <f t="shared" ref="P2179:P2242" si="205">E2179/L2179</f>
        <v>65.868421052631575</v>
      </c>
      <c r="Q2179" t="str">
        <f t="shared" ref="Q2179:Q2242" si="206">LEFT(N2179,(FIND("/",N2179) - 1))</f>
        <v>music</v>
      </c>
      <c r="R2179" t="str">
        <f t="shared" ref="R2179:R2242" si="207">RIGHT(N2179,LEN(N2179)-FIND("/",N2179) )</f>
        <v>rock</v>
      </c>
      <c r="S2179" s="8">
        <f t="shared" ref="S2179:S2242" si="208">(J2179/86400)+25569+(-5/24)</f>
        <v>42502.042442129627</v>
      </c>
      <c r="T2179" s="8">
        <f t="shared" ref="T2179:T2242" si="209">(I2179/86400)+25569+(-5/24)</f>
        <v>42527.042442129627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42745.157141203701</v>
      </c>
      <c r="T2185" s="8">
        <f t="shared" si="209"/>
        <v>42774.999999999993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41319.141655092586</v>
      </c>
      <c r="T2187" s="8">
        <f t="shared" si="209"/>
        <v>41359.141655092586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41276.638483796291</v>
      </c>
      <c r="T2203" s="8">
        <f t="shared" si="209"/>
        <v>41290.638483796291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41031.613298611112</v>
      </c>
      <c r="T2207" s="8">
        <f t="shared" si="209"/>
        <v>41061.613298611112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41013.525000000001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42194.543344907404</v>
      </c>
      <c r="T2218" s="8">
        <f t="shared" si="209"/>
        <v>42208.543344907404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42331.170590277776</v>
      </c>
      <c r="T2235" s="8">
        <f t="shared" si="209"/>
        <v>42351.791666666664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(E2243/D2243) * 100</f>
        <v>806.4</v>
      </c>
      <c r="P2243">
        <f t="shared" ref="P2243:P2306" si="211">E2243/L2243</f>
        <v>49.472392638036808</v>
      </c>
      <c r="Q2243" t="str">
        <f t="shared" ref="Q2243:Q2306" si="212">LEFT(N2243,(FIND("/",N2243) - 1))</f>
        <v>games</v>
      </c>
      <c r="R2243" t="str">
        <f t="shared" ref="R2243:R2306" si="213">RIGHT(N2243,LEN(N2243)-FIND("/",N2243) )</f>
        <v>tabletop games</v>
      </c>
      <c r="S2243" s="8">
        <f t="shared" ref="S2243:S2306" si="214">(J2243/86400)+25569+(-5/24)</f>
        <v>42766.619212962956</v>
      </c>
      <c r="T2243" s="8">
        <f t="shared" ref="T2243:T2306" si="215">(I2243/86400)+25569+(-5/24)</f>
        <v>42796.619212962956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41660.500196759254</v>
      </c>
      <c r="T2247" s="8">
        <f t="shared" si="215"/>
        <v>41691.541666666664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41336.49496527778</v>
      </c>
      <c r="T2251" s="8">
        <f t="shared" si="215"/>
        <v>41366.453298611108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42775.874016203707</v>
      </c>
      <c r="T2270" s="8">
        <f t="shared" si="215"/>
        <v>42805.874016203707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42315.491157407407</v>
      </c>
      <c r="T2274" s="8">
        <f t="shared" si="215"/>
        <v>42345.491157407407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41965.408321759256</v>
      </c>
      <c r="T2277" s="8">
        <f t="shared" si="215"/>
        <v>41995.408321759256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42338.500775462962</v>
      </c>
      <c r="T2280" s="8">
        <f t="shared" si="215"/>
        <v>42372.749305555553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42020.598368055558</v>
      </c>
      <c r="T2281" s="8">
        <f t="shared" si="215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41058.977349537039</v>
      </c>
      <c r="T2287" s="8">
        <f t="shared" si="215"/>
        <v>41088.977349537039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(E2307/D2307) * 100</f>
        <v>101.22777777777779</v>
      </c>
      <c r="P2307">
        <f t="shared" ref="P2307:P2370" si="217">E2307/L2307</f>
        <v>109.10778443113773</v>
      </c>
      <c r="Q2307" t="str">
        <f t="shared" ref="Q2307:Q2370" si="218">LEFT(N2307,(FIND("/",N2307) - 1))</f>
        <v>music</v>
      </c>
      <c r="R2307" t="str">
        <f t="shared" ref="R2307:R2370" si="219">RIGHT(N2307,LEN(N2307)-FIND("/",N2307) )</f>
        <v>indie rock</v>
      </c>
      <c r="S2307" s="8">
        <f t="shared" ref="S2307:S2370" si="220">(J2307/86400)+25569+(-5/24)</f>
        <v>41834.486944444441</v>
      </c>
      <c r="T2307" s="8">
        <f t="shared" ref="T2307:T2370" si="221">(I2307/86400)+25569+(-5/24)</f>
        <v>41859.541666666664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41004.594131944446</v>
      </c>
      <c r="T2309" s="8">
        <f t="shared" si="221"/>
        <v>41034.59407407407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40156.558333333327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</v>
      </c>
      <c r="T2324" s="8">
        <f t="shared" si="221"/>
        <v>42834.645474537036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42807.546840277777</v>
      </c>
      <c r="T2325" s="8">
        <f t="shared" si="221"/>
        <v>42814.546840277777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41842.708796296291</v>
      </c>
      <c r="T2329" s="8">
        <f t="shared" si="221"/>
        <v>41877.708796296291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42139.573344907403</v>
      </c>
      <c r="T2330" s="8">
        <f t="shared" si="221"/>
        <v>42169.573344907403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41789.688472222224</v>
      </c>
      <c r="T2340" s="8">
        <f t="shared" si="221"/>
        <v>41819.688472222224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</v>
      </c>
      <c r="T2349" s="8">
        <f t="shared" si="221"/>
        <v>42607.39902777777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42096.709907407407</v>
      </c>
      <c r="T2357" s="8">
        <f t="shared" si="221"/>
        <v>42126.709907407407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42264.411782407406</v>
      </c>
      <c r="T2359" s="8">
        <f t="shared" si="221"/>
        <v>42294.411782407406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(E2371/D2371) * 100</f>
        <v>0</v>
      </c>
      <c r="P2371" t="e">
        <f t="shared" ref="P2371:P2434" si="223">E2371/L2371</f>
        <v>#DIV/0!</v>
      </c>
      <c r="Q2371" t="str">
        <f t="shared" ref="Q2371:Q2434" si="224">LEFT(N2371,(FIND("/",N2371) - 1))</f>
        <v>technology</v>
      </c>
      <c r="R2371" t="str">
        <f t="shared" ref="R2371:R2434" si="225">RIGHT(N2371,LEN(N2371)-FIND("/",N2371) )</f>
        <v>web</v>
      </c>
      <c r="S2371" s="8">
        <f t="shared" ref="S2371:S2434" si="226">(J2371/86400)+25569+(-5/24)</f>
        <v>42380.60429398148</v>
      </c>
      <c r="T2371" s="8">
        <f t="shared" ref="T2371:T2434" si="227">(I2371/86400)+25569+(-5/24)</f>
        <v>42410.60429398148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42215.453981481478</v>
      </c>
      <c r="T2375" s="8">
        <f t="shared" si="227"/>
        <v>42245.453981481478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42017.634953703702</v>
      </c>
      <c r="T2376" s="8">
        <f t="shared" si="227"/>
        <v>42047.634953703702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42399.67428240741</v>
      </c>
      <c r="T2405" s="8">
        <f t="shared" si="227"/>
        <v>42459.632615740738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41993.529965277776</v>
      </c>
      <c r="T2421" s="8">
        <f t="shared" si="227"/>
        <v>42053.529965277776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42163.961712962962</v>
      </c>
      <c r="T2428" s="8">
        <f t="shared" si="227"/>
        <v>42223.961712962962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42412.110335648147</v>
      </c>
      <c r="T2429" s="8">
        <f t="shared" si="227"/>
        <v>42452.068668981483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(E2435/D2435) * 100</f>
        <v>0</v>
      </c>
      <c r="P2435" t="e">
        <f t="shared" ref="P2435:P2498" si="229">E2435/L2435</f>
        <v>#DIV/0!</v>
      </c>
      <c r="Q2435" t="str">
        <f t="shared" ref="Q2435:Q2498" si="230">LEFT(N2435,(FIND("/",N2435) - 1))</f>
        <v>food</v>
      </c>
      <c r="R2435" t="str">
        <f t="shared" ref="R2435:R2498" si="231">RIGHT(N2435,LEN(N2435)-FIND("/",N2435) )</f>
        <v>food trucks</v>
      </c>
      <c r="S2435" s="8">
        <f t="shared" ref="S2435:S2498" si="232">(J2435/86400)+25569+(-5/24)</f>
        <v>42397.691469907404</v>
      </c>
      <c r="T2435" s="8">
        <f t="shared" ref="T2435:T2498" si="233">(I2435/86400)+25569+(-5/24)</f>
        <v>42427.691469907404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42179.977708333332</v>
      </c>
      <c r="T2436" s="8">
        <f t="shared" si="233"/>
        <v>42219.977708333332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42252.069282407407</v>
      </c>
      <c r="T2437" s="8">
        <f t="shared" si="233"/>
        <v>42282.069282407407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42383.691122685188</v>
      </c>
      <c r="T2442" s="8">
        <f t="shared" si="233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42052.458657407406</v>
      </c>
      <c r="T2444" s="8">
        <f t="shared" si="233"/>
        <v>42082.416990740741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41939.924305555549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42769.993148148147</v>
      </c>
      <c r="T2456" s="8">
        <f t="shared" si="233"/>
        <v>42804.993148148147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41173.945844907408</v>
      </c>
      <c r="T2470" s="8">
        <f t="shared" si="233"/>
        <v>41210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40310.079340277771</v>
      </c>
      <c r="T2477" s="8">
        <f t="shared" si="233"/>
        <v>40369.708333333328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41030.500034722216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41023.01939814815</v>
      </c>
      <c r="T2492" s="8">
        <f t="shared" si="233"/>
        <v>41083.01939814815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40558.868750000001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41022.436851851853</v>
      </c>
      <c r="T2496" s="8">
        <f t="shared" si="233"/>
        <v>41052.436851851853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41327.788101851846</v>
      </c>
      <c r="T2498" s="8">
        <f t="shared" si="233"/>
        <v>41362.746435185181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(E2499/D2499) * 100</f>
        <v>112.7715</v>
      </c>
      <c r="P2499">
        <f t="shared" ref="P2499:P2562" si="235">E2499/L2499</f>
        <v>80.551071428571419</v>
      </c>
      <c r="Q2499" t="str">
        <f t="shared" ref="Q2499:Q2562" si="236">LEFT(N2499,(FIND("/",N2499) - 1))</f>
        <v>music</v>
      </c>
      <c r="R2499" t="str">
        <f t="shared" ref="R2499:R2562" si="237">RIGHT(N2499,LEN(N2499)-FIND("/",N2499) )</f>
        <v>indie rock</v>
      </c>
      <c r="S2499" s="8">
        <f t="shared" ref="S2499:S2562" si="238">(J2499/86400)+25569+(-5/24)</f>
        <v>40730.670578703699</v>
      </c>
      <c r="T2499" s="8">
        <f t="shared" ref="T2499:T2562" si="239">(I2499/86400)+25569+(-5/24)</f>
        <v>40760.670578703699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41226.440243055556</v>
      </c>
      <c r="T2501" s="8">
        <f t="shared" si="239"/>
        <v>41274.541666666664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41053.564525462956</v>
      </c>
      <c r="T2502" s="8">
        <f t="shared" si="239"/>
        <v>41083.564525462956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42244.568333333336</v>
      </c>
      <c r="T2503" s="8">
        <f t="shared" si="239"/>
        <v>42274.568333333336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42078.789027777777</v>
      </c>
      <c r="T2512" s="8">
        <f t="shared" si="239"/>
        <v>42138.789027777777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42658.597916666666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41058.636238425919</v>
      </c>
      <c r="T2527" s="8">
        <f t="shared" si="239"/>
        <v>41088.636238425919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40127.492037037031</v>
      </c>
      <c r="T2536" s="8">
        <f t="shared" si="239"/>
        <v>40179.041666666664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41483.240949074076</v>
      </c>
      <c r="T2543" s="8">
        <f t="shared" si="239"/>
        <v>41543.240949074076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42026.929837962962</v>
      </c>
      <c r="T2547" s="8">
        <f t="shared" si="239"/>
        <v>42061.812499999993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41524.650219907409</v>
      </c>
      <c r="T2548" s="8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42618.417094907403</v>
      </c>
      <c r="T2550" s="8">
        <f t="shared" si="239"/>
        <v>42642.977083333331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41112.990821759253</v>
      </c>
      <c r="T2555" s="8">
        <f t="shared" si="239"/>
        <v>41172.990821759253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42093.651689814811</v>
      </c>
      <c r="T2560" s="8">
        <f t="shared" si="239"/>
        <v>42125.374305555553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(E2563/D2563) * 100</f>
        <v>0</v>
      </c>
      <c r="P2563" t="e">
        <f t="shared" ref="P2563:P2626" si="241">E2563/L2563</f>
        <v>#DIV/0!</v>
      </c>
      <c r="Q2563" t="str">
        <f t="shared" ref="Q2563:Q2626" si="242">LEFT(N2563,(FIND("/",N2563) - 1))</f>
        <v>food</v>
      </c>
      <c r="R2563" t="str">
        <f t="shared" ref="R2563:R2626" si="243">RIGHT(N2563,LEN(N2563)-FIND("/",N2563) )</f>
        <v>food trucks</v>
      </c>
      <c r="S2563" s="8">
        <f t="shared" ref="S2563:S2626" si="244">(J2563/86400)+25569+(-5/24)</f>
        <v>42260.320474537039</v>
      </c>
      <c r="T2563" s="8">
        <f t="shared" ref="T2563:T2626" si="245">(I2563/86400)+25569+(-5/24)</f>
        <v>42290.320474537039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41985.900393518517</v>
      </c>
      <c r="T2577" s="8">
        <f t="shared" si="245"/>
        <v>42015.900393518517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42237.814571759256</v>
      </c>
      <c r="T2580" s="8">
        <f t="shared" si="245"/>
        <v>42286.499999999993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42139.964918981474</v>
      </c>
      <c r="T2586" s="8">
        <f t="shared" si="245"/>
        <v>42169.964918981474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42089.636874999997</v>
      </c>
      <c r="T2595" s="8">
        <f t="shared" si="245"/>
        <v>42119.636874999997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41150.693854166668</v>
      </c>
      <c r="T2603" s="8">
        <f t="shared" si="245"/>
        <v>41164.957638888889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41726.504421296289</v>
      </c>
      <c r="T2608" s="8">
        <f t="shared" si="245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42115.539212962962</v>
      </c>
      <c r="T2623" s="8">
        <f t="shared" si="245"/>
        <v>42145.539212962962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41144.213217592587</v>
      </c>
      <c r="T2626" s="8">
        <f t="shared" si="245"/>
        <v>41165.213217592587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(E2627/D2627) * 100</f>
        <v>956</v>
      </c>
      <c r="P2627">
        <f t="shared" ref="P2627:P2690" si="247">E2627/L2627</f>
        <v>27.576923076923077</v>
      </c>
      <c r="Q2627" t="str">
        <f t="shared" ref="Q2627:Q2690" si="248">LEFT(N2627,(FIND("/",N2627) - 1))</f>
        <v>technology</v>
      </c>
      <c r="R2627" t="str">
        <f t="shared" ref="R2627:R2690" si="249">RIGHT(N2627,LEN(N2627)-FIND("/",N2627) )</f>
        <v>space exploration</v>
      </c>
      <c r="S2627" s="8">
        <f t="shared" ref="S2627:S2690" si="250">(J2627/86400)+25569+(-5/24)</f>
        <v>42658.601944444446</v>
      </c>
      <c r="T2627" s="8">
        <f t="shared" ref="T2627:T2690" si="251">(I2627/86400)+25569+(-5/24)</f>
        <v>42683.643611111103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42334.662743055553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42612.448159722218</v>
      </c>
      <c r="T2636" s="8">
        <f t="shared" si="251"/>
        <v>42642.448159722218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42689.374016203707</v>
      </c>
      <c r="T2645" s="8">
        <f t="shared" si="251"/>
        <v>42725.124305555553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42327.597326388888</v>
      </c>
      <c r="T2653" s="8">
        <f t="shared" si="251"/>
        <v>42355.597326388888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42055.392662037033</v>
      </c>
      <c r="T2656" s="8">
        <f t="shared" si="251"/>
        <v>42115.350995370369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42767.480185185188</v>
      </c>
      <c r="T2658" s="8">
        <f t="shared" si="251"/>
        <v>42806.583333333336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42551.675856481474</v>
      </c>
      <c r="T2660" s="8">
        <f t="shared" si="251"/>
        <v>42581.675856481474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42081.861226851848</v>
      </c>
      <c r="T2661" s="8">
        <f t="shared" si="251"/>
        <v>42111.861226851848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42275.380381944444</v>
      </c>
      <c r="T2670" s="8">
        <f t="shared" si="251"/>
        <v>42317.397222222215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42318.827499999992</v>
      </c>
      <c r="T2671" s="8">
        <f t="shared" si="251"/>
        <v>42378.827499999992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</v>
      </c>
      <c r="T2673" s="8">
        <f t="shared" si="251"/>
        <v>41992.609722222223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41792.821099537039</v>
      </c>
      <c r="T2679" s="8">
        <f t="shared" si="251"/>
        <v>41822.821099537039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41820.706307870372</v>
      </c>
      <c r="T2686" s="8">
        <f t="shared" si="251"/>
        <v>41860.706307870372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42027.910532407404</v>
      </c>
      <c r="T2690" s="8">
        <f t="shared" si="251"/>
        <v>42058.916666666664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(E2691/D2691) * 100</f>
        <v>2.8571428571428571E-3</v>
      </c>
      <c r="P2691">
        <f t="shared" ref="P2691:P2754" si="253">E2691/L2691</f>
        <v>1</v>
      </c>
      <c r="Q2691" t="str">
        <f t="shared" ref="Q2691:Q2754" si="254">LEFT(N2691,(FIND("/",N2691) - 1))</f>
        <v>food</v>
      </c>
      <c r="R2691" t="str">
        <f t="shared" ref="R2691:R2754" si="255">RIGHT(N2691,LEN(N2691)-FIND("/",N2691) )</f>
        <v>food trucks</v>
      </c>
      <c r="S2691" s="8">
        <f t="shared" ref="S2691:S2754" si="256">(J2691/86400)+25569+(-5/24)</f>
        <v>42551.75335648148</v>
      </c>
      <c r="T2691" s="8">
        <f t="shared" ref="T2691:T2754" si="257">(I2691/86400)+25569+(-5/24)</f>
        <v>42581.75335648148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41870.666342592587</v>
      </c>
      <c r="T2702" s="8">
        <f t="shared" si="257"/>
        <v>41900.666342592587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41780.536921296291</v>
      </c>
      <c r="T2713" s="8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41934.706585648142</v>
      </c>
      <c r="T2719" s="8">
        <f t="shared" si="257"/>
        <v>41979.748252314814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42655.257557870369</v>
      </c>
      <c r="T2722" s="8">
        <f t="shared" si="257"/>
        <v>42685.299224537033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41044.439780092587</v>
      </c>
      <c r="T2749" s="8">
        <f t="shared" si="257"/>
        <v>41075.923611111109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41078.691493055558</v>
      </c>
      <c r="T2752" s="8">
        <f t="shared" si="257"/>
        <v>41090.625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41747.678726851846</v>
      </c>
      <c r="T2753" s="8">
        <f t="shared" si="257"/>
        <v>41807.678726851846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(E2755/D2755) * 100</f>
        <v>19</v>
      </c>
      <c r="P2755">
        <f t="shared" ref="P2755:P2818" si="259">E2755/L2755</f>
        <v>47.5</v>
      </c>
      <c r="Q2755" t="str">
        <f t="shared" ref="Q2755:Q2818" si="260">LEFT(N2755,(FIND("/",N2755) - 1))</f>
        <v>publishing</v>
      </c>
      <c r="R2755" t="str">
        <f t="shared" ref="R2755:R2818" si="261">RIGHT(N2755,LEN(N2755)-FIND("/",N2755) )</f>
        <v>children's books</v>
      </c>
      <c r="S2755" s="8">
        <f t="shared" ref="S2755:S2818" si="262">(J2755/86400)+25569+(-5/24)</f>
        <v>41117.692395833328</v>
      </c>
      <c r="T2755" s="8">
        <f t="shared" ref="T2755:T2818" si="263">(I2755/86400)+25569+(-5/24)</f>
        <v>41147.692395833328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41863.427673611106</v>
      </c>
      <c r="T2756" s="8">
        <f t="shared" si="263"/>
        <v>41893.427673611106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41620.692141203697</v>
      </c>
      <c r="T2758" s="8">
        <f t="shared" si="263"/>
        <v>41650.692141203697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40736.459699074076</v>
      </c>
      <c r="T2768" s="8">
        <f t="shared" si="263"/>
        <v>40766.459699074076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41745.617939814816</v>
      </c>
      <c r="T2771" s="8">
        <f t="shared" si="263"/>
        <v>41795.617939814816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42550.49355324074</v>
      </c>
      <c r="T2790" s="8">
        <f t="shared" si="263"/>
        <v>42580.49355324074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(E2819/D2819) * 100</f>
        <v>130</v>
      </c>
      <c r="P2819">
        <f t="shared" ref="P2819:P2882" si="265">E2819/L2819</f>
        <v>23.636363636363637</v>
      </c>
      <c r="Q2819" t="str">
        <f t="shared" ref="Q2819:Q2882" si="266">LEFT(N2819,(FIND("/",N2819) - 1))</f>
        <v>theater</v>
      </c>
      <c r="R2819" t="str">
        <f t="shared" ref="R2819:R2882" si="267">RIGHT(N2819,LEN(N2819)-FIND("/",N2819) )</f>
        <v>plays</v>
      </c>
      <c r="S2819" s="8">
        <f t="shared" ref="S2819:S2882" si="268">(J2819/86400)+25569+(-5/24)</f>
        <v>42023.42664351852</v>
      </c>
      <c r="T2819" s="8">
        <f t="shared" ref="T2819:T2882" si="269">(I2819/86400)+25569+(-5/24)</f>
        <v>42063.42664351852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42291.531215277777</v>
      </c>
      <c r="T2843" s="8">
        <f t="shared" si="269"/>
        <v>42351.572881944441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41784.744155092594</v>
      </c>
      <c r="T2844" s="8">
        <f t="shared" si="269"/>
        <v>41811.25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42480.592314814814</v>
      </c>
      <c r="T2862" s="8">
        <f t="shared" si="269"/>
        <v>42540.592314814814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42672.746805555558</v>
      </c>
      <c r="T2879" s="8">
        <f t="shared" si="269"/>
        <v>42704.499999999993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(E2883/D2883) * 100</f>
        <v>0</v>
      </c>
      <c r="P2883" t="e">
        <f t="shared" ref="P2883:P2946" si="271">E2883/L2883</f>
        <v>#DIV/0!</v>
      </c>
      <c r="Q2883" t="str">
        <f t="shared" ref="Q2883:Q2946" si="272">LEFT(N2883,(FIND("/",N2883) - 1))</f>
        <v>theater</v>
      </c>
      <c r="R2883" t="str">
        <f t="shared" ref="R2883:R2946" si="273">RIGHT(N2883,LEN(N2883)-FIND("/",N2883) )</f>
        <v>plays</v>
      </c>
      <c r="S2883" s="8">
        <f t="shared" ref="S2883:S2946" si="274">(J2883/86400)+25569+(-5/24)</f>
        <v>41916.389305555553</v>
      </c>
      <c r="T2883" s="8">
        <f t="shared" ref="T2883:T2946" si="275">(I2883/86400)+25569+(-5/24)</f>
        <v>41976.430972222217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42444.669409722221</v>
      </c>
      <c r="T2909" s="8">
        <f t="shared" si="275"/>
        <v>42504.669409722221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42499.523368055554</v>
      </c>
      <c r="T2910" s="8">
        <f t="shared" si="275"/>
        <v>42529.523368055554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41863.375787037039</v>
      </c>
      <c r="T2927" s="8">
        <f t="shared" si="275"/>
        <v>41893.375787037039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(E2947/D2947) * 100</f>
        <v>0</v>
      </c>
      <c r="P2947" t="e">
        <f t="shared" ref="P2947:P3010" si="277">E2947/L2947</f>
        <v>#DIV/0!</v>
      </c>
      <c r="Q2947" t="str">
        <f t="shared" ref="Q2947:Q3010" si="278">LEFT(N2947,(FIND("/",N2947) - 1))</f>
        <v>theater</v>
      </c>
      <c r="R2947" t="str">
        <f t="shared" ref="R2947:R3010" si="279">RIGHT(N2947,LEN(N2947)-FIND("/",N2947) )</f>
        <v>spaces</v>
      </c>
      <c r="S2947" s="8">
        <f t="shared" ref="S2947:S3010" si="280">(J2947/86400)+25569+(-5/24)</f>
        <v>42117.931250000001</v>
      </c>
      <c r="T2947" s="8">
        <f t="shared" ref="T2947:T3010" si="281">(I2947/86400)+25569+(-5/24)</f>
        <v>42147.931250000001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42698.507638888885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42654.765370370369</v>
      </c>
      <c r="T2987" s="8">
        <f t="shared" si="281"/>
        <v>42673.958333333336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42511.153715277775</v>
      </c>
      <c r="T2990" s="8">
        <f t="shared" si="281"/>
        <v>42541.153715277775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42090.704166666663</v>
      </c>
      <c r="T2998" s="8">
        <f t="shared" si="281"/>
        <v>42150.704166666663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</v>
      </c>
      <c r="T3008" s="8">
        <f t="shared" si="281"/>
        <v>41987.54850694444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(E3011/D3011) * 100</f>
        <v>119.756</v>
      </c>
      <c r="P3011">
        <f t="shared" ref="P3011:P3074" si="283">E3011/L3011</f>
        <v>233.8984375</v>
      </c>
      <c r="Q3011" t="str">
        <f t="shared" ref="Q3011:Q3074" si="284">LEFT(N3011,(FIND("/",N3011) - 1))</f>
        <v>theater</v>
      </c>
      <c r="R3011" t="str">
        <f t="shared" ref="R3011:R3074" si="285">RIGHT(N3011,LEN(N3011)-FIND("/",N3011) )</f>
        <v>spaces</v>
      </c>
      <c r="S3011" s="8">
        <f t="shared" ref="S3011:S3074" si="286">(J3011/86400)+25569+(-5/24)</f>
        <v>41939.361574074072</v>
      </c>
      <c r="T3011" s="8">
        <f t="shared" ref="T3011:T3074" si="287">(I3011/86400)+25569+(-5/24)</f>
        <v>41969.403240740743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41919.915277777771</v>
      </c>
      <c r="T3016" s="8">
        <f t="shared" si="287"/>
        <v>41948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</v>
      </c>
      <c r="T3020" s="8">
        <f t="shared" si="287"/>
        <v>42205.708333333336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42121.467430555553</v>
      </c>
      <c r="T3025" s="8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41975.692847222221</v>
      </c>
      <c r="T3050" s="8">
        <f t="shared" si="287"/>
        <v>42004.681944444441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42744.207696759258</v>
      </c>
      <c r="T3053" s="8">
        <f t="shared" si="287"/>
        <v>42774.207696759258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42630.714560185188</v>
      </c>
      <c r="T3065" s="8">
        <f t="shared" si="287"/>
        <v>42665.714560185188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(E3075/D3075) * 100</f>
        <v>2.3035714285714284E-2</v>
      </c>
      <c r="P3075">
        <f t="shared" ref="P3075:P3138" si="289">E3075/L3075</f>
        <v>92.142857142857139</v>
      </c>
      <c r="Q3075" t="str">
        <f t="shared" ref="Q3075:Q3138" si="290">LEFT(N3075,(FIND("/",N3075) - 1))</f>
        <v>theater</v>
      </c>
      <c r="R3075" t="str">
        <f t="shared" ref="R3075:R3138" si="291">RIGHT(N3075,LEN(N3075)-FIND("/",N3075) )</f>
        <v>spaces</v>
      </c>
      <c r="S3075" s="8">
        <f t="shared" ref="S3075:S3138" si="292">(J3075/86400)+25569+(-5/24)</f>
        <v>42111.475694444445</v>
      </c>
      <c r="T3075" s="8">
        <f t="shared" ref="T3075:T3138" si="293">(I3075/86400)+25569+(-5/24)</f>
        <v>42169.59652777778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42409.362951388888</v>
      </c>
      <c r="T3076" s="8">
        <f t="shared" si="293"/>
        <v>42439.362951388888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42550.89398148148</v>
      </c>
      <c r="T3077" s="8">
        <f t="shared" si="293"/>
        <v>42600.89398148148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42246.675451388888</v>
      </c>
      <c r="T3087" s="8">
        <f t="shared" si="293"/>
        <v>42276.675451388888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41760.700706018521</v>
      </c>
      <c r="T3095" s="8">
        <f t="shared" si="293"/>
        <v>41790.957638888889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42241.220787037033</v>
      </c>
      <c r="T3108" s="8">
        <f t="shared" si="293"/>
        <v>42263.708333333336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42128.605914351851</v>
      </c>
      <c r="T3109" s="8">
        <f t="shared" si="293"/>
        <v>42135.605914351851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41885.386805555558</v>
      </c>
      <c r="T3113" s="8">
        <f t="shared" si="293"/>
        <v>41916.386805555558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42509.166203703702</v>
      </c>
      <c r="T3119" s="8">
        <f t="shared" si="293"/>
        <v>42517.341666666667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42435.733749999992</v>
      </c>
      <c r="T3122" s="8">
        <f t="shared" si="293"/>
        <v>42495.692083333335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42426.809745370367</v>
      </c>
      <c r="T3128" s="8">
        <f t="shared" si="293"/>
        <v>42456.768078703702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42800.511793981474</v>
      </c>
      <c r="T3136" s="8">
        <f t="shared" si="293"/>
        <v>42821.470127314817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(E3139/D3139) * 100</f>
        <v>3.3333333333333335</v>
      </c>
      <c r="P3139">
        <f t="shared" ref="P3139:P3202" si="295">E3139/L3139</f>
        <v>50</v>
      </c>
      <c r="Q3139" t="str">
        <f t="shared" ref="Q3139:Q3202" si="296">LEFT(N3139,(FIND("/",N3139) - 1))</f>
        <v>theater</v>
      </c>
      <c r="R3139" t="str">
        <f t="shared" ref="R3139:R3202" si="297">RIGHT(N3139,LEN(N3139)-FIND("/",N3139) )</f>
        <v>plays</v>
      </c>
      <c r="S3139" s="8">
        <f t="shared" ref="S3139:S3202" si="298">(J3139/86400)+25569+(-5/24)</f>
        <v>42807.676724537036</v>
      </c>
      <c r="T3139" s="8">
        <f t="shared" ref="T3139:T3202" si="299">(I3139/86400)+25569+(-5/24)</f>
        <v>42858.591666666667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41909.761053240734</v>
      </c>
      <c r="T3149" s="8">
        <f t="shared" si="299"/>
        <v>41949.802719907406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41447.631388888891</v>
      </c>
      <c r="T3160" s="8">
        <f t="shared" si="299"/>
        <v>41477.631388888891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41766.597395833327</v>
      </c>
      <c r="T3166" s="8">
        <f t="shared" si="299"/>
        <v>41799.597395833327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41878.670046296298</v>
      </c>
      <c r="T3175" s="8">
        <f t="shared" si="299"/>
        <v>41908.670046296298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41858.553449074076</v>
      </c>
      <c r="T3201" s="8">
        <f t="shared" si="299"/>
        <v>41888.666666666664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(E3203/D3203) * 100</f>
        <v>1.25</v>
      </c>
      <c r="P3203">
        <f t="shared" ref="P3203:P3266" si="301">E3203/L3203</f>
        <v>12.5</v>
      </c>
      <c r="Q3203" t="str">
        <f t="shared" ref="Q3203:Q3266" si="302">LEFT(N3203,(FIND("/",N3203) - 1))</f>
        <v>theater</v>
      </c>
      <c r="R3203" t="str">
        <f t="shared" ref="R3203:R3266" si="303">RIGHT(N3203,LEN(N3203)-FIND("/",N3203) )</f>
        <v>musical</v>
      </c>
      <c r="S3203" s="8">
        <f t="shared" ref="S3203:S3266" si="304">(J3203/86400)+25569+(-5/24)</f>
        <v>41861.558761574073</v>
      </c>
      <c r="T3203" s="8">
        <f t="shared" ref="T3203:T3266" si="305">(I3203/86400)+25569+(-5/24)</f>
        <v>41882.558761574073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</v>
      </c>
      <c r="T3211" s="8">
        <f t="shared" si="305"/>
        <v>41810.75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41834.378240740734</v>
      </c>
      <c r="T3213" s="8">
        <f t="shared" si="305"/>
        <v>41865.875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42206.627037037033</v>
      </c>
      <c r="T3225" s="8">
        <f t="shared" si="305"/>
        <v>42236.627037037033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41897.959791666661</v>
      </c>
      <c r="T3232" s="8">
        <f t="shared" si="305"/>
        <v>41912.957638888889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(E3267/D3267) * 100</f>
        <v>164</v>
      </c>
      <c r="P3267">
        <f t="shared" ref="P3267:P3330" si="307">E3267/L3267</f>
        <v>70.285714285714292</v>
      </c>
      <c r="Q3267" t="str">
        <f t="shared" ref="Q3267:Q3330" si="308">LEFT(N3267,(FIND("/",N3267) - 1))</f>
        <v>theater</v>
      </c>
      <c r="R3267" t="str">
        <f t="shared" ref="R3267:R3330" si="309">RIGHT(N3267,LEN(N3267)-FIND("/",N3267) )</f>
        <v>plays</v>
      </c>
      <c r="S3267" s="8">
        <f t="shared" ref="S3267:S3330" si="310">(J3267/86400)+25569+(-5/24)</f>
        <v>42311.503645833327</v>
      </c>
      <c r="T3267" s="8">
        <f t="shared" ref="T3267:T3330" si="311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42136.327800925923</v>
      </c>
      <c r="T3268" s="8">
        <f t="shared" si="311"/>
        <v>42167.666666666664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42137.187465277777</v>
      </c>
      <c r="T3271" s="8">
        <f t="shared" si="311"/>
        <v>42171.249999999993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41931.474606481475</v>
      </c>
      <c r="T3279" s="8">
        <f t="shared" si="311"/>
        <v>41961.516273148147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42430.894201388888</v>
      </c>
      <c r="T3281" s="8">
        <f t="shared" si="311"/>
        <v>42460.852534722224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42538.527499999997</v>
      </c>
      <c r="T3303" s="8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</v>
      </c>
      <c r="T3317" s="8">
        <f t="shared" si="311"/>
        <v>42496.09538194444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42498.831296296295</v>
      </c>
      <c r="T3319" s="8">
        <f t="shared" si="311"/>
        <v>42528.831296296295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(E3331/D3331) * 100</f>
        <v>116.8</v>
      </c>
      <c r="P3331">
        <f t="shared" ref="P3331:P3394" si="313">E3331/L3331</f>
        <v>44.92307692307692</v>
      </c>
      <c r="Q3331" t="str">
        <f t="shared" ref="Q3331:Q3394" si="314">LEFT(N3331,(FIND("/",N3331) - 1))</f>
        <v>theater</v>
      </c>
      <c r="R3331" t="str">
        <f t="shared" ref="R3331:R3394" si="315">RIGHT(N3331,LEN(N3331)-FIND("/",N3331) )</f>
        <v>plays</v>
      </c>
      <c r="S3331" s="8">
        <f t="shared" ref="S3331:S3394" si="316">(J3331/86400)+25569+(-5/24)</f>
        <v>41837.114675925921</v>
      </c>
      <c r="T3331" s="8">
        <f t="shared" ref="T3331:T3394" si="317">(I3331/86400)+25569+(-5/24)</f>
        <v>41847.75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42437.190347222218</v>
      </c>
      <c r="T3338" s="8">
        <f t="shared" si="317"/>
        <v>42465.148680555554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42062.088078703702</v>
      </c>
      <c r="T3344" s="8">
        <f t="shared" si="317"/>
        <v>42094.999305555553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42320.893425925919</v>
      </c>
      <c r="T3367" s="8">
        <f t="shared" si="317"/>
        <v>42350.893425925919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42053.524293981478</v>
      </c>
      <c r="T3379" s="8">
        <f t="shared" si="317"/>
        <v>42083.49722222222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41937.745115740741</v>
      </c>
      <c r="T3382" s="8">
        <f t="shared" si="317"/>
        <v>41972.786782407406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41947.554259259261</v>
      </c>
      <c r="T3389" s="8">
        <f t="shared" si="317"/>
        <v>41987.554259259261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41815.566493055558</v>
      </c>
      <c r="T3392" s="8">
        <f t="shared" si="317"/>
        <v>41830.566493055558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41859.727777777771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(E3395/D3395) * 100</f>
        <v>105.80000000000001</v>
      </c>
      <c r="P3395">
        <f t="shared" ref="P3395:P3458" si="319">E3395/L3395</f>
        <v>36.06818181818182</v>
      </c>
      <c r="Q3395" t="str">
        <f t="shared" ref="Q3395:Q3458" si="320">LEFT(N3395,(FIND("/",N3395) - 1))</f>
        <v>theater</v>
      </c>
      <c r="R3395" t="str">
        <f t="shared" ref="R3395:R3458" si="321">RIGHT(N3395,LEN(N3395)-FIND("/",N3395) )</f>
        <v>plays</v>
      </c>
      <c r="S3395" s="8">
        <f t="shared" ref="S3395:S3458" si="322">(J3395/86400)+25569+(-5/24)</f>
        <v>41923.713310185187</v>
      </c>
      <c r="T3395" s="8">
        <f t="shared" ref="T3395:T3458" si="323">(I3395/86400)+25569+(-5/24)</f>
        <v>41948.823611111111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42140.503981481474</v>
      </c>
      <c r="T3397" s="8">
        <f t="shared" si="323"/>
        <v>42154.548611111109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41764.238298611112</v>
      </c>
      <c r="T3398" s="8">
        <f t="shared" si="323"/>
        <v>41790.957638888889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41941.543703703697</v>
      </c>
      <c r="T3400" s="8">
        <f t="shared" si="323"/>
        <v>41964.499999999993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42544.605995370366</v>
      </c>
      <c r="T3411" s="8">
        <f t="shared" si="323"/>
        <v>42582.665277777771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41937.821527777771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41775.854803240734</v>
      </c>
      <c r="T3435" s="8">
        <f t="shared" si="323"/>
        <v>41806.916666666664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41800.172094907401</v>
      </c>
      <c r="T3436" s="8">
        <f t="shared" si="323"/>
        <v>41830.172094907401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41872.477777777771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42100.719525462962</v>
      </c>
      <c r="T3440" s="8">
        <f t="shared" si="323"/>
        <v>42126.666666666664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42124.632777777777</v>
      </c>
      <c r="T3444" s="8">
        <f t="shared" si="323"/>
        <v>42154.632777777777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(E3459/D3459) * 100</f>
        <v>140.19999999999999</v>
      </c>
      <c r="P3459">
        <f t="shared" ref="P3459:P3522" si="325">E3459/L3459</f>
        <v>50.981818181818184</v>
      </c>
      <c r="Q3459" t="str">
        <f t="shared" ref="Q3459:Q3522" si="326">LEFT(N3459,(FIND("/",N3459) - 1))</f>
        <v>theater</v>
      </c>
      <c r="R3459" t="str">
        <f t="shared" ref="R3459:R3522" si="327">RIGHT(N3459,LEN(N3459)-FIND("/",N3459) )</f>
        <v>plays</v>
      </c>
      <c r="S3459" s="8">
        <f t="shared" ref="S3459:S3522" si="328">(J3459/86400)+25569+(-5/24)</f>
        <v>42016.498344907406</v>
      </c>
      <c r="T3459" s="8">
        <f t="shared" ref="T3459:T3522" si="329">(I3459/86400)+25569+(-5/24)</f>
        <v>42047.040972222218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41852.318888888891</v>
      </c>
      <c r="T3462" s="8">
        <f t="shared" si="329"/>
        <v>41866.318888888891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42605.55704861111</v>
      </c>
      <c r="T3470" s="8">
        <f t="shared" si="329"/>
        <v>42633.916666666664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41841.61215277778</v>
      </c>
      <c r="T3473" s="8">
        <f t="shared" si="329"/>
        <v>41882.625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42053.708587962959</v>
      </c>
      <c r="T3480" s="8">
        <f t="shared" si="329"/>
        <v>42079.666666666664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41781.64675925926</v>
      </c>
      <c r="T3481" s="8">
        <f t="shared" si="329"/>
        <v>41811.64675925926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41989.039212962962</v>
      </c>
      <c r="T3483" s="8">
        <f t="shared" si="329"/>
        <v>42006.039212962962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41915.554502314808</v>
      </c>
      <c r="T3497" s="8">
        <f t="shared" si="329"/>
        <v>41944.512499999997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42511.53361111111</v>
      </c>
      <c r="T3499" s="8">
        <f t="shared" si="329"/>
        <v>42523.708333333336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42419.711087962962</v>
      </c>
      <c r="T3502" s="8">
        <f t="shared" si="329"/>
        <v>42435.999305555553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41794.609189814808</v>
      </c>
      <c r="T3519" s="8">
        <f t="shared" si="329"/>
        <v>41824.25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(E3523/D3523) * 100</f>
        <v>169.42857142857144</v>
      </c>
      <c r="P3523">
        <f t="shared" ref="P3523:P3586" si="331">E3523/L3523</f>
        <v>45.615384615384613</v>
      </c>
      <c r="Q3523" t="str">
        <f t="shared" ref="Q3523:Q3586" si="332">LEFT(N3523,(FIND("/",N3523) - 1))</f>
        <v>theater</v>
      </c>
      <c r="R3523" t="str">
        <f t="shared" ref="R3523:R3586" si="333">RIGHT(N3523,LEN(N3523)-FIND("/",N3523) )</f>
        <v>plays</v>
      </c>
      <c r="S3523" s="8">
        <f t="shared" ref="S3523:S3586" si="334">(J3523/86400)+25569+(-5/24)</f>
        <v>41881.153009259258</v>
      </c>
      <c r="T3523" s="8">
        <f t="shared" ref="T3523:T3586" si="335">(I3523/86400)+25569+(-5/24)</f>
        <v>41911.153009259258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42248.431828703702</v>
      </c>
      <c r="T3537" s="8">
        <f t="shared" si="335"/>
        <v>42279.541666666664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41923.146018518521</v>
      </c>
      <c r="T3539" s="8">
        <f t="shared" si="335"/>
        <v>41960.124305555553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42691.275393518517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</v>
      </c>
      <c r="T3562" s="8">
        <f t="shared" si="335"/>
        <v>42150.906249999993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42221.566666666666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42236.414918981478</v>
      </c>
      <c r="T3566" s="8">
        <f t="shared" si="335"/>
        <v>42282.458333333336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</v>
      </c>
      <c r="T3572" s="8">
        <f t="shared" si="335"/>
        <v>42004.083333333336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41926.734351851854</v>
      </c>
      <c r="T3576" s="8">
        <f t="shared" si="335"/>
        <v>41956.776018518511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(E3587/D3587) * 100</f>
        <v>119.11764705882352</v>
      </c>
      <c r="P3587">
        <f t="shared" ref="P3587:P3650" si="337">E3587/L3587</f>
        <v>176.08695652173913</v>
      </c>
      <c r="Q3587" t="str">
        <f t="shared" ref="Q3587:Q3650" si="338">LEFT(N3587,(FIND("/",N3587) - 1))</f>
        <v>theater</v>
      </c>
      <c r="R3587" t="str">
        <f t="shared" ref="R3587:R3650" si="339">RIGHT(N3587,LEN(N3587)-FIND("/",N3587) )</f>
        <v>plays</v>
      </c>
      <c r="S3587" s="8">
        <f t="shared" ref="S3587:S3650" si="340">(J3587/86400)+25569+(-5/24)</f>
        <v>41964.507986111108</v>
      </c>
      <c r="T3587" s="8">
        <f t="shared" ref="T3587:T3650" si="341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42506.501041666663</v>
      </c>
      <c r="T3610" s="8">
        <f t="shared" si="341"/>
        <v>42538.374999999993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42429.783391203702</v>
      </c>
      <c r="T3611" s="8">
        <f t="shared" si="341"/>
        <v>42459.741724537038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41789.518645833326</v>
      </c>
      <c r="T3614" s="8">
        <f t="shared" si="341"/>
        <v>41799.518645833326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42660.923912037033</v>
      </c>
      <c r="T3621" s="8">
        <f t="shared" si="341"/>
        <v>42693.708333333336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42545.56585648148</v>
      </c>
      <c r="T3626" s="8">
        <f t="shared" si="341"/>
        <v>42605.56585648148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42226.486446759256</v>
      </c>
      <c r="T3638" s="8">
        <f t="shared" si="341"/>
        <v>42261.486446759256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</v>
      </c>
      <c r="T3643" s="8">
        <f t="shared" si="341"/>
        <v>41917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(E3651/D3651) * 100</f>
        <v>104</v>
      </c>
      <c r="P3651">
        <f t="shared" ref="P3651:P3714" si="343">E3651/L3651</f>
        <v>97.5</v>
      </c>
      <c r="Q3651" t="str">
        <f t="shared" ref="Q3651:Q3714" si="344">LEFT(N3651,(FIND("/",N3651) - 1))</f>
        <v>theater</v>
      </c>
      <c r="R3651" t="str">
        <f t="shared" ref="R3651:R3714" si="345">RIGHT(N3651,LEN(N3651)-FIND("/",N3651) )</f>
        <v>plays</v>
      </c>
      <c r="S3651" s="8">
        <f t="shared" ref="S3651:S3714" si="346">(J3651/86400)+25569+(-5/24)</f>
        <v>41780.504560185182</v>
      </c>
      <c r="T3651" s="8">
        <f t="shared" ref="T3651:T3714" si="347">(I3651/86400)+25569+(-5/24)</f>
        <v>41806.504560185182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42737.701805555553</v>
      </c>
      <c r="T3658" s="8">
        <f t="shared" si="347"/>
        <v>42767.749305555553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</v>
      </c>
      <c r="T3659" s="8">
        <f t="shared" si="347"/>
        <v>42522.695833333331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42173.761793981474</v>
      </c>
      <c r="T3669" s="8">
        <f t="shared" si="347"/>
        <v>42203.761793981474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41802.365949074076</v>
      </c>
      <c r="T3679" s="8">
        <f t="shared" si="347"/>
        <v>41822.957638888889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42627.245763888888</v>
      </c>
      <c r="T3682" s="8">
        <f t="shared" si="347"/>
        <v>42648.245763888888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</v>
      </c>
      <c r="T3692" s="8">
        <f t="shared" si="347"/>
        <v>41970.431516203702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41809.933865740742</v>
      </c>
      <c r="T3710" s="8">
        <f t="shared" si="347"/>
        <v>41823.933865740742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42133.963738425919</v>
      </c>
      <c r="T3714" s="8">
        <f t="shared" si="347"/>
        <v>42155.082638888889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(E3715/D3715) * 100</f>
        <v>101.49999999999999</v>
      </c>
      <c r="P3715">
        <f t="shared" ref="P3715:P3778" si="349">E3715/L3715</f>
        <v>106.84210526315789</v>
      </c>
      <c r="Q3715" t="str">
        <f t="shared" ref="Q3715:Q3778" si="350">LEFT(N3715,(FIND("/",N3715) - 1))</f>
        <v>theater</v>
      </c>
      <c r="R3715" t="str">
        <f t="shared" ref="R3715:R3778" si="351">RIGHT(N3715,LEN(N3715)-FIND("/",N3715) )</f>
        <v>plays</v>
      </c>
      <c r="S3715" s="8">
        <f t="shared" ref="S3715:S3778" si="352">(J3715/86400)+25569+(-5/24)</f>
        <v>42505.529699074068</v>
      </c>
      <c r="T3715" s="8">
        <f t="shared" ref="T3715:T3778" si="353">(I3715/86400)+25569+(-5/24)</f>
        <v>42525.529699074068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42118.347997685181</v>
      </c>
      <c r="T3716" s="8">
        <f t="shared" si="353"/>
        <v>42149.957638888889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41943.544699074067</v>
      </c>
      <c r="T3725" s="8">
        <f t="shared" si="353"/>
        <v>41973.586365740739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42465.283101851848</v>
      </c>
      <c r="T3726" s="8">
        <f t="shared" si="353"/>
        <v>42494.749999999993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42461.932534722218</v>
      </c>
      <c r="T3728" s="8">
        <f t="shared" si="353"/>
        <v>42489.666666666664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41831.489606481475</v>
      </c>
      <c r="T3747" s="8">
        <f t="shared" si="353"/>
        <v>41861.489606481475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41747.263171296298</v>
      </c>
      <c r="T3760" s="8">
        <f t="shared" si="353"/>
        <v>41778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42655.796840277777</v>
      </c>
      <c r="T3775" s="8">
        <f t="shared" si="353"/>
        <v>42688.880555555552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(E3779/D3779) * 100</f>
        <v>143.19999999999999</v>
      </c>
      <c r="P3779">
        <f t="shared" ref="P3779:P3842" si="355">E3779/L3779</f>
        <v>48.542372881355931</v>
      </c>
      <c r="Q3779" t="str">
        <f t="shared" ref="Q3779:Q3842" si="356">LEFT(N3779,(FIND("/",N3779) - 1))</f>
        <v>theater</v>
      </c>
      <c r="R3779" t="str">
        <f t="shared" ref="R3779:R3842" si="357">RIGHT(N3779,LEN(N3779)-FIND("/",N3779) )</f>
        <v>musical</v>
      </c>
      <c r="S3779" s="8">
        <f t="shared" ref="S3779:S3842" si="358">(J3779/86400)+25569+(-5/24)</f>
        <v>41886.903020833335</v>
      </c>
      <c r="T3779" s="8">
        <f t="shared" ref="T3779:T3842" si="359">(I3779/86400)+25569+(-5/24)</f>
        <v>41908.958333333328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42198.629166666666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42546.653900462959</v>
      </c>
      <c r="T3784" s="8">
        <f t="shared" si="359"/>
        <v>42575.749999999993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41831.514444444438</v>
      </c>
      <c r="T3800" s="8">
        <f t="shared" si="359"/>
        <v>41861.514444444438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41963.664027777777</v>
      </c>
      <c r="T3835" s="8">
        <f t="shared" si="359"/>
        <v>41974.589583333327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42154.934305555558</v>
      </c>
      <c r="T3841" s="8">
        <f t="shared" si="359"/>
        <v>42214.934305555558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(E3843/D3843) * 100</f>
        <v>8.7200000000000006</v>
      </c>
      <c r="P3843">
        <f t="shared" ref="P3843:P3906" si="361">E3843/L3843</f>
        <v>25.647058823529413</v>
      </c>
      <c r="Q3843" t="str">
        <f t="shared" ref="Q3843:Q3906" si="362">LEFT(N3843,(FIND("/",N3843) - 1))</f>
        <v>theater</v>
      </c>
      <c r="R3843" t="str">
        <f t="shared" ref="R3843:R3906" si="363">RIGHT(N3843,LEN(N3843)-FIND("/",N3843) )</f>
        <v>plays</v>
      </c>
      <c r="S3843" s="8">
        <f t="shared" ref="S3843:S3906" si="364">(J3843/86400)+25569+(-5/24)</f>
        <v>41780.57739583333</v>
      </c>
      <c r="T3843" s="8">
        <f t="shared" ref="T3843:T3906" si="365">(I3843/86400)+25569+(-5/24)</f>
        <v>41840.57739583333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42248.418680555558</v>
      </c>
      <c r="T3847" s="8">
        <f t="shared" si="365"/>
        <v>42278.418680555558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42128.222731481474</v>
      </c>
      <c r="T3860" s="8">
        <f t="shared" si="365"/>
        <v>42146.666666666664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41833.452662037038</v>
      </c>
      <c r="T3862" s="8">
        <f t="shared" si="365"/>
        <v>41863.452662037038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41865.45144675926</v>
      </c>
      <c r="T3870" s="8">
        <f t="shared" si="365"/>
        <v>41890.45144675926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41792.963865740741</v>
      </c>
      <c r="T3872" s="8">
        <f t="shared" si="365"/>
        <v>41822.963865740741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hidden="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41867.443946759253</v>
      </c>
      <c r="T3894" s="8">
        <f t="shared" si="365"/>
        <v>41875.083333333328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41843.566678240742</v>
      </c>
      <c r="T3901" s="8">
        <f t="shared" si="365"/>
        <v>41863.566678240742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42317.618043981478</v>
      </c>
      <c r="T3903" s="8">
        <f t="shared" si="365"/>
        <v>42357.618043981478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(E3907/D3907) * 100</f>
        <v>11.533333333333333</v>
      </c>
      <c r="P3907">
        <f t="shared" ref="P3907:P3970" si="367">E3907/L3907</f>
        <v>24.714285714285715</v>
      </c>
      <c r="Q3907" t="str">
        <f t="shared" ref="Q3907:Q3970" si="368">LEFT(N3907,(FIND("/",N3907) - 1))</f>
        <v>theater</v>
      </c>
      <c r="R3907" t="str">
        <f t="shared" ref="R3907:R3970" si="369">RIGHT(N3907,LEN(N3907)-FIND("/",N3907) )</f>
        <v>plays</v>
      </c>
      <c r="S3907" s="8">
        <f t="shared" ref="S3907:S3970" si="370">(J3907/86400)+25569+(-5/24)</f>
        <v>42124.415543981479</v>
      </c>
      <c r="T3907" s="8">
        <f t="shared" ref="T3907:T3970" si="371">(I3907/86400)+25569+(-5/24)</f>
        <v>42166.749999999993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42114.610601851855</v>
      </c>
      <c r="T3916" s="8">
        <f t="shared" si="371"/>
        <v>42134.749305555553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42687.220601851848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42221.448449074072</v>
      </c>
      <c r="T3937" s="8">
        <f t="shared" si="371"/>
        <v>42281.448449074072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42151.697384259256</v>
      </c>
      <c r="T3940" s="8">
        <f t="shared" si="371"/>
        <v>42182.697384259256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41829.117164351854</v>
      </c>
      <c r="T3950" s="8">
        <f t="shared" si="371"/>
        <v>41889.117164351854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42513.76798611111</v>
      </c>
      <c r="T3959" s="8">
        <f t="shared" si="371"/>
        <v>42559.76798611111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41816.742037037031</v>
      </c>
      <c r="T3960" s="8">
        <f t="shared" si="371"/>
        <v>41853.375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(E3971/D3971) * 100</f>
        <v>7.4690265486725664</v>
      </c>
      <c r="P3971">
        <f t="shared" ref="P3971:P4034" si="373">E3971/L3971</f>
        <v>35.166666666666664</v>
      </c>
      <c r="Q3971" t="str">
        <f t="shared" ref="Q3971:Q4034" si="374">LEFT(N3971,(FIND("/",N3971) - 1))</f>
        <v>theater</v>
      </c>
      <c r="R3971" t="str">
        <f t="shared" ref="R3971:R4034" si="375">RIGHT(N3971,LEN(N3971)-FIND("/",N3971) )</f>
        <v>plays</v>
      </c>
      <c r="S3971" s="8">
        <f t="shared" ref="S3971:S4034" si="376">(J3971/86400)+25569+(-5/24)</f>
        <v>42601.646365740737</v>
      </c>
      <c r="T3971" s="8">
        <f t="shared" ref="T3971:T4034" si="377">(I3971/86400)+25569+(-5/24)</f>
        <v>42610.954861111109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42447.655219907407</v>
      </c>
      <c r="T3972" s="8">
        <f t="shared" si="377"/>
        <v>42477.655219907407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41920.75513888889</v>
      </c>
      <c r="T3986" s="8">
        <f t="shared" si="377"/>
        <v>41950.791666666664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41950.058611111112</v>
      </c>
      <c r="T3998" s="8">
        <f t="shared" si="377"/>
        <v>41963.461111111108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41877.477777777771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42174.572488425925</v>
      </c>
      <c r="T4017" s="8">
        <f t="shared" si="377"/>
        <v>42204.572488425925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41990.375775462962</v>
      </c>
      <c r="T4024" s="8">
        <f t="shared" si="377"/>
        <v>42035.912499999999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42408.791238425925</v>
      </c>
      <c r="T4025" s="8">
        <f t="shared" si="377"/>
        <v>42453.749571759261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42321.816782407404</v>
      </c>
      <c r="T4031" s="8">
        <f t="shared" si="377"/>
        <v>42351.816782407404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42403.575694444444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(E4035/D4035) * 100</f>
        <v>25.698702928870294</v>
      </c>
      <c r="P4035">
        <f t="shared" ref="P4035:P4098" si="379">E4035/L4035</f>
        <v>65.340319148936175</v>
      </c>
      <c r="Q4035" t="str">
        <f t="shared" ref="Q4035:Q4098" si="380">LEFT(N4035,(FIND("/",N4035) - 1))</f>
        <v>theater</v>
      </c>
      <c r="R4035" t="str">
        <f t="shared" ref="R4035:R4098" si="381">RIGHT(N4035,LEN(N4035)-FIND("/",N4035) )</f>
        <v>plays</v>
      </c>
      <c r="S4035" s="8">
        <f t="shared" ref="S4035:S4098" si="382">(J4035/86400)+25569+(-5/24)</f>
        <v>42614.06046296296</v>
      </c>
      <c r="T4035" s="8">
        <f t="shared" ref="T4035:T4098" si="383">(I4035/86400)+25569+(-5/24)</f>
        <v>42645.166666666664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41903.674618055556</v>
      </c>
      <c r="T4037" s="8">
        <f t="shared" si="383"/>
        <v>41933.674618055556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41804.728750000002</v>
      </c>
      <c r="T4038" s="8">
        <f t="shared" si="383"/>
        <v>41821.729166666664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42496.862442129626</v>
      </c>
      <c r="T4039" s="8">
        <f t="shared" si="383"/>
        <v>42514.392361111109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41869.590393518512</v>
      </c>
      <c r="T4040" s="8">
        <f t="shared" si="383"/>
        <v>41929.590393518512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41761.601817129624</v>
      </c>
      <c r="T4053" s="8">
        <f t="shared" si="383"/>
        <v>41768.078472222223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42534.724988425922</v>
      </c>
      <c r="T4058" s="8">
        <f t="shared" si="383"/>
        <v>42554.624305555553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42078.136874999997</v>
      </c>
      <c r="T4075" s="8">
        <f t="shared" si="383"/>
        <v>42132.958333333336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41905.587372685179</v>
      </c>
      <c r="T4078" s="8">
        <f t="shared" si="383"/>
        <v>41933.618750000001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42535.579166666663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42020.226388888885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42794.160416666666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(E4099/D4099) * 100</f>
        <v>0</v>
      </c>
      <c r="P4099" t="e">
        <f t="shared" ref="P4099:P4115" si="385">E4099/L4099</f>
        <v>#DIV/0!</v>
      </c>
      <c r="Q4099" t="str">
        <f t="shared" ref="Q4099:Q4115" si="386">LEFT(N4099,(FIND("/",N4099) - 1))</f>
        <v>theater</v>
      </c>
      <c r="R4099" t="str">
        <f t="shared" ref="R4099:R4115" si="387">RIGHT(N4099,LEN(N4099)-FIND("/",N4099) )</f>
        <v>plays</v>
      </c>
      <c r="S4099" s="8">
        <f t="shared" ref="S4099:S4115" si="388">(J4099/86400)+25569+(-5/24)</f>
        <v>42344.616168981483</v>
      </c>
      <c r="T4099" s="8">
        <f t="shared" ref="T4099:T4115" si="389">(I4099/86400)+25569+(-5/24)</f>
        <v>42400.788194444445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42766.823344907403</v>
      </c>
      <c r="T4110" s="8">
        <f t="shared" si="389"/>
        <v>42796.999999999993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42512.418414351851</v>
      </c>
      <c r="T4112" s="8">
        <f t="shared" si="389"/>
        <v>42572.418414351851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autoFilter ref="A1:T4115" xr:uid="{45B3ADB3-F4DC-4D10-8263-C888A13A8CAE}">
    <filterColumn colId="3">
      <filters>
        <filter val="5000"/>
        <filter val="5250"/>
        <filter val="5400"/>
        <filter val="5494"/>
        <filter val="5500"/>
        <filter val="5555.55"/>
        <filter val="5800"/>
        <filter val="5862"/>
        <filter val="5875"/>
        <filter val="6000"/>
        <filter val="6350"/>
        <filter val="6450"/>
        <filter val="6500"/>
        <filter val="6700"/>
        <filter val="6900"/>
        <filter val="6999"/>
        <filter val="7000"/>
        <filter val="7200"/>
        <filter val="7214"/>
        <filter val="7500"/>
        <filter val="7501"/>
        <filter val="7750"/>
        <filter val="7777"/>
        <filter val="7900"/>
        <filter val="8000"/>
        <filter val="8012"/>
        <filter val="8200"/>
        <filter val="8300"/>
        <filter val="8400"/>
        <filter val="8500"/>
        <filter val="8600"/>
        <filter val="8750"/>
        <filter val="8925"/>
        <filter val="9000"/>
        <filter val="9072"/>
        <filter val="9500"/>
        <filter val="9665"/>
        <filter val="9800"/>
        <filter val="9850"/>
        <filter val="9999"/>
      </filters>
    </filterColumn>
    <filterColumn colId="5">
      <filters>
        <filter val="successful"/>
      </filters>
    </filterColumn>
  </autoFilter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led">
      <formula>NOT(ISERROR(SEARCH("cancelled",F2)))</formula>
    </cfRule>
    <cfRule type="containsText" dxfId="1" priority="4" operator="containsText" text="failed">
      <formula>NOT(ISERROR(SEARCH("failed",F2)))</formula>
    </cfRule>
    <cfRule type="containsText" dxfId="0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7C101-2BDB-4770-BFB9-F6243A3A414F}">
  <dimension ref="A1:A13"/>
  <sheetViews>
    <sheetView workbookViewId="0">
      <selection activeCell="A11" sqref="A11"/>
    </sheetView>
  </sheetViews>
  <sheetFormatPr defaultRowHeight="14.4" x14ac:dyDescent="0.3"/>
  <sheetData>
    <row r="1" spans="1:1" ht="15" x14ac:dyDescent="0.35">
      <c r="A1" s="16" t="s">
        <v>8403</v>
      </c>
    </row>
    <row r="2" spans="1:1" ht="15" x14ac:dyDescent="0.35">
      <c r="A2" s="14" t="s">
        <v>8408</v>
      </c>
    </row>
    <row r="3" spans="1:1" x14ac:dyDescent="0.3">
      <c r="A3" t="s">
        <v>8399</v>
      </c>
    </row>
    <row r="4" spans="1:1" x14ac:dyDescent="0.3">
      <c r="A4" t="s">
        <v>8400</v>
      </c>
    </row>
    <row r="5" spans="1:1" x14ac:dyDescent="0.3">
      <c r="A5" t="s">
        <v>8401</v>
      </c>
    </row>
    <row r="6" spans="1:1" x14ac:dyDescent="0.3">
      <c r="A6" t="s">
        <v>8402</v>
      </c>
    </row>
    <row r="8" spans="1:1" ht="15" x14ac:dyDescent="0.35">
      <c r="A8" s="16" t="s">
        <v>8404</v>
      </c>
    </row>
    <row r="9" spans="1:1" x14ac:dyDescent="0.3">
      <c r="A9" s="15" t="s">
        <v>8405</v>
      </c>
    </row>
    <row r="11" spans="1:1" x14ac:dyDescent="0.3">
      <c r="A11" s="10" t="s">
        <v>8406</v>
      </c>
    </row>
    <row r="12" spans="1:1" x14ac:dyDescent="0.3">
      <c r="A12" t="s">
        <v>8407</v>
      </c>
    </row>
    <row r="13" spans="1:1" x14ac:dyDescent="0.3">
      <c r="A13" t="s">
        <v>8409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BB3D86-B677-4FAB-B774-CF029F6AD1D9}">
  <dimension ref="A1:F14"/>
  <sheetViews>
    <sheetView workbookViewId="0">
      <selection activeCell="A3" activeCellId="1" sqref="A1:B1 A3:F1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8310</v>
      </c>
    </row>
    <row r="3" spans="1:6" x14ac:dyDescent="0.3">
      <c r="A3" s="5" t="s">
        <v>8311</v>
      </c>
      <c r="B3" s="5" t="s">
        <v>8312</v>
      </c>
    </row>
    <row r="4" spans="1:6" x14ac:dyDescent="0.3">
      <c r="A4" s="5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3">
      <c r="A5" s="7" t="s">
        <v>8315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3">
      <c r="A6" s="7" t="s">
        <v>8316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3">
      <c r="A7" s="7" t="s">
        <v>8317</v>
      </c>
      <c r="B7" s="6"/>
      <c r="C7" s="6">
        <v>140</v>
      </c>
      <c r="D7" s="6"/>
      <c r="E7" s="6">
        <v>80</v>
      </c>
      <c r="F7" s="6">
        <v>220</v>
      </c>
    </row>
    <row r="8" spans="1:6" x14ac:dyDescent="0.3">
      <c r="A8" s="7" t="s">
        <v>8318</v>
      </c>
      <c r="B8" s="6">
        <v>24</v>
      </c>
      <c r="C8" s="6"/>
      <c r="D8" s="6"/>
      <c r="E8" s="6"/>
      <c r="F8" s="6">
        <v>24</v>
      </c>
    </row>
    <row r="9" spans="1:6" x14ac:dyDescent="0.3">
      <c r="A9" s="7" t="s">
        <v>8319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3">
      <c r="A10" s="7" t="s">
        <v>8320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3">
      <c r="A11" s="7" t="s">
        <v>8321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3">
      <c r="A12" s="7" t="s">
        <v>8322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3">
      <c r="A13" s="7" t="s">
        <v>8323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3">
      <c r="A14" s="7" t="s">
        <v>8313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CD2C02-0142-4401-9C1F-4A6A0160A93A}">
  <dimension ref="A1:F47"/>
  <sheetViews>
    <sheetView workbookViewId="0">
      <selection activeCell="A4" sqref="A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8223</v>
      </c>
      <c r="B1" t="s">
        <v>8310</v>
      </c>
    </row>
    <row r="2" spans="1:6" x14ac:dyDescent="0.3">
      <c r="A2" s="5" t="s">
        <v>8308</v>
      </c>
      <c r="B2" t="s">
        <v>8310</v>
      </c>
    </row>
    <row r="4" spans="1:6" x14ac:dyDescent="0.3">
      <c r="A4" s="5" t="s">
        <v>8311</v>
      </c>
      <c r="B4" s="5" t="s">
        <v>8312</v>
      </c>
    </row>
    <row r="5" spans="1:6" x14ac:dyDescent="0.3">
      <c r="A5" s="5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7" t="s">
        <v>8324</v>
      </c>
      <c r="B6" s="6"/>
      <c r="C6" s="6">
        <v>100</v>
      </c>
      <c r="D6" s="6"/>
      <c r="E6" s="6"/>
      <c r="F6" s="6">
        <v>100</v>
      </c>
    </row>
    <row r="7" spans="1:6" x14ac:dyDescent="0.3">
      <c r="A7" s="7" t="s">
        <v>8325</v>
      </c>
      <c r="B7" s="6">
        <v>20</v>
      </c>
      <c r="C7" s="6"/>
      <c r="D7" s="6"/>
      <c r="E7" s="6"/>
      <c r="F7" s="6">
        <v>20</v>
      </c>
    </row>
    <row r="8" spans="1:6" x14ac:dyDescent="0.3">
      <c r="A8" s="7" t="s">
        <v>8326</v>
      </c>
      <c r="B8" s="6">
        <v>24</v>
      </c>
      <c r="C8" s="6"/>
      <c r="D8" s="6"/>
      <c r="E8" s="6"/>
      <c r="F8" s="6">
        <v>24</v>
      </c>
    </row>
    <row r="9" spans="1:6" x14ac:dyDescent="0.3">
      <c r="A9" s="7" t="s">
        <v>8327</v>
      </c>
      <c r="B9" s="6"/>
      <c r="C9" s="6">
        <v>40</v>
      </c>
      <c r="D9" s="6"/>
      <c r="E9" s="6"/>
      <c r="F9" s="6">
        <v>40</v>
      </c>
    </row>
    <row r="10" spans="1:6" x14ac:dyDescent="0.3">
      <c r="A10" s="7" t="s">
        <v>8328</v>
      </c>
      <c r="B10" s="6"/>
      <c r="C10" s="6"/>
      <c r="D10" s="6"/>
      <c r="E10" s="6">
        <v>40</v>
      </c>
      <c r="F10" s="6">
        <v>40</v>
      </c>
    </row>
    <row r="11" spans="1:6" x14ac:dyDescent="0.3">
      <c r="A11" s="7" t="s">
        <v>8329</v>
      </c>
      <c r="B11" s="6"/>
      <c r="C11" s="6"/>
      <c r="D11" s="6"/>
      <c r="E11" s="6">
        <v>180</v>
      </c>
      <c r="F11" s="6">
        <v>180</v>
      </c>
    </row>
    <row r="12" spans="1:6" x14ac:dyDescent="0.3">
      <c r="A12" s="7" t="s">
        <v>8330</v>
      </c>
      <c r="B12" s="6"/>
      <c r="C12" s="6">
        <v>80</v>
      </c>
      <c r="D12" s="6"/>
      <c r="E12" s="6"/>
      <c r="F12" s="6">
        <v>80</v>
      </c>
    </row>
    <row r="13" spans="1:6" x14ac:dyDescent="0.3">
      <c r="A13" s="7" t="s">
        <v>8331</v>
      </c>
      <c r="B13" s="6"/>
      <c r="C13" s="6"/>
      <c r="D13" s="6"/>
      <c r="E13" s="6">
        <v>40</v>
      </c>
      <c r="F13" s="6">
        <v>40</v>
      </c>
    </row>
    <row r="14" spans="1:6" x14ac:dyDescent="0.3">
      <c r="A14" s="7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3">
      <c r="A15" s="7" t="s">
        <v>8333</v>
      </c>
      <c r="B15" s="6"/>
      <c r="C15" s="6">
        <v>40</v>
      </c>
      <c r="D15" s="6"/>
      <c r="E15" s="6"/>
      <c r="F15" s="6">
        <v>40</v>
      </c>
    </row>
    <row r="16" spans="1:6" x14ac:dyDescent="0.3">
      <c r="A16" s="7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3">
      <c r="A17" s="7" t="s">
        <v>8335</v>
      </c>
      <c r="B17" s="6"/>
      <c r="C17" s="6">
        <v>20</v>
      </c>
      <c r="D17" s="6"/>
      <c r="E17" s="6"/>
      <c r="F17" s="6">
        <v>20</v>
      </c>
    </row>
    <row r="18" spans="1:6" x14ac:dyDescent="0.3">
      <c r="A18" s="7" t="s">
        <v>8336</v>
      </c>
      <c r="B18" s="6"/>
      <c r="C18" s="6"/>
      <c r="D18" s="6"/>
      <c r="E18" s="6">
        <v>140</v>
      </c>
      <c r="F18" s="6">
        <v>140</v>
      </c>
    </row>
    <row r="19" spans="1:6" x14ac:dyDescent="0.3">
      <c r="A19" s="7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3">
      <c r="A20" s="7" t="s">
        <v>8338</v>
      </c>
      <c r="B20" s="6"/>
      <c r="C20" s="6">
        <v>60</v>
      </c>
      <c r="D20" s="6"/>
      <c r="E20" s="6"/>
      <c r="F20" s="6">
        <v>60</v>
      </c>
    </row>
    <row r="21" spans="1:6" x14ac:dyDescent="0.3">
      <c r="A21" s="7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3">
      <c r="A22" s="7" t="s">
        <v>8340</v>
      </c>
      <c r="B22" s="6"/>
      <c r="C22" s="6"/>
      <c r="D22" s="6"/>
      <c r="E22" s="6">
        <v>20</v>
      </c>
      <c r="F22" s="6">
        <v>20</v>
      </c>
    </row>
    <row r="23" spans="1:6" x14ac:dyDescent="0.3">
      <c r="A23" s="7" t="s">
        <v>8341</v>
      </c>
      <c r="B23" s="6"/>
      <c r="C23" s="6">
        <v>40</v>
      </c>
      <c r="D23" s="6"/>
      <c r="E23" s="6"/>
      <c r="F23" s="6">
        <v>40</v>
      </c>
    </row>
    <row r="24" spans="1:6" x14ac:dyDescent="0.3">
      <c r="A24" s="7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3">
      <c r="A25" s="7" t="s">
        <v>8343</v>
      </c>
      <c r="B25" s="6"/>
      <c r="C25" s="6">
        <v>20</v>
      </c>
      <c r="D25" s="6"/>
      <c r="E25" s="6"/>
      <c r="F25" s="6">
        <v>20</v>
      </c>
    </row>
    <row r="26" spans="1:6" x14ac:dyDescent="0.3">
      <c r="A26" s="7" t="s">
        <v>8344</v>
      </c>
      <c r="B26" s="6"/>
      <c r="C26" s="6"/>
      <c r="D26" s="6"/>
      <c r="E26" s="6">
        <v>60</v>
      </c>
      <c r="F26" s="6">
        <v>60</v>
      </c>
    </row>
    <row r="27" spans="1:6" x14ac:dyDescent="0.3">
      <c r="A27" s="7" t="s">
        <v>8345</v>
      </c>
      <c r="B27" s="6"/>
      <c r="C27" s="6">
        <v>20</v>
      </c>
      <c r="D27" s="6"/>
      <c r="E27" s="6"/>
      <c r="F27" s="6">
        <v>20</v>
      </c>
    </row>
    <row r="28" spans="1:6" x14ac:dyDescent="0.3">
      <c r="A28" s="7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3">
      <c r="A29" s="7" t="s">
        <v>8347</v>
      </c>
      <c r="B29" s="6"/>
      <c r="C29" s="6">
        <v>20</v>
      </c>
      <c r="D29" s="6"/>
      <c r="E29" s="6"/>
      <c r="F29" s="6">
        <v>20</v>
      </c>
    </row>
    <row r="30" spans="1:6" x14ac:dyDescent="0.3">
      <c r="A30" s="7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3">
      <c r="A31" s="7" t="s">
        <v>8349</v>
      </c>
      <c r="B31" s="6"/>
      <c r="C31" s="6"/>
      <c r="D31" s="6"/>
      <c r="E31" s="6">
        <v>40</v>
      </c>
      <c r="F31" s="6">
        <v>40</v>
      </c>
    </row>
    <row r="32" spans="1:6" x14ac:dyDescent="0.3">
      <c r="A32" s="7" t="s">
        <v>8350</v>
      </c>
      <c r="B32" s="6"/>
      <c r="C32" s="6"/>
      <c r="D32" s="6"/>
      <c r="E32" s="6">
        <v>20</v>
      </c>
      <c r="F32" s="6">
        <v>20</v>
      </c>
    </row>
    <row r="33" spans="1:6" x14ac:dyDescent="0.3">
      <c r="A33" s="7" t="s">
        <v>8351</v>
      </c>
      <c r="B33" s="6"/>
      <c r="C33" s="6">
        <v>20</v>
      </c>
      <c r="D33" s="6"/>
      <c r="E33" s="6"/>
      <c r="F33" s="6">
        <v>20</v>
      </c>
    </row>
    <row r="34" spans="1:6" x14ac:dyDescent="0.3">
      <c r="A34" s="7" t="s">
        <v>8352</v>
      </c>
      <c r="B34" s="6"/>
      <c r="C34" s="6"/>
      <c r="D34" s="6"/>
      <c r="E34" s="6">
        <v>260</v>
      </c>
      <c r="F34" s="6">
        <v>260</v>
      </c>
    </row>
    <row r="35" spans="1:6" x14ac:dyDescent="0.3">
      <c r="A35" s="7" t="s">
        <v>8353</v>
      </c>
      <c r="B35" s="6">
        <v>40</v>
      </c>
      <c r="C35" s="6"/>
      <c r="D35" s="6"/>
      <c r="E35" s="6"/>
      <c r="F35" s="6">
        <v>40</v>
      </c>
    </row>
    <row r="36" spans="1:6" x14ac:dyDescent="0.3">
      <c r="A36" s="7" t="s">
        <v>8354</v>
      </c>
      <c r="B36" s="6"/>
      <c r="C36" s="6"/>
      <c r="D36" s="6"/>
      <c r="E36" s="6">
        <v>60</v>
      </c>
      <c r="F36" s="6">
        <v>60</v>
      </c>
    </row>
    <row r="37" spans="1:6" x14ac:dyDescent="0.3">
      <c r="A37" s="7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3">
      <c r="A38" s="7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3">
      <c r="A39" s="7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3">
      <c r="A40" s="7" t="s">
        <v>8358</v>
      </c>
      <c r="B40" s="6"/>
      <c r="C40" s="6"/>
      <c r="D40" s="6"/>
      <c r="E40" s="6">
        <v>80</v>
      </c>
      <c r="F40" s="6">
        <v>80</v>
      </c>
    </row>
    <row r="41" spans="1:6" x14ac:dyDescent="0.3">
      <c r="A41" s="7" t="s">
        <v>8359</v>
      </c>
      <c r="B41" s="6"/>
      <c r="C41" s="6"/>
      <c r="D41" s="6"/>
      <c r="E41" s="6">
        <v>60</v>
      </c>
      <c r="F41" s="6">
        <v>60</v>
      </c>
    </row>
    <row r="42" spans="1:6" x14ac:dyDescent="0.3">
      <c r="A42" s="7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3">
      <c r="A43" s="7" t="s">
        <v>8361</v>
      </c>
      <c r="B43" s="6"/>
      <c r="C43" s="6">
        <v>100</v>
      </c>
      <c r="D43" s="6"/>
      <c r="E43" s="6"/>
      <c r="F43" s="6">
        <v>100</v>
      </c>
    </row>
    <row r="44" spans="1:6" x14ac:dyDescent="0.3">
      <c r="A44" s="7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3">
      <c r="A45" s="7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3">
      <c r="A46" s="7" t="s">
        <v>8364</v>
      </c>
      <c r="B46" s="6">
        <v>20</v>
      </c>
      <c r="C46" s="6"/>
      <c r="D46" s="6"/>
      <c r="E46" s="6"/>
      <c r="F46" s="6">
        <v>20</v>
      </c>
    </row>
    <row r="47" spans="1:6" x14ac:dyDescent="0.3">
      <c r="A47" s="7" t="s">
        <v>8313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09870-C432-41B6-A3B8-899D50451AE7}">
  <dimension ref="A1:F18"/>
  <sheetViews>
    <sheetView tabSelected="1" workbookViewId="0">
      <selection activeCell="A6" sqref="A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5" t="s">
        <v>8308</v>
      </c>
      <c r="B1" t="s">
        <v>8310</v>
      </c>
    </row>
    <row r="2" spans="1:6" x14ac:dyDescent="0.3">
      <c r="A2" s="5" t="s">
        <v>8410</v>
      </c>
      <c r="B2" t="s">
        <v>8310</v>
      </c>
    </row>
    <row r="4" spans="1:6" x14ac:dyDescent="0.3">
      <c r="A4" s="5" t="s">
        <v>8311</v>
      </c>
      <c r="B4" s="5" t="s">
        <v>8312</v>
      </c>
    </row>
    <row r="5" spans="1:6" x14ac:dyDescent="0.3">
      <c r="A5" s="5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3">
      <c r="A6" s="9" t="s">
        <v>8373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3">
      <c r="A7" s="9" t="s">
        <v>8374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3">
      <c r="A8" s="9" t="s">
        <v>8375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3">
      <c r="A9" s="9" t="s">
        <v>8376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3">
      <c r="A10" s="9" t="s">
        <v>8367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3">
      <c r="A11" s="9" t="s">
        <v>8377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3">
      <c r="A12" s="9" t="s">
        <v>8368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3">
      <c r="A13" s="9" t="s">
        <v>8369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3">
      <c r="A14" s="9" t="s">
        <v>8370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3">
      <c r="A15" s="9" t="s">
        <v>8371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3">
      <c r="A16" s="9" t="s">
        <v>8372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3">
      <c r="A17" s="9" t="s">
        <v>8378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3">
      <c r="A18" s="9" t="s">
        <v>8313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8021-C3EB-4E5A-90E1-7CB69C97A12F}">
  <dimension ref="A1:H14"/>
  <sheetViews>
    <sheetView workbookViewId="0">
      <selection activeCell="K16" sqref="K16"/>
    </sheetView>
  </sheetViews>
  <sheetFormatPr defaultRowHeight="14.4" x14ac:dyDescent="0.3"/>
  <cols>
    <col min="1" max="1" width="29" bestFit="1" customWidth="1"/>
    <col min="2" max="2" width="17.21875" customWidth="1"/>
    <col min="3" max="3" width="13.33203125" customWidth="1"/>
    <col min="4" max="4" width="16.109375" customWidth="1"/>
    <col min="5" max="5" width="12.44140625" customWidth="1"/>
    <col min="6" max="6" width="19.77734375" bestFit="1" customWidth="1"/>
    <col min="7" max="7" width="15.88671875" bestFit="1" customWidth="1"/>
    <col min="8" max="8" width="18.77734375" bestFit="1" customWidth="1"/>
  </cols>
  <sheetData>
    <row r="1" spans="1:8" x14ac:dyDescent="0.3">
      <c r="A1" s="11" t="s">
        <v>8379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8380</v>
      </c>
    </row>
    <row r="2" spans="1:8" ht="15" x14ac:dyDescent="0.3">
      <c r="A2" s="12" t="s">
        <v>8387</v>
      </c>
      <c r="B2">
        <f>COUNTIFS(Data!$F$2:$F$4115,"=successful", Data!$D$2:$D$4115,"&lt;1000")</f>
        <v>322</v>
      </c>
      <c r="C2">
        <f>COUNTIFS(Data!$F$2:$F$4115,"=failed", Data!$D$2:$D$4115,"&lt;1000")</f>
        <v>113</v>
      </c>
      <c r="D2">
        <f>COUNTIFS(Data!$F$2:$F$4115,"=canceled", Data!$D$2:$D$4115,"&lt;1000")</f>
        <v>18</v>
      </c>
      <c r="E2">
        <f t="shared" ref="E2:E14" si="0">SUM(B2:D2)</f>
        <v>453</v>
      </c>
      <c r="F2" s="13">
        <f>(B2/E2) * 100</f>
        <v>71.081677704194263</v>
      </c>
      <c r="G2" s="13">
        <f>(C2/E2) * 100</f>
        <v>24.944812362030905</v>
      </c>
      <c r="H2" s="13">
        <f>(D2/E2) * 100</f>
        <v>3.9735099337748347</v>
      </c>
    </row>
    <row r="3" spans="1:8" ht="15" x14ac:dyDescent="0.3">
      <c r="A3" s="12" t="s">
        <v>8388</v>
      </c>
      <c r="B3">
        <f>COUNTIFS(Data!$F$2:$F$4115,"=successful", Data!$D$2:$D$4115,"&gt;=1000", Data!$D$2:$D$4115,"&lt;5000")</f>
        <v>932</v>
      </c>
      <c r="C3">
        <f>COUNTIFS(Data!$F$2:$F$4115,"=failed", Data!$D$2:$D$4115,"&gt;=1000", Data!$D$2:$D$4115,"&lt;5000")</f>
        <v>420</v>
      </c>
      <c r="D3">
        <f>COUNTIFS(Data!$F$2:$F$4115,"=canceled", Data!$D$2:$D$4115,"&gt;=1000", Data!$D$2:$D$4115,"&lt;5000")</f>
        <v>60</v>
      </c>
      <c r="E3">
        <f t="shared" si="0"/>
        <v>1412</v>
      </c>
      <c r="F3" s="13">
        <f t="shared" ref="F3:F13" si="1">(B3/E3) * 100</f>
        <v>66.005665722379604</v>
      </c>
      <c r="G3" s="13">
        <f t="shared" ref="G3:G13" si="2">(C3/E3) * 100</f>
        <v>29.745042492917843</v>
      </c>
      <c r="H3" s="13">
        <f t="shared" ref="H3:H13" si="3">(D3/E3) * 100</f>
        <v>4.2492917847025495</v>
      </c>
    </row>
    <row r="4" spans="1:8" ht="15" x14ac:dyDescent="0.3">
      <c r="A4" s="12" t="s">
        <v>8389</v>
      </c>
      <c r="B4">
        <f>COUNTIFS(Data!$F$2:$F$4115,"=successful", Data!$D$2:$D$4115,"&gt;=5000", Data!$D$2:$D$4115,"&lt;10000")</f>
        <v>381</v>
      </c>
      <c r="C4">
        <f>COUNTIFS(Data!$F$2:$F$4115,"=failed", Data!$D$2:$D$4115,"&gt;=5000", Data!$D$2:$D$4115,"&lt;10000")</f>
        <v>283</v>
      </c>
      <c r="D4">
        <f>COUNTIFS(Data!$F$2:$F$4115,"=canceled", Data!$D$2:$D$4115,"&gt;=5000", Data!$D$2:$D$4115,"&lt;10000")</f>
        <v>52</v>
      </c>
      <c r="E4">
        <f t="shared" si="0"/>
        <v>716</v>
      </c>
      <c r="F4" s="13">
        <f t="shared" si="1"/>
        <v>53.212290502793294</v>
      </c>
      <c r="G4" s="13">
        <f t="shared" si="2"/>
        <v>39.52513966480447</v>
      </c>
      <c r="H4" s="13">
        <f t="shared" si="3"/>
        <v>7.2625698324022352</v>
      </c>
    </row>
    <row r="5" spans="1:8" ht="15" x14ac:dyDescent="0.3">
      <c r="A5" s="12" t="s">
        <v>8390</v>
      </c>
      <c r="B5">
        <f>COUNTIFS(Data!$F$2:$F$4115,"=successful", Data!$D$2:$D$4115,"&gt;=10000", Data!$D$2:$D$4115,"&lt;15000")</f>
        <v>168</v>
      </c>
      <c r="C5">
        <f>COUNTIFS(Data!$F$2:$F$4115,"=failed", Data!$D$2:$D$4115,"&gt;=10000", Data!$D$2:$D$4115,"&lt;15000")</f>
        <v>144</v>
      </c>
      <c r="D5">
        <f>COUNTIFS(Data!$F$2:$F$4115,"=canceled", Data!$D$2:$D$4115,"&gt;=10000", Data!$D$2:$D$4115,"&lt;15000")</f>
        <v>40</v>
      </c>
      <c r="E5">
        <f t="shared" si="0"/>
        <v>352</v>
      </c>
      <c r="F5" s="13">
        <f t="shared" si="1"/>
        <v>47.727272727272727</v>
      </c>
      <c r="G5" s="13">
        <f t="shared" si="2"/>
        <v>40.909090909090914</v>
      </c>
      <c r="H5" s="13">
        <f t="shared" si="3"/>
        <v>11.363636363636363</v>
      </c>
    </row>
    <row r="6" spans="1:8" ht="15" x14ac:dyDescent="0.3">
      <c r="A6" s="12" t="s">
        <v>8391</v>
      </c>
      <c r="B6">
        <f>COUNTIFS(Data!$F$2:$F$4115,"=successful", Data!$D$2:$D$4115,"&gt;=15000", Data!$D$2:$D$4115,"&lt;20000")</f>
        <v>94</v>
      </c>
      <c r="C6">
        <f>COUNTIFS(Data!$F$2:$F$4115,"=failed", Data!$D$2:$D$4115,"&gt;=15000", Data!$D$2:$D$4115,"&lt;20000")</f>
        <v>90</v>
      </c>
      <c r="D6">
        <f>COUNTIFS(Data!$F$2:$F$4115,"=canceled", Data!$D$2:$D$4115,"&gt;=15000", Data!$D$2:$D$4115,"&lt;20000")</f>
        <v>17</v>
      </c>
      <c r="E6">
        <f t="shared" si="0"/>
        <v>201</v>
      </c>
      <c r="F6" s="13">
        <f t="shared" si="1"/>
        <v>46.766169154228855</v>
      </c>
      <c r="G6" s="13">
        <f t="shared" si="2"/>
        <v>44.776119402985074</v>
      </c>
      <c r="H6" s="13">
        <f t="shared" si="3"/>
        <v>8.4577114427860707</v>
      </c>
    </row>
    <row r="7" spans="1:8" ht="15" x14ac:dyDescent="0.3">
      <c r="A7" s="12" t="s">
        <v>8392</v>
      </c>
      <c r="B7">
        <f>COUNTIFS(Data!$F$2:$F$4115,"=successful", Data!$D$2:$D$4115,"&gt;=20000", Data!$D$2:$D$4115,"&lt;25000")</f>
        <v>62</v>
      </c>
      <c r="C7">
        <f>COUNTIFS(Data!$F$2:$F$4115,"=failed", Data!$D$2:$D$4115,"&gt;=20000", Data!$D$2:$D$4115,"&lt;25000")</f>
        <v>72</v>
      </c>
      <c r="D7">
        <f>COUNTIFS(Data!$F$2:$F$4115,"=canceled", Data!$D$2:$D$4115,"&gt;=20000", Data!$D$2:$D$4115,"&lt;25000")</f>
        <v>14</v>
      </c>
      <c r="E7">
        <f t="shared" si="0"/>
        <v>148</v>
      </c>
      <c r="F7" s="13">
        <f t="shared" si="1"/>
        <v>41.891891891891895</v>
      </c>
      <c r="G7" s="13">
        <f t="shared" si="2"/>
        <v>48.648648648648653</v>
      </c>
      <c r="H7" s="13">
        <f t="shared" si="3"/>
        <v>9.4594594594594597</v>
      </c>
    </row>
    <row r="8" spans="1:8" ht="15" x14ac:dyDescent="0.3">
      <c r="A8" s="12" t="s">
        <v>8393</v>
      </c>
      <c r="B8">
        <f>COUNTIFS(Data!$F$2:$F$4115,"=successful", Data!$D$2:$D$4115,"&gt;=25000", Data!$D$2:$D$4115,"&lt;30000")</f>
        <v>55</v>
      </c>
      <c r="C8">
        <f>COUNTIFS(Data!$F$2:$F$4115,"=failed", Data!$D$2:$D$4115,"&gt;=25000", Data!$D$2:$D$4115,"&lt;30000")</f>
        <v>64</v>
      </c>
      <c r="D8">
        <f>COUNTIFS(Data!$F$2:$F$4115,"=canceled", Data!$D$2:$D$4115,"&gt;=25000", Data!$D$2:$D$4115,"&lt;30000")</f>
        <v>18</v>
      </c>
      <c r="E8">
        <f t="shared" si="0"/>
        <v>137</v>
      </c>
      <c r="F8" s="13">
        <f t="shared" si="1"/>
        <v>40.145985401459853</v>
      </c>
      <c r="G8" s="13">
        <f t="shared" si="2"/>
        <v>46.715328467153284</v>
      </c>
      <c r="H8" s="13">
        <f t="shared" si="3"/>
        <v>13.138686131386862</v>
      </c>
    </row>
    <row r="9" spans="1:8" ht="15" x14ac:dyDescent="0.3">
      <c r="A9" s="12" t="s">
        <v>8394</v>
      </c>
      <c r="B9">
        <f>COUNTIFS(Data!$F$2:$F$4115,"=successful", Data!$D$2:$D$4115,"&gt;=30000", Data!$D$2:$D$4115,"&lt;35000")</f>
        <v>32</v>
      </c>
      <c r="C9">
        <f>COUNTIFS(Data!$F$2:$F$4115,"=failed", Data!$D$2:$D$4115,"&gt;=30000", Data!$D$2:$D$4115,"&lt;35000")</f>
        <v>37</v>
      </c>
      <c r="D9">
        <f>COUNTIFS(Data!$F$2:$F$4115,"=canceled", Data!$D$2:$D$4115,"&gt;=30000", Data!$D$2:$D$4115,"&lt;35000")</f>
        <v>13</v>
      </c>
      <c r="E9">
        <f t="shared" si="0"/>
        <v>82</v>
      </c>
      <c r="F9" s="13">
        <f t="shared" si="1"/>
        <v>39.024390243902438</v>
      </c>
      <c r="G9" s="13">
        <f t="shared" si="2"/>
        <v>45.121951219512198</v>
      </c>
      <c r="H9" s="13">
        <f t="shared" si="3"/>
        <v>15.853658536585366</v>
      </c>
    </row>
    <row r="10" spans="1:8" ht="15" x14ac:dyDescent="0.3">
      <c r="A10" s="12" t="s">
        <v>8395</v>
      </c>
      <c r="B10">
        <f>COUNTIFS(Data!$F$2:$F$4115,"=successful", Data!$D$2:$D$4115,"&gt;=35000", Data!$D$2:$D$4115,"&lt;40000")</f>
        <v>26</v>
      </c>
      <c r="C10">
        <f>COUNTIFS(Data!$F$2:$F$4115,"=failed", Data!$D$2:$D$4115,"&gt;=35000", Data!$D$2:$D$4115,"&lt;40000")</f>
        <v>22</v>
      </c>
      <c r="D10">
        <f>COUNTIFS(Data!$F$2:$F$4115,"=canceled", Data!$D$2:$D$4115,"&gt;=35000", Data!$D$2:$D$4115,"&lt;40000")</f>
        <v>7</v>
      </c>
      <c r="E10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8" ht="15" x14ac:dyDescent="0.3">
      <c r="A11" s="12" t="s">
        <v>8396</v>
      </c>
      <c r="B11">
        <f>COUNTIFS(Data!$F$2:$F$4115,"=successful", Data!$D$2:$D$4115,"&gt;=40000", Data!$D$2:$D$4115,"&lt;45000")</f>
        <v>21</v>
      </c>
      <c r="C11">
        <f>COUNTIFS(Data!$F$2:$F$4115,"=failed", Data!$D$2:$D$4115,"&gt;=40000", Data!$D$2:$D$4115,"&lt;45000")</f>
        <v>16</v>
      </c>
      <c r="D11">
        <f>COUNTIFS(Data!$F$2:$F$4115,"=canceled", Data!$D$2:$D$4115,"&gt;=40000", Data!$D$2:$D$4115,"&lt;45000")</f>
        <v>6</v>
      </c>
      <c r="E11">
        <f t="shared" si="0"/>
        <v>43</v>
      </c>
      <c r="F11" s="13">
        <f t="shared" si="1"/>
        <v>48.837209302325576</v>
      </c>
      <c r="G11" s="13">
        <f t="shared" si="2"/>
        <v>37.209302325581397</v>
      </c>
      <c r="H11" s="13">
        <f t="shared" si="3"/>
        <v>13.953488372093023</v>
      </c>
    </row>
    <row r="12" spans="1:8" ht="15" x14ac:dyDescent="0.3">
      <c r="A12" s="12" t="s">
        <v>8397</v>
      </c>
      <c r="B12">
        <f>COUNTIFS(Data!$F$2:$F$4115,"=successful", Data!$D$2:$D$4115,"&gt;=45000", Data!$D$2:$D$4115,"&lt;50000")</f>
        <v>6</v>
      </c>
      <c r="C12">
        <f>COUNTIFS(Data!$F$2:$F$4115,"=failed", Data!$D$2:$D$4115,"&gt;=45000", Data!$D$2:$D$4115,"&lt;50000")</f>
        <v>11</v>
      </c>
      <c r="D12">
        <f>COUNTIFS(Data!$F$2:$F$4115,"=canceled", Data!$D$2:$D$4115,"&gt;=45000", Data!$D$2:$D$4115,"&lt;50000")</f>
        <v>4</v>
      </c>
      <c r="E12">
        <f t="shared" si="0"/>
        <v>21</v>
      </c>
      <c r="F12" s="13">
        <f t="shared" si="1"/>
        <v>28.571428571428569</v>
      </c>
      <c r="G12" s="13">
        <f t="shared" si="2"/>
        <v>52.380952380952387</v>
      </c>
      <c r="H12" s="13">
        <f t="shared" si="3"/>
        <v>19.047619047619047</v>
      </c>
    </row>
    <row r="13" spans="1:8" ht="15" x14ac:dyDescent="0.3">
      <c r="A13" s="12" t="s">
        <v>8398</v>
      </c>
      <c r="B13">
        <f>COUNTIFS(Data!$F$2:$F$4115,"=successful", Data!$D$2:$D$4115,"&gt;=50000")</f>
        <v>86</v>
      </c>
      <c r="C13">
        <f>COUNTIFS(Data!$F$2:$F$4115,"=failed", Data!$D$2:$D$4115,"&gt;=50000")</f>
        <v>258</v>
      </c>
      <c r="D13">
        <f>COUNTIFS(Data!$F$2:$F$4115,"=canceled", Data!$D$2:$D$4115,"&gt;=50000")</f>
        <v>100</v>
      </c>
      <c r="E13">
        <f t="shared" si="0"/>
        <v>444</v>
      </c>
      <c r="F13" s="13">
        <f t="shared" si="1"/>
        <v>19.36936936936937</v>
      </c>
      <c r="G13" s="13">
        <f t="shared" si="2"/>
        <v>58.108108108108105</v>
      </c>
      <c r="H13" s="13">
        <f t="shared" si="3"/>
        <v>22.522522522522522</v>
      </c>
    </row>
    <row r="14" spans="1:8" x14ac:dyDescent="0.3">
      <c r="B14">
        <f>SUM(B2:B13)</f>
        <v>2185</v>
      </c>
      <c r="C14">
        <f t="shared" ref="C14:D14" si="4">SUM(C2:C13)</f>
        <v>1530</v>
      </c>
      <c r="D14">
        <f t="shared" si="4"/>
        <v>349</v>
      </c>
      <c r="E14">
        <f t="shared" si="0"/>
        <v>4064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Report</vt:lpstr>
      <vt:lpstr>Pivot1 - by category</vt:lpstr>
      <vt:lpstr>Pivot2-by Subcategory</vt:lpstr>
      <vt:lpstr>Pivot3 -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jicross</cp:lastModifiedBy>
  <dcterms:created xsi:type="dcterms:W3CDTF">2017-04-20T15:17:24Z</dcterms:created>
  <dcterms:modified xsi:type="dcterms:W3CDTF">2019-02-16T14:46:13Z</dcterms:modified>
</cp:coreProperties>
</file>