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29 FEBRERO" sheetId="1" r:id="rId1"/>
  </sheets>
  <definedNames>
    <definedName name="_xlnm.Print_Area" localSheetId="0">'29 FEBRERO'!$T$2:$AA$18</definedName>
  </definedNames>
  <calcPr calcId="124519"/>
</workbook>
</file>

<file path=xl/calcChain.xml><?xml version="1.0" encoding="utf-8"?>
<calcChain xmlns="http://schemas.openxmlformats.org/spreadsheetml/2006/main">
  <c r="H103" i="1"/>
  <c r="H104" s="1"/>
  <c r="F103"/>
  <c r="H88"/>
  <c r="D86"/>
  <c r="D85"/>
  <c r="D83"/>
  <c r="D84" s="1"/>
  <c r="D81"/>
  <c r="D82" s="1"/>
  <c r="G80"/>
  <c r="D80"/>
  <c r="Q77"/>
  <c r="B77"/>
  <c r="U76"/>
  <c r="B76"/>
  <c r="B75"/>
  <c r="D72"/>
  <c r="O71"/>
  <c r="I65"/>
  <c r="I66" s="1"/>
  <c r="I67" s="1"/>
  <c r="AJ54"/>
  <c r="AI54"/>
  <c r="F45"/>
  <c r="A43"/>
  <c r="A42"/>
  <c r="F40"/>
  <c r="N39"/>
  <c r="AI38"/>
  <c r="AI37"/>
  <c r="AM35"/>
  <c r="AH33"/>
  <c r="M23"/>
  <c r="AK16"/>
  <c r="AI16"/>
  <c r="AG16"/>
  <c r="AE16"/>
  <c r="AC16"/>
  <c r="Z16"/>
  <c r="X16"/>
  <c r="V16"/>
  <c r="T16"/>
  <c r="Q16"/>
  <c r="O16"/>
  <c r="M16"/>
  <c r="K16"/>
  <c r="H16"/>
  <c r="F16"/>
  <c r="D16"/>
  <c r="B16"/>
  <c r="AM16" s="1"/>
  <c r="AM15"/>
  <c r="AM14"/>
  <c r="AM13"/>
  <c r="AM12"/>
  <c r="AM11"/>
  <c r="AM10"/>
  <c r="AM9"/>
  <c r="AM8"/>
  <c r="AM7"/>
  <c r="AB7"/>
  <c r="AB6"/>
  <c r="S6"/>
  <c r="U15" s="1"/>
  <c r="J6"/>
  <c r="N15" s="1"/>
  <c r="AL5"/>
  <c r="AL11" s="1"/>
  <c r="AK5"/>
  <c r="AL13" s="1"/>
  <c r="AJ5"/>
  <c r="AJ15" s="1"/>
  <c r="AI5"/>
  <c r="AJ14" s="1"/>
  <c r="AH5"/>
  <c r="AH15" s="1"/>
  <c r="AG5"/>
  <c r="AH7" s="1"/>
  <c r="AF5"/>
  <c r="AF11" s="1"/>
  <c r="AE5"/>
  <c r="AF7" s="1"/>
  <c r="AD5"/>
  <c r="AD11" s="1"/>
  <c r="AC5"/>
  <c r="AD10" s="1"/>
  <c r="AB5"/>
  <c r="AD13" s="1"/>
  <c r="AA5"/>
  <c r="AA15" s="1"/>
  <c r="Z5"/>
  <c r="AA14" s="1"/>
  <c r="Y5"/>
  <c r="Y15" s="1"/>
  <c r="X5"/>
  <c r="Y7" s="1"/>
  <c r="W5"/>
  <c r="W11" s="1"/>
  <c r="V5"/>
  <c r="W13" s="1"/>
  <c r="U5"/>
  <c r="U11" s="1"/>
  <c r="T5"/>
  <c r="U12" s="1"/>
  <c r="S5"/>
  <c r="U13" s="1"/>
  <c r="R5"/>
  <c r="R15" s="1"/>
  <c r="Q5"/>
  <c r="R14" s="1"/>
  <c r="P5"/>
  <c r="P15" s="1"/>
  <c r="O5"/>
  <c r="P7" s="1"/>
  <c r="N5"/>
  <c r="N12" s="1"/>
  <c r="M5"/>
  <c r="N13" s="1"/>
  <c r="L5"/>
  <c r="L12" s="1"/>
  <c r="K5"/>
  <c r="L13" s="1"/>
  <c r="J5"/>
  <c r="I5"/>
  <c r="I15" s="1"/>
  <c r="H5"/>
  <c r="I14" s="1"/>
  <c r="G5"/>
  <c r="G15" s="1"/>
  <c r="F5"/>
  <c r="G7" s="1"/>
  <c r="E5"/>
  <c r="E11" s="1"/>
  <c r="D5"/>
  <c r="E13" s="1"/>
  <c r="C5"/>
  <c r="C11" s="1"/>
  <c r="B5"/>
  <c r="C13" s="1"/>
  <c r="AM4"/>
  <c r="AL15" s="1"/>
  <c r="S4"/>
  <c r="AM3"/>
  <c r="AL14" s="1"/>
  <c r="A3"/>
  <c r="AL2"/>
  <c r="AA2"/>
  <c r="R2"/>
  <c r="I2"/>
  <c r="E7" l="1"/>
  <c r="N7"/>
  <c r="W7"/>
  <c r="AD7"/>
  <c r="AL7"/>
  <c r="I8"/>
  <c r="R8"/>
  <c r="AA8"/>
  <c r="AJ8"/>
  <c r="I9"/>
  <c r="R9"/>
  <c r="AA9"/>
  <c r="AJ9"/>
  <c r="I10"/>
  <c r="R10"/>
  <c r="AA10"/>
  <c r="AJ10"/>
  <c r="I11"/>
  <c r="R11"/>
  <c r="AA11"/>
  <c r="AJ11"/>
  <c r="I12"/>
  <c r="R12"/>
  <c r="AA12"/>
  <c r="AJ12"/>
  <c r="I13"/>
  <c r="R13"/>
  <c r="AA13"/>
  <c r="AJ13"/>
  <c r="G14"/>
  <c r="P14"/>
  <c r="Y14"/>
  <c r="AH14"/>
  <c r="E15"/>
  <c r="W15"/>
  <c r="AF15"/>
  <c r="C7"/>
  <c r="L7"/>
  <c r="U7"/>
  <c r="AJ7"/>
  <c r="G8"/>
  <c r="P8"/>
  <c r="Y8"/>
  <c r="AH8"/>
  <c r="G9"/>
  <c r="P9"/>
  <c r="Y9"/>
  <c r="AH9"/>
  <c r="G10"/>
  <c r="P10"/>
  <c r="Y10"/>
  <c r="AH10"/>
  <c r="G11"/>
  <c r="P11"/>
  <c r="Y11"/>
  <c r="AH11"/>
  <c r="G12"/>
  <c r="P12"/>
  <c r="Y12"/>
  <c r="AH12"/>
  <c r="G13"/>
  <c r="P13"/>
  <c r="Y13"/>
  <c r="AH13"/>
  <c r="E14"/>
  <c r="N14"/>
  <c r="W14"/>
  <c r="AF14"/>
  <c r="C15"/>
  <c r="L15"/>
  <c r="AD15"/>
  <c r="I7"/>
  <c r="R7"/>
  <c r="R16" s="1"/>
  <c r="AA7"/>
  <c r="E8"/>
  <c r="N8"/>
  <c r="W8"/>
  <c r="AF8"/>
  <c r="E9"/>
  <c r="N9"/>
  <c r="W9"/>
  <c r="AF9"/>
  <c r="E10"/>
  <c r="N10"/>
  <c r="W10"/>
  <c r="AF10"/>
  <c r="N11"/>
  <c r="E12"/>
  <c r="W12"/>
  <c r="AF12"/>
  <c r="AF13"/>
  <c r="C14"/>
  <c r="L14"/>
  <c r="U14"/>
  <c r="AD14"/>
  <c r="C8"/>
  <c r="L8"/>
  <c r="U8"/>
  <c r="AD8"/>
  <c r="AL8"/>
  <c r="C9"/>
  <c r="L9"/>
  <c r="U9"/>
  <c r="AD9"/>
  <c r="AL9"/>
  <c r="C10"/>
  <c r="L10"/>
  <c r="U10"/>
  <c r="AL10"/>
  <c r="L11"/>
  <c r="C12"/>
  <c r="AD12"/>
  <c r="AL12"/>
  <c r="AH16" l="1"/>
  <c r="AN14"/>
  <c r="B33" s="1"/>
  <c r="G16"/>
  <c r="AF16"/>
  <c r="P16"/>
  <c r="N16"/>
  <c r="Y16"/>
  <c r="AN15"/>
  <c r="B34" s="1"/>
  <c r="AN7"/>
  <c r="B26" s="1"/>
  <c r="AA16"/>
  <c r="C16"/>
  <c r="B18" s="1"/>
  <c r="L16"/>
  <c r="K18" s="1"/>
  <c r="U16"/>
  <c r="AD16"/>
  <c r="I16"/>
  <c r="AJ16"/>
  <c r="AN13"/>
  <c r="B32" s="1"/>
  <c r="AN12"/>
  <c r="B31" s="1"/>
  <c r="AN11"/>
  <c r="B30" s="1"/>
  <c r="AN10"/>
  <c r="B29" s="1"/>
  <c r="AN9"/>
  <c r="B28" s="1"/>
  <c r="AN8"/>
  <c r="B27" s="1"/>
  <c r="AL16"/>
  <c r="E16"/>
  <c r="W16"/>
  <c r="T18" l="1"/>
  <c r="B35"/>
  <c r="B20"/>
  <c r="AC18"/>
  <c r="AN16"/>
</calcChain>
</file>

<file path=xl/comments1.xml><?xml version="1.0" encoding="utf-8"?>
<comments xmlns="http://schemas.openxmlformats.org/spreadsheetml/2006/main">
  <authors>
    <author>msuligoy</author>
    <author>ALE-NET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op. presentes</t>
        </r>
      </text>
    </comment>
    <comment ref="C3" authorId="0">
      <text>
        <r>
          <rPr>
            <b/>
            <sz val="9"/>
            <color indexed="81"/>
            <rFont val="Tahoma"/>
            <charset val="1"/>
          </rPr>
          <t>op. ausentes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objetivo x hora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objetivo para media hora</t>
        </r>
      </text>
    </comment>
    <comment ref="B6" authorId="0">
      <text>
        <r>
          <rPr>
            <b/>
            <sz val="9"/>
            <color indexed="81"/>
            <rFont val="Tahoma"/>
            <charset val="1"/>
          </rPr>
          <t>NUMERO DE LINEA</t>
        </r>
      </text>
    </comment>
    <comment ref="V7" authorId="1">
      <text>
        <r>
          <rPr>
            <b/>
            <sz val="9"/>
            <color indexed="81"/>
            <rFont val="Tahoma"/>
            <charset val="1"/>
          </rPr>
          <t>MAQUINA</t>
        </r>
      </text>
    </comment>
    <comment ref="AC11" authorId="1">
      <text>
        <r>
          <rPr>
            <b/>
            <sz val="9"/>
            <color indexed="81"/>
            <rFont val="Tahoma"/>
            <charset val="1"/>
          </rPr>
          <t>3P</t>
        </r>
      </text>
    </comment>
    <comment ref="M12" authorId="1">
      <text>
        <r>
          <rPr>
            <b/>
            <sz val="9"/>
            <color indexed="81"/>
            <rFont val="Tahoma"/>
            <charset val="1"/>
          </rPr>
          <t>3P</t>
        </r>
      </text>
    </comment>
    <comment ref="T12" authorId="1">
      <text>
        <r>
          <rPr>
            <b/>
            <sz val="9"/>
            <color indexed="81"/>
            <rFont val="Tahoma"/>
            <charset val="1"/>
          </rPr>
          <t>CAMBIO MOUNTAINS</t>
        </r>
      </text>
    </comment>
  </commentList>
</comments>
</file>

<file path=xl/sharedStrings.xml><?xml version="1.0" encoding="utf-8"?>
<sst xmlns="http://schemas.openxmlformats.org/spreadsheetml/2006/main" count="57" uniqueCount="47">
  <si>
    <t>CONTROL HORARIO DE PRODUCCION</t>
  </si>
  <si>
    <t>AUSENTISMO CONFECCION</t>
  </si>
  <si>
    <t>JANINA</t>
  </si>
  <si>
    <t>presentismo A =</t>
  </si>
  <si>
    <t>presentismo B =</t>
  </si>
  <si>
    <t>PATRICIA</t>
  </si>
  <si>
    <t xml:space="preserve">presentismo C = </t>
  </si>
  <si>
    <t xml:space="preserve">     GRACIELA</t>
  </si>
  <si>
    <t>presentismo taller =</t>
  </si>
  <si>
    <t>PRESENTES/AUSENTES</t>
  </si>
  <si>
    <t xml:space="preserve">MODELO --&gt; </t>
  </si>
  <si>
    <t>POLERA (petroleo)</t>
  </si>
  <si>
    <t>VESTIDITO GSN (negro)</t>
  </si>
  <si>
    <t>VER 1916 (blanco)</t>
  </si>
  <si>
    <t>VER 1080 (blanco)</t>
  </si>
  <si>
    <t>VER 1916 (nacar)</t>
  </si>
  <si>
    <t>VER 1918 (negro)</t>
  </si>
  <si>
    <t>VER 1080 (verde)</t>
  </si>
  <si>
    <t>VER 1918 (almendra)</t>
  </si>
  <si>
    <t>BUZO GCH</t>
  </si>
  <si>
    <t>POLERAS (petroleo)</t>
  </si>
  <si>
    <t>PREI_2000 (negro)</t>
  </si>
  <si>
    <t>BUZO MIMO</t>
  </si>
  <si>
    <t>VER COMBINADO (2204)</t>
  </si>
  <si>
    <t>OBJETIVO  x H --&gt;</t>
  </si>
  <si>
    <t>HORA / LINEA</t>
  </si>
  <si>
    <t>TOTAL HORA</t>
  </si>
  <si>
    <t>% PRODUCTIVIDAD</t>
  </si>
  <si>
    <t>Total</t>
  </si>
  <si>
    <t>PRODUCTIVIDAD % --&gt;</t>
  </si>
  <si>
    <t>% Arreglos --&gt;</t>
  </si>
  <si>
    <t>&lt;-- % Arreglos --&gt;</t>
  </si>
  <si>
    <t>TOTALES</t>
  </si>
  <si>
    <t>HORA</t>
  </si>
  <si>
    <t>1ra</t>
  </si>
  <si>
    <t>2da</t>
  </si>
  <si>
    <t>3ra</t>
  </si>
  <si>
    <t>4ta</t>
  </si>
  <si>
    <t>5ta</t>
  </si>
  <si>
    <t>6ta</t>
  </si>
  <si>
    <t>7ma</t>
  </si>
  <si>
    <t>8va</t>
  </si>
  <si>
    <t>GENERAL</t>
  </si>
  <si>
    <t>9na</t>
  </si>
  <si>
    <t>740/3</t>
  </si>
  <si>
    <t>195,15*4</t>
  </si>
  <si>
    <t>1,5*5</t>
  </si>
</sst>
</file>

<file path=xl/styles.xml><?xml version="1.0" encoding="utf-8"?>
<styleSheet xmlns="http://schemas.openxmlformats.org/spreadsheetml/2006/main">
  <numFmts count="1">
    <numFmt numFmtId="164" formatCode="#,##0_ ;\-#,##0\ 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stellar"/>
      <family val="1"/>
    </font>
    <font>
      <b/>
      <sz val="18"/>
      <color theme="1"/>
      <name val="Arial Black"/>
      <family val="2"/>
    </font>
    <font>
      <b/>
      <sz val="20"/>
      <name val="Colonna MT"/>
      <family val="5"/>
    </font>
    <font>
      <b/>
      <sz val="18"/>
      <name val="Colonna MT"/>
      <family val="5"/>
    </font>
    <font>
      <b/>
      <sz val="14"/>
      <name val="Arial Black"/>
      <family val="2"/>
    </font>
    <font>
      <b/>
      <sz val="20"/>
      <color theme="1"/>
      <name val="Colonna MT"/>
      <family val="5"/>
    </font>
    <font>
      <b/>
      <sz val="18"/>
      <color theme="1"/>
      <name val="Colonna MT"/>
      <family val="5"/>
    </font>
    <font>
      <sz val="12"/>
      <color theme="1"/>
      <name val="Calibri"/>
      <family val="2"/>
      <scheme val="minor"/>
    </font>
    <font>
      <b/>
      <sz val="16"/>
      <color theme="1"/>
      <name val="Colonna MT"/>
      <family val="5"/>
    </font>
    <font>
      <b/>
      <sz val="12"/>
      <color rgb="FFC00000"/>
      <name val="Calibri"/>
      <family val="2"/>
      <scheme val="minor"/>
    </font>
    <font>
      <b/>
      <sz val="16"/>
      <color theme="1"/>
      <name val="Arial Black"/>
      <family val="2"/>
    </font>
    <font>
      <b/>
      <sz val="10"/>
      <name val="Calibri"/>
      <family val="2"/>
      <scheme val="minor"/>
    </font>
    <font>
      <b/>
      <sz val="14"/>
      <color theme="1"/>
      <name val="Arial Black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olonna MT"/>
      <family val="5"/>
    </font>
    <font>
      <sz val="16"/>
      <color theme="1"/>
      <name val="Colonna MT"/>
      <family val="5"/>
    </font>
    <font>
      <b/>
      <sz val="12"/>
      <name val="Arial Black"/>
      <family val="2"/>
    </font>
    <font>
      <b/>
      <sz val="12"/>
      <color theme="1"/>
      <name val="Arial Black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36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Arial Black"/>
      <family val="2"/>
    </font>
    <font>
      <b/>
      <sz val="48"/>
      <color theme="1"/>
      <name val="Arial Black"/>
      <family val="2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3" fillId="4" borderId="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right" vertical="center"/>
    </xf>
    <xf numFmtId="9" fontId="4" fillId="5" borderId="3" xfId="1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right" vertical="center"/>
    </xf>
    <xf numFmtId="0" fontId="7" fillId="6" borderId="2" xfId="0" applyFont="1" applyFill="1" applyBorder="1" applyAlignment="1">
      <alignment horizontal="right" vertical="center"/>
    </xf>
    <xf numFmtId="0" fontId="7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right" vertical="center"/>
    </xf>
    <xf numFmtId="9" fontId="7" fillId="6" borderId="3" xfId="1" applyFont="1" applyFill="1" applyBorder="1" applyAlignment="1">
      <alignment horizontal="left" vertical="center"/>
    </xf>
    <xf numFmtId="0" fontId="9" fillId="0" borderId="0" xfId="0" applyFont="1" applyFill="1" applyBorder="1"/>
    <xf numFmtId="0" fontId="7" fillId="7" borderId="4" xfId="0" applyFont="1" applyFill="1" applyBorder="1" applyAlignment="1">
      <alignment horizontal="right" vertical="center"/>
    </xf>
    <xf numFmtId="0" fontId="7" fillId="7" borderId="2" xfId="0" applyFont="1" applyFill="1" applyBorder="1" applyAlignment="1">
      <alignment horizontal="right" vertical="center"/>
    </xf>
    <xf numFmtId="0" fontId="7" fillId="7" borderId="2" xfId="0" applyFont="1" applyFill="1" applyBorder="1" applyAlignment="1">
      <alignment vertical="center"/>
    </xf>
    <xf numFmtId="0" fontId="10" fillId="7" borderId="2" xfId="0" applyFont="1" applyFill="1" applyBorder="1" applyAlignment="1">
      <alignment horizontal="right" vertical="center"/>
    </xf>
    <xf numFmtId="9" fontId="7" fillId="7" borderId="2" xfId="1" applyFont="1" applyFill="1" applyBorder="1" applyAlignment="1">
      <alignment horizontal="left" vertical="center"/>
    </xf>
    <xf numFmtId="9" fontId="11" fillId="0" borderId="0" xfId="0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right" vertical="center"/>
    </xf>
    <xf numFmtId="0" fontId="10" fillId="8" borderId="2" xfId="0" applyFont="1" applyFill="1" applyBorder="1" applyAlignment="1">
      <alignment horizontal="right" vertical="center"/>
    </xf>
    <xf numFmtId="0" fontId="10" fillId="8" borderId="2" xfId="0" applyFont="1" applyFill="1" applyBorder="1" applyAlignment="1">
      <alignment vertical="center"/>
    </xf>
    <xf numFmtId="0" fontId="10" fillId="8" borderId="2" xfId="0" applyFont="1" applyFill="1" applyBorder="1" applyAlignment="1">
      <alignment horizontal="right" vertical="center"/>
    </xf>
    <xf numFmtId="9" fontId="8" fillId="8" borderId="3" xfId="1" applyFont="1" applyFill="1" applyBorder="1" applyAlignment="1">
      <alignment horizontal="left" vertical="center"/>
    </xf>
    <xf numFmtId="9" fontId="12" fillId="4" borderId="7" xfId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9" fontId="13" fillId="4" borderId="10" xfId="0" applyNumberFormat="1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1" fontId="15" fillId="0" borderId="4" xfId="0" applyNumberFormat="1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1" fontId="15" fillId="0" borderId="4" xfId="0" applyNumberFormat="1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8" fillId="12" borderId="4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10" xfId="0" applyNumberFormat="1" applyFont="1" applyFill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2" borderId="16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1" fillId="2" borderId="5" xfId="0" applyFont="1" applyFill="1" applyBorder="1"/>
    <xf numFmtId="20" fontId="23" fillId="0" borderId="16" xfId="0" applyNumberFormat="1" applyFont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9" fontId="11" fillId="0" borderId="19" xfId="1" applyNumberFormat="1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9" fontId="11" fillId="0" borderId="19" xfId="1" applyFont="1" applyFill="1" applyBorder="1" applyAlignment="1">
      <alignment horizontal="center" vertical="center"/>
    </xf>
    <xf numFmtId="9" fontId="11" fillId="0" borderId="13" xfId="1" applyFont="1" applyFill="1" applyBorder="1" applyAlignment="1">
      <alignment horizontal="center" vertical="center"/>
    </xf>
    <xf numFmtId="1" fontId="15" fillId="0" borderId="19" xfId="1" applyNumberFormat="1" applyFont="1" applyFill="1" applyBorder="1" applyAlignment="1">
      <alignment horizontal="center" vertical="center"/>
    </xf>
    <xf numFmtId="9" fontId="24" fillId="0" borderId="0" xfId="1" applyFont="1" applyFill="1" applyBorder="1" applyAlignment="1">
      <alignment vertical="center"/>
    </xf>
    <xf numFmtId="1" fontId="15" fillId="0" borderId="1" xfId="1" applyNumberFormat="1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164" fontId="25" fillId="0" borderId="20" xfId="0" applyNumberFormat="1" applyFont="1" applyBorder="1" applyAlignment="1">
      <alignment horizontal="center" vertical="center"/>
    </xf>
    <xf numFmtId="9" fontId="26" fillId="0" borderId="21" xfId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9" fontId="11" fillId="0" borderId="0" xfId="1" applyFont="1" applyFill="1" applyBorder="1" applyAlignment="1">
      <alignment horizontal="center" vertical="center"/>
    </xf>
    <xf numFmtId="9" fontId="11" fillId="0" borderId="18" xfId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>
      <alignment horizontal="center" vertical="center"/>
    </xf>
    <xf numFmtId="9" fontId="27" fillId="0" borderId="0" xfId="1" applyFont="1" applyFill="1" applyBorder="1" applyAlignment="1">
      <alignment vertical="center"/>
    </xf>
    <xf numFmtId="0" fontId="16" fillId="0" borderId="1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5" fillId="0" borderId="17" xfId="1" applyNumberFormat="1" applyFont="1" applyFill="1" applyBorder="1" applyAlignment="1">
      <alignment horizontal="center" vertical="center"/>
    </xf>
    <xf numFmtId="164" fontId="25" fillId="0" borderId="24" xfId="0" applyNumberFormat="1" applyFont="1" applyBorder="1" applyAlignment="1">
      <alignment horizontal="center" vertical="center"/>
    </xf>
    <xf numFmtId="9" fontId="26" fillId="0" borderId="25" xfId="1" applyFont="1" applyFill="1" applyBorder="1" applyAlignment="1">
      <alignment horizontal="center" vertical="center"/>
    </xf>
    <xf numFmtId="1" fontId="15" fillId="0" borderId="17" xfId="0" applyNumberFormat="1" applyFont="1" applyFill="1" applyBorder="1" applyAlignment="1">
      <alignment horizontal="center" vertical="center"/>
    </xf>
    <xf numFmtId="20" fontId="23" fillId="0" borderId="16" xfId="0" applyNumberFormat="1" applyFont="1" applyFill="1" applyBorder="1" applyAlignment="1">
      <alignment horizontal="center"/>
    </xf>
    <xf numFmtId="0" fontId="0" fillId="0" borderId="0" xfId="0" applyFill="1"/>
    <xf numFmtId="0" fontId="15" fillId="13" borderId="17" xfId="0" applyFont="1" applyFill="1" applyBorder="1" applyAlignment="1">
      <alignment horizontal="center" vertical="center"/>
    </xf>
    <xf numFmtId="9" fontId="11" fillId="13" borderId="0" xfId="1" applyNumberFormat="1" applyFont="1" applyFill="1" applyBorder="1" applyAlignment="1">
      <alignment horizontal="center" vertical="center"/>
    </xf>
    <xf numFmtId="0" fontId="15" fillId="13" borderId="0" xfId="0" applyFont="1" applyFill="1" applyBorder="1" applyAlignment="1">
      <alignment horizontal="center" vertical="center"/>
    </xf>
    <xf numFmtId="9" fontId="11" fillId="13" borderId="0" xfId="1" applyFont="1" applyFill="1" applyBorder="1" applyAlignment="1">
      <alignment horizontal="center" vertical="center"/>
    </xf>
    <xf numFmtId="9" fontId="11" fillId="13" borderId="18" xfId="1" applyFont="1" applyFill="1" applyBorder="1" applyAlignment="1">
      <alignment horizontal="center" vertical="center"/>
    </xf>
    <xf numFmtId="9" fontId="11" fillId="0" borderId="0" xfId="0" applyNumberFormat="1" applyFont="1" applyBorder="1" applyAlignment="1">
      <alignment horizontal="center" vertical="center"/>
    </xf>
    <xf numFmtId="1" fontId="15" fillId="13" borderId="0" xfId="1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9" fontId="11" fillId="0" borderId="14" xfId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0" fontId="23" fillId="0" borderId="28" xfId="0" applyFont="1" applyBorder="1" applyAlignment="1">
      <alignment horizontal="center"/>
    </xf>
    <xf numFmtId="1" fontId="28" fillId="3" borderId="4" xfId="0" applyNumberFormat="1" applyFont="1" applyFill="1" applyBorder="1" applyAlignment="1">
      <alignment horizontal="center" vertical="center"/>
    </xf>
    <xf numFmtId="9" fontId="29" fillId="0" borderId="9" xfId="0" applyNumberFormat="1" applyFont="1" applyFill="1" applyBorder="1" applyAlignment="1">
      <alignment horizontal="center" vertical="center"/>
    </xf>
    <xf numFmtId="1" fontId="28" fillId="3" borderId="6" xfId="0" applyNumberFormat="1" applyFont="1" applyFill="1" applyBorder="1" applyAlignment="1">
      <alignment horizontal="center" vertical="center"/>
    </xf>
    <xf numFmtId="1" fontId="28" fillId="3" borderId="29" xfId="0" applyNumberFormat="1" applyFont="1" applyFill="1" applyBorder="1" applyAlignment="1">
      <alignment horizontal="center" vertical="center"/>
    </xf>
    <xf numFmtId="9" fontId="29" fillId="0" borderId="30" xfId="0" applyNumberFormat="1" applyFont="1" applyFill="1" applyBorder="1" applyAlignment="1">
      <alignment horizontal="center" vertical="center"/>
    </xf>
    <xf numFmtId="1" fontId="23" fillId="3" borderId="6" xfId="0" applyNumberFormat="1" applyFont="1" applyFill="1" applyBorder="1" applyAlignment="1">
      <alignment horizontal="center" vertical="center"/>
    </xf>
    <xf numFmtId="1" fontId="23" fillId="0" borderId="6" xfId="0" applyNumberFormat="1" applyFont="1" applyFill="1" applyBorder="1" applyAlignment="1">
      <alignment horizontal="center" vertical="center"/>
    </xf>
    <xf numFmtId="1" fontId="23" fillId="0" borderId="29" xfId="0" applyNumberFormat="1" applyFont="1" applyFill="1" applyBorder="1" applyAlignment="1">
      <alignment horizontal="center" vertical="center"/>
    </xf>
    <xf numFmtId="164" fontId="30" fillId="0" borderId="14" xfId="0" applyNumberFormat="1" applyFont="1" applyBorder="1" applyAlignment="1">
      <alignment horizontal="center" vertical="center"/>
    </xf>
    <xf numFmtId="9" fontId="30" fillId="0" borderId="10" xfId="1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/>
    </xf>
    <xf numFmtId="9" fontId="28" fillId="3" borderId="4" xfId="1" applyFont="1" applyFill="1" applyBorder="1" applyAlignment="1">
      <alignment horizontal="center" vertical="center"/>
    </xf>
    <xf numFmtId="9" fontId="28" fillId="3" borderId="2" xfId="1" applyFont="1" applyFill="1" applyBorder="1" applyAlignment="1">
      <alignment horizontal="center" vertical="center"/>
    </xf>
    <xf numFmtId="9" fontId="28" fillId="3" borderId="3" xfId="1" applyFont="1" applyFill="1" applyBorder="1" applyAlignment="1">
      <alignment horizontal="center" vertical="center"/>
    </xf>
    <xf numFmtId="9" fontId="23" fillId="3" borderId="4" xfId="1" applyFont="1" applyFill="1" applyBorder="1" applyAlignment="1">
      <alignment horizontal="center" vertical="center"/>
    </xf>
    <xf numFmtId="9" fontId="23" fillId="3" borderId="2" xfId="1" applyFont="1" applyFill="1" applyBorder="1" applyAlignment="1">
      <alignment horizontal="center" vertical="center"/>
    </xf>
    <xf numFmtId="9" fontId="23" fillId="0" borderId="2" xfId="1" applyFont="1" applyFill="1" applyBorder="1" applyAlignment="1">
      <alignment horizontal="center" vertical="center"/>
    </xf>
    <xf numFmtId="9" fontId="23" fillId="3" borderId="3" xfId="1" applyFont="1" applyFill="1" applyBorder="1" applyAlignment="1">
      <alignment horizontal="center" vertical="center"/>
    </xf>
    <xf numFmtId="9" fontId="23" fillId="0" borderId="4" xfId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center" vertical="center"/>
    </xf>
    <xf numFmtId="1" fontId="23" fillId="0" borderId="14" xfId="0" applyNumberFormat="1" applyFont="1" applyFill="1" applyBorder="1" applyAlignment="1">
      <alignment horizontal="center" vertical="center"/>
    </xf>
    <xf numFmtId="9" fontId="29" fillId="0" borderId="14" xfId="0" applyNumberFormat="1" applyFont="1" applyFill="1" applyBorder="1" applyAlignment="1">
      <alignment horizontal="center" vertical="center"/>
    </xf>
    <xf numFmtId="9" fontId="29" fillId="0" borderId="12" xfId="0" applyNumberFormat="1" applyFont="1" applyFill="1" applyBorder="1" applyAlignment="1">
      <alignment horizontal="center" vertical="center"/>
    </xf>
    <xf numFmtId="1" fontId="23" fillId="0" borderId="11" xfId="0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center" vertical="center"/>
    </xf>
    <xf numFmtId="9" fontId="29" fillId="0" borderId="2" xfId="0" applyNumberFormat="1" applyFont="1" applyFill="1" applyBorder="1" applyAlignment="1">
      <alignment horizontal="center" vertical="center"/>
    </xf>
    <xf numFmtId="9" fontId="29" fillId="0" borderId="3" xfId="0" applyNumberFormat="1" applyFont="1" applyFill="1" applyBorder="1" applyAlignment="1">
      <alignment horizontal="center" vertical="center"/>
    </xf>
    <xf numFmtId="164" fontId="30" fillId="0" borderId="0" xfId="0" applyNumberFormat="1" applyFont="1" applyBorder="1" applyAlignment="1">
      <alignment horizontal="center" vertical="center"/>
    </xf>
    <xf numFmtId="9" fontId="30" fillId="0" borderId="0" xfId="1" applyFont="1" applyFill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9" fontId="33" fillId="0" borderId="4" xfId="1" applyFont="1" applyBorder="1" applyAlignment="1">
      <alignment horizontal="center" vertical="center"/>
    </xf>
    <xf numFmtId="9" fontId="33" fillId="0" borderId="2" xfId="1" applyFont="1" applyBorder="1" applyAlignment="1">
      <alignment horizontal="center" vertical="center"/>
    </xf>
    <xf numFmtId="9" fontId="33" fillId="0" borderId="3" xfId="1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9" fontId="28" fillId="15" borderId="4" xfId="0" applyNumberFormat="1" applyFont="1" applyFill="1" applyBorder="1" applyAlignment="1">
      <alignment horizontal="center" vertical="center"/>
    </xf>
    <xf numFmtId="9" fontId="28" fillId="15" borderId="3" xfId="0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9" fontId="36" fillId="14" borderId="1" xfId="0" applyNumberFormat="1" applyFont="1" applyFill="1" applyBorder="1" applyAlignment="1">
      <alignment horizontal="center" vertical="center"/>
    </xf>
    <xf numFmtId="9" fontId="36" fillId="14" borderId="19" xfId="0" applyNumberFormat="1" applyFont="1" applyFill="1" applyBorder="1" applyAlignment="1">
      <alignment horizontal="center" vertical="center"/>
    </xf>
    <xf numFmtId="9" fontId="36" fillId="14" borderId="13" xfId="0" applyNumberFormat="1" applyFont="1" applyFill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9" fontId="36" fillId="14" borderId="17" xfId="0" applyNumberFormat="1" applyFont="1" applyFill="1" applyBorder="1" applyAlignment="1">
      <alignment horizontal="center" vertical="center"/>
    </xf>
    <xf numFmtId="9" fontId="36" fillId="14" borderId="0" xfId="0" applyNumberFormat="1" applyFont="1" applyFill="1" applyBorder="1" applyAlignment="1">
      <alignment horizontal="center" vertical="center"/>
    </xf>
    <xf numFmtId="9" fontId="36" fillId="14" borderId="18" xfId="0" applyNumberFormat="1" applyFont="1" applyFill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9" fontId="36" fillId="14" borderId="11" xfId="0" applyNumberFormat="1" applyFont="1" applyFill="1" applyBorder="1" applyAlignment="1">
      <alignment horizontal="center" vertical="center"/>
    </xf>
    <xf numFmtId="9" fontId="36" fillId="14" borderId="14" xfId="0" applyNumberFormat="1" applyFont="1" applyFill="1" applyBorder="1" applyAlignment="1">
      <alignment horizontal="center" vertical="center"/>
    </xf>
    <xf numFmtId="9" fontId="36" fillId="14" borderId="12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1" fontId="0" fillId="0" borderId="0" xfId="0" applyNumberFormat="1"/>
    <xf numFmtId="0" fontId="0" fillId="0" borderId="0" xfId="0" applyFill="1" applyBorder="1" applyAlignment="1"/>
    <xf numFmtId="164" fontId="0" fillId="0" borderId="0" xfId="0" applyNumberFormat="1"/>
    <xf numFmtId="0" fontId="22" fillId="2" borderId="10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9" fontId="34" fillId="0" borderId="21" xfId="1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9" fontId="34" fillId="0" borderId="25" xfId="1" applyFont="1" applyBorder="1" applyAlignment="1">
      <alignment horizontal="center" vertical="center"/>
    </xf>
    <xf numFmtId="0" fontId="34" fillId="0" borderId="31" xfId="0" applyFont="1" applyBorder="1" applyAlignment="1">
      <alignment horizontal="center" vertical="center"/>
    </xf>
    <xf numFmtId="9" fontId="22" fillId="0" borderId="10" xfId="0" applyNumberFormat="1" applyFont="1" applyBorder="1" applyAlignment="1">
      <alignment horizontal="center" vertical="center"/>
    </xf>
  </cellXfs>
  <cellStyles count="2">
    <cellStyle name="Normal" xfId="0" builtinId="0"/>
    <cellStyle name="Porcentual" xfId="1" builtinId="5"/>
  </cellStyles>
  <dxfs count="30">
    <dxf>
      <font>
        <color rgb="FF9C6500"/>
      </font>
      <fill>
        <patternFill>
          <bgColor rgb="FFFFEB9C"/>
        </patternFill>
      </fill>
    </dxf>
    <dxf>
      <fill>
        <patternFill patternType="solid">
          <fgColor auto="1"/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auto="1"/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>
        <c:manualLayout>
          <c:layoutTarget val="inner"/>
          <c:xMode val="edge"/>
          <c:yMode val="edge"/>
          <c:x val="7.4613967110272503E-2"/>
          <c:y val="2.5133082404341686E-2"/>
          <c:w val="0.78489386900225577"/>
          <c:h val="0.87015458381793875"/>
        </c:manualLayout>
      </c:layout>
      <c:scatterChart>
        <c:scatterStyle val="smoothMarker"/>
        <c:ser>
          <c:idx val="0"/>
          <c:order val="0"/>
          <c:tx>
            <c:strRef>
              <c:f>'29 FEBRERO'!$B$25</c:f>
              <c:strCache>
                <c:ptCount val="1"/>
                <c:pt idx="0">
                  <c:v>% PRODUCTIVIDAD</c:v>
                </c:pt>
              </c:strCache>
            </c:strRef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lang="es-ES" sz="1600" baseline="0">
                    <a:solidFill>
                      <a:schemeClr val="tx2"/>
                    </a:solidFill>
                  </a:defRPr>
                </a:pPr>
                <a:endParaRPr lang="es-AR"/>
              </a:p>
            </c:txPr>
            <c:dLblPos val="t"/>
            <c:showVal val="1"/>
          </c:dLbls>
          <c:trendline>
            <c:name>TENDENCIA</c:name>
            <c:spPr>
              <a:ln w="28575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</c:trendline>
          <c:xVal>
            <c:strRef>
              <c:f>'29 FEBRERO'!$A$26:$A$34</c:f>
              <c:strCache>
                <c:ptCount val="9"/>
                <c:pt idx="0">
                  <c:v>1ra</c:v>
                </c:pt>
                <c:pt idx="1">
                  <c:v>2da</c:v>
                </c:pt>
                <c:pt idx="2">
                  <c:v>3ra</c:v>
                </c:pt>
                <c:pt idx="3">
                  <c:v>4ta</c:v>
                </c:pt>
                <c:pt idx="4">
                  <c:v>5ta</c:v>
                </c:pt>
                <c:pt idx="5">
                  <c:v>6ta</c:v>
                </c:pt>
                <c:pt idx="6">
                  <c:v>7ma</c:v>
                </c:pt>
                <c:pt idx="7">
                  <c:v>8va</c:v>
                </c:pt>
                <c:pt idx="8">
                  <c:v>9na</c:v>
                </c:pt>
              </c:strCache>
            </c:strRef>
          </c:xVal>
          <c:yVal>
            <c:numRef>
              <c:f>'29 FEBRERO'!$B$26:$B$34</c:f>
              <c:numCache>
                <c:formatCode>0%</c:formatCode>
                <c:ptCount val="9"/>
                <c:pt idx="0">
                  <c:v>0.71110399471314167</c:v>
                </c:pt>
                <c:pt idx="1">
                  <c:v>0.84724040822468683</c:v>
                </c:pt>
                <c:pt idx="2">
                  <c:v>0.88184693046284734</c:v>
                </c:pt>
                <c:pt idx="3">
                  <c:v>0.90538659802049304</c:v>
                </c:pt>
                <c:pt idx="4">
                  <c:v>0.88804273389048471</c:v>
                </c:pt>
                <c:pt idx="5">
                  <c:v>0.83472918770045279</c:v>
                </c:pt>
                <c:pt idx="6">
                  <c:v>0.78875340724592069</c:v>
                </c:pt>
                <c:pt idx="7">
                  <c:v>0.75502425462538036</c:v>
                </c:pt>
                <c:pt idx="8">
                  <c:v>0.88234869705457919</c:v>
                </c:pt>
              </c:numCache>
            </c:numRef>
          </c:yVal>
          <c:smooth val="1"/>
        </c:ser>
        <c:axId val="152532096"/>
        <c:axId val="152534016"/>
      </c:scatterChart>
      <c:valAx>
        <c:axId val="152532096"/>
        <c:scaling>
          <c:orientation val="minMax"/>
          <c:max val="10"/>
          <c:min val="1"/>
        </c:scaling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lang="es-ES" sz="2800" baseline="0"/>
                </a:pPr>
                <a:r>
                  <a:rPr lang="en-US" sz="2800" baseline="0"/>
                  <a:t>HORAS</a:t>
                </a:r>
              </a:p>
            </c:rich>
          </c:tx>
          <c:layout>
            <c:manualLayout>
              <c:xMode val="edge"/>
              <c:yMode val="edge"/>
              <c:x val="0.43363225693613427"/>
              <c:y val="0.947998367506779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es-ES" sz="1600" baseline="0"/>
            </a:pPr>
            <a:endParaRPr lang="es-AR"/>
          </a:p>
        </c:txPr>
        <c:crossAx val="152534016"/>
        <c:crosses val="autoZero"/>
        <c:crossBetween val="midCat"/>
      </c:valAx>
      <c:valAx>
        <c:axId val="152534016"/>
        <c:scaling>
          <c:orientation val="minMax"/>
          <c:min val="0"/>
        </c:scaling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lang="es-ES" sz="2800" baseline="0"/>
                </a:pPr>
                <a:r>
                  <a:rPr lang="en-US" sz="2800" baseline="0"/>
                  <a:t>PRODUCTIVIDAD</a:t>
                </a:r>
              </a:p>
            </c:rich>
          </c:tx>
          <c:layout>
            <c:manualLayout>
              <c:xMode val="edge"/>
              <c:yMode val="edge"/>
              <c:x val="4.5137086891787531E-3"/>
              <c:y val="0.30689297818633798"/>
            </c:manualLayout>
          </c:layout>
        </c:title>
        <c:numFmt formatCode="0%" sourceLinked="1"/>
        <c:tickLblPos val="nextTo"/>
        <c:txPr>
          <a:bodyPr/>
          <a:lstStyle/>
          <a:p>
            <a:pPr>
              <a:defRPr lang="es-ES" sz="1600" baseline="0"/>
            </a:pPr>
            <a:endParaRPr lang="es-AR"/>
          </a:p>
        </c:txPr>
        <c:crossAx val="152532096"/>
        <c:crosses val="autoZero"/>
        <c:crossBetween val="midCat"/>
      </c:valAx>
    </c:plotArea>
    <c:legend>
      <c:legendPos val="r"/>
      <c:legendEntry>
        <c:idx val="1"/>
        <c:txPr>
          <a:bodyPr/>
          <a:lstStyle/>
          <a:p>
            <a:pPr>
              <a:defRPr lang="es-ES" sz="1500" b="1" baseline="0"/>
            </a:pPr>
            <a:endParaRPr lang="es-AR"/>
          </a:p>
        </c:txPr>
      </c:legendEntry>
      <c:legendEntry>
        <c:idx val="0"/>
        <c:txPr>
          <a:bodyPr/>
          <a:lstStyle/>
          <a:p>
            <a:pPr>
              <a:defRPr lang="es-ES" sz="1500" b="1" baseline="0"/>
            </a:pPr>
            <a:endParaRPr lang="es-AR"/>
          </a:p>
        </c:txPr>
      </c:legendEntry>
      <c:layout>
        <c:manualLayout>
          <c:xMode val="edge"/>
          <c:yMode val="edge"/>
          <c:x val="0.85051945976877263"/>
          <c:y val="0.42390104543261681"/>
          <c:w val="0.14818884871078664"/>
          <c:h val="0.14741284031408991"/>
        </c:manualLayout>
      </c:layout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302403</xdr:colOff>
      <xdr:row>23</xdr:row>
      <xdr:rowOff>234461</xdr:rowOff>
    </xdr:from>
    <xdr:to>
      <xdr:col>12</xdr:col>
      <xdr:colOff>996462</xdr:colOff>
      <xdr:row>56</xdr:row>
      <xdr:rowOff>131885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104"/>
  <sheetViews>
    <sheetView tabSelected="1" zoomScale="80" zoomScaleNormal="80" workbookViewId="0">
      <selection activeCell="C11" sqref="C11"/>
    </sheetView>
  </sheetViews>
  <sheetFormatPr baseColWidth="10" defaultRowHeight="15"/>
  <cols>
    <col min="1" max="1" width="41.7109375" bestFit="1" customWidth="1"/>
    <col min="2" max="2" width="30.5703125" bestFit="1" customWidth="1"/>
    <col min="3" max="3" width="25.42578125" customWidth="1"/>
    <col min="4" max="4" width="24" customWidth="1"/>
    <col min="5" max="5" width="24.7109375" customWidth="1"/>
    <col min="6" max="6" width="25" customWidth="1"/>
    <col min="7" max="7" width="24" customWidth="1"/>
    <col min="8" max="8" width="22.28515625" customWidth="1"/>
    <col min="9" max="9" width="20.5703125" customWidth="1"/>
    <col min="10" max="10" width="28" customWidth="1"/>
    <col min="11" max="11" width="22.42578125" customWidth="1"/>
    <col min="12" max="12" width="22" customWidth="1"/>
    <col min="13" max="13" width="25.42578125" customWidth="1"/>
    <col min="14" max="14" width="22" customWidth="1"/>
    <col min="15" max="15" width="21.5703125" customWidth="1"/>
    <col min="16" max="16" width="20.85546875" customWidth="1"/>
    <col min="17" max="17" width="22.5703125" customWidth="1"/>
    <col min="18" max="18" width="19.42578125" customWidth="1"/>
    <col min="19" max="19" width="27.140625" customWidth="1"/>
    <col min="20" max="20" width="21" customWidth="1"/>
    <col min="21" max="21" width="19.5703125" customWidth="1"/>
    <col min="22" max="22" width="22.140625" customWidth="1"/>
    <col min="23" max="23" width="23.140625" customWidth="1"/>
    <col min="24" max="24" width="22" customWidth="1"/>
    <col min="25" max="25" width="20.28515625" customWidth="1"/>
    <col min="26" max="26" width="21.85546875" customWidth="1"/>
    <col min="27" max="27" width="20.7109375" customWidth="1"/>
    <col min="28" max="28" width="27.5703125" customWidth="1"/>
    <col min="29" max="29" width="21" customWidth="1"/>
    <col min="30" max="30" width="21.28515625" customWidth="1"/>
    <col min="31" max="31" width="20.85546875" customWidth="1"/>
    <col min="32" max="32" width="19.7109375" customWidth="1"/>
    <col min="33" max="33" width="21.140625" customWidth="1"/>
    <col min="34" max="34" width="21.85546875" customWidth="1"/>
    <col min="35" max="35" width="24.5703125" customWidth="1"/>
    <col min="36" max="36" width="22.7109375" customWidth="1"/>
    <col min="37" max="37" width="20.7109375" customWidth="1"/>
    <col min="38" max="38" width="20.28515625" customWidth="1"/>
    <col min="39" max="39" width="25.42578125" bestFit="1" customWidth="1"/>
    <col min="40" max="40" width="37.28515625" style="5" bestFit="1" customWidth="1"/>
  </cols>
  <sheetData>
    <row r="1" spans="1:40" ht="45.75" customHeight="1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4">
        <v>3</v>
      </c>
    </row>
    <row r="2" spans="1:40" ht="49.5" customHeight="1" thickBot="1">
      <c r="A2" s="6" t="s">
        <v>1</v>
      </c>
      <c r="B2" s="7" t="s">
        <v>2</v>
      </c>
      <c r="C2" s="8"/>
      <c r="D2" s="8"/>
      <c r="E2" s="8"/>
      <c r="F2" s="9"/>
      <c r="G2" s="9"/>
      <c r="H2" s="10" t="s">
        <v>3</v>
      </c>
      <c r="I2" s="11">
        <f>(B3+D3+F3+H3)/(B3+C3+D3+E3+F3+G3+H3+I3)</f>
        <v>0.875</v>
      </c>
      <c r="J2" s="12">
        <v>3</v>
      </c>
      <c r="K2" s="13" t="s">
        <v>2</v>
      </c>
      <c r="L2" s="14"/>
      <c r="M2" s="14"/>
      <c r="N2" s="14"/>
      <c r="O2" s="15"/>
      <c r="P2" s="15"/>
      <c r="Q2" s="16" t="s">
        <v>4</v>
      </c>
      <c r="R2" s="17">
        <f>(K3+M3+O3+Q3)/(K3+L3+M3+N3+O3+P3+Q3+R3)</f>
        <v>0.8666666666666667</v>
      </c>
      <c r="S2" s="18"/>
      <c r="T2" s="19" t="s">
        <v>5</v>
      </c>
      <c r="U2" s="20"/>
      <c r="V2" s="20"/>
      <c r="W2" s="20"/>
      <c r="X2" s="21"/>
      <c r="Y2" s="21"/>
      <c r="Z2" s="22" t="s">
        <v>6</v>
      </c>
      <c r="AA2" s="23">
        <f>+(T3+V3+X3+Z3)/(T3+U3+V3+W3+X3+Y3+Z3+AA3)</f>
        <v>0.875</v>
      </c>
      <c r="AB2" s="24"/>
      <c r="AC2" s="25" t="s">
        <v>7</v>
      </c>
      <c r="AD2" s="26"/>
      <c r="AE2" s="26"/>
      <c r="AF2" s="26"/>
      <c r="AG2" s="26"/>
      <c r="AH2" s="27"/>
      <c r="AI2" s="27"/>
      <c r="AJ2" s="27"/>
      <c r="AK2" s="28" t="s">
        <v>8</v>
      </c>
      <c r="AL2" s="29">
        <f>+(AC3+AE3+AG3+AI3)/(AC3+AD3+AE3+AF3+AG3+AH3+AI3+AJ3)</f>
        <v>0.9375</v>
      </c>
      <c r="AM2" s="4"/>
    </row>
    <row r="3" spans="1:40" ht="28.5" customHeight="1" thickBot="1">
      <c r="A3" s="30">
        <f>+(C3+E3+G3+I3+L3+N3+P3+R3+U3+W3+Y3+AA3+AD3+AF3+AH3+AJ3)/(B3+C3+D3+E3+F3+G3+H3+I3+K3+L3+M3+N3+O3+P3+Q3+R3+T3+U3+V3+W3+X3+Y3+Z3+AA3+AC3+AD3+AE3+AF3+AG3+AH3+AI3+AJ3)</f>
        <v>0.1111111111111111</v>
      </c>
      <c r="B3" s="31">
        <v>4</v>
      </c>
      <c r="C3" s="32">
        <v>0</v>
      </c>
      <c r="D3" s="12">
        <v>3</v>
      </c>
      <c r="E3" s="32">
        <v>1</v>
      </c>
      <c r="F3" s="12">
        <v>4</v>
      </c>
      <c r="G3" s="32">
        <v>0</v>
      </c>
      <c r="H3" s="12">
        <v>3</v>
      </c>
      <c r="I3" s="32">
        <v>1</v>
      </c>
      <c r="J3" s="33" t="s">
        <v>9</v>
      </c>
      <c r="K3" s="34">
        <v>3</v>
      </c>
      <c r="L3" s="35">
        <v>1</v>
      </c>
      <c r="M3" s="34">
        <v>4</v>
      </c>
      <c r="N3" s="35">
        <v>0</v>
      </c>
      <c r="O3" s="34">
        <v>3</v>
      </c>
      <c r="P3" s="35">
        <v>1</v>
      </c>
      <c r="Q3" s="34">
        <v>3</v>
      </c>
      <c r="R3" s="35">
        <v>0</v>
      </c>
      <c r="S3" s="33" t="s">
        <v>9</v>
      </c>
      <c r="T3" s="34">
        <v>3</v>
      </c>
      <c r="U3" s="35">
        <v>1</v>
      </c>
      <c r="V3" s="34">
        <v>3</v>
      </c>
      <c r="W3" s="35">
        <v>1</v>
      </c>
      <c r="X3" s="34">
        <v>4</v>
      </c>
      <c r="Y3" s="35">
        <v>0</v>
      </c>
      <c r="Z3" s="34">
        <v>4</v>
      </c>
      <c r="AA3" s="35">
        <v>0</v>
      </c>
      <c r="AB3" s="33" t="s">
        <v>9</v>
      </c>
      <c r="AC3" s="34">
        <v>4</v>
      </c>
      <c r="AD3" s="35">
        <v>0</v>
      </c>
      <c r="AE3" s="34">
        <v>4</v>
      </c>
      <c r="AF3" s="35">
        <v>0</v>
      </c>
      <c r="AG3" s="34">
        <v>4</v>
      </c>
      <c r="AH3" s="35">
        <v>0</v>
      </c>
      <c r="AI3" s="34">
        <v>3</v>
      </c>
      <c r="AJ3" s="35">
        <v>1</v>
      </c>
      <c r="AK3" s="34">
        <v>4</v>
      </c>
      <c r="AL3" s="35">
        <v>0</v>
      </c>
      <c r="AM3" s="36">
        <f>(ROUND((AM1*60)/17.8,0))</f>
        <v>10</v>
      </c>
    </row>
    <row r="4" spans="1:40" ht="28.5" customHeight="1" thickBot="1">
      <c r="A4" s="37" t="s">
        <v>10</v>
      </c>
      <c r="B4" s="38" t="s">
        <v>11</v>
      </c>
      <c r="C4" s="39"/>
      <c r="D4" s="40" t="s">
        <v>12</v>
      </c>
      <c r="E4" s="41"/>
      <c r="F4" s="40" t="s">
        <v>13</v>
      </c>
      <c r="G4" s="41"/>
      <c r="H4" s="42" t="s">
        <v>14</v>
      </c>
      <c r="I4" s="43"/>
      <c r="J4" s="44">
        <v>3</v>
      </c>
      <c r="K4" s="45" t="s">
        <v>15</v>
      </c>
      <c r="L4" s="46"/>
      <c r="M4" s="47" t="s">
        <v>16</v>
      </c>
      <c r="N4" s="48"/>
      <c r="O4" s="47" t="s">
        <v>17</v>
      </c>
      <c r="P4" s="48"/>
      <c r="Q4" s="47" t="s">
        <v>18</v>
      </c>
      <c r="R4" s="48"/>
      <c r="S4" s="49">
        <f>ROUND(($O$3*60)/8.81,0)</f>
        <v>20</v>
      </c>
      <c r="T4" s="50" t="s">
        <v>19</v>
      </c>
      <c r="U4" s="51"/>
      <c r="V4" s="52" t="s">
        <v>20</v>
      </c>
      <c r="W4" s="53"/>
      <c r="X4" s="52" t="s">
        <v>14</v>
      </c>
      <c r="Y4" s="53"/>
      <c r="Z4" s="52" t="s">
        <v>14</v>
      </c>
      <c r="AA4" s="53"/>
      <c r="AB4" s="24"/>
      <c r="AC4" s="54" t="s">
        <v>21</v>
      </c>
      <c r="AD4" s="55"/>
      <c r="AE4" s="54" t="s">
        <v>22</v>
      </c>
      <c r="AF4" s="55"/>
      <c r="AG4" s="54" t="s">
        <v>21</v>
      </c>
      <c r="AH4" s="55"/>
      <c r="AI4" s="54" t="s">
        <v>23</v>
      </c>
      <c r="AJ4" s="55"/>
      <c r="AK4" s="54" t="s">
        <v>22</v>
      </c>
      <c r="AL4" s="55"/>
      <c r="AM4" s="36">
        <f>(ROUND((AM1*30)/17.8,0))</f>
        <v>5</v>
      </c>
    </row>
    <row r="5" spans="1:40" s="60" customFormat="1" ht="30.75" customHeight="1" thickBot="1">
      <c r="A5" s="56" t="s">
        <v>24</v>
      </c>
      <c r="B5" s="44">
        <f>ROUND((B3*60)/(10.95),0)</f>
        <v>22</v>
      </c>
      <c r="C5" s="44">
        <f>ROUND((B3*30)/(10.95),0)</f>
        <v>11</v>
      </c>
      <c r="D5" s="44">
        <f>ROUND((D3*60)/(8.5),0)</f>
        <v>21</v>
      </c>
      <c r="E5" s="44">
        <f>ROUND((D3*30)/(8.5),0)</f>
        <v>11</v>
      </c>
      <c r="F5" s="44">
        <f>ROUND((F3*60)/10.58,0)</f>
        <v>23</v>
      </c>
      <c r="G5" s="44">
        <f>ROUND((F3*30)/10.58,0)</f>
        <v>11</v>
      </c>
      <c r="H5" s="44">
        <f>ROUND(($H$3*60)/8.81,0)</f>
        <v>20</v>
      </c>
      <c r="I5" s="57">
        <f>ROUND(($H$3*30)/8.81,0)</f>
        <v>10</v>
      </c>
      <c r="J5" s="49">
        <f>ROUND((J4*60)/14,0)</f>
        <v>13</v>
      </c>
      <c r="K5" s="44">
        <f>ROUND((K3*60)/10.58,0)</f>
        <v>17</v>
      </c>
      <c r="L5" s="44">
        <f>ROUND((K3*30)/10.58,0)</f>
        <v>9</v>
      </c>
      <c r="M5" s="49">
        <f>ROUND((M3*60)/14,0)</f>
        <v>17</v>
      </c>
      <c r="N5" s="49">
        <f>ROUND((3*30)/14,0)</f>
        <v>6</v>
      </c>
      <c r="O5" s="49">
        <f>ROUND(($O$3*60)/8.81,0)</f>
        <v>20</v>
      </c>
      <c r="P5" s="49">
        <f>ROUND(($O$3*30)/8.81,0)</f>
        <v>10</v>
      </c>
      <c r="Q5" s="49">
        <f>ROUND((Q3*60)/14,0)</f>
        <v>13</v>
      </c>
      <c r="R5" s="58">
        <f>ROUND((Q3*30)/14,0)</f>
        <v>6</v>
      </c>
      <c r="S5" s="36">
        <f>ROUND((T3*60)/9.53,0)</f>
        <v>19</v>
      </c>
      <c r="T5" s="36">
        <f>ROUND((T3*60)/10.13,0)</f>
        <v>18</v>
      </c>
      <c r="U5" s="36">
        <f>ROUND((T3*30)/10.13,0)</f>
        <v>9</v>
      </c>
      <c r="V5" s="36">
        <f>(ROUND((V3*60)/10.95,0))</f>
        <v>16</v>
      </c>
      <c r="W5" s="36">
        <f>(ROUND((V3*30)/10.95,0))</f>
        <v>8</v>
      </c>
      <c r="X5" s="36">
        <f>(ROUND((X3*60)/8.81,0))</f>
        <v>27</v>
      </c>
      <c r="Y5" s="36">
        <f>(ROUND((X3*30)/8.81,0))</f>
        <v>14</v>
      </c>
      <c r="Z5" s="36">
        <f>(ROUND((Z3*60)/8.81,0))</f>
        <v>27</v>
      </c>
      <c r="AA5" s="59">
        <f>(ROUND((Z3*30)/8.81,0))</f>
        <v>14</v>
      </c>
      <c r="AB5" s="36">
        <f>ROUND((3*60)/12,0)</f>
        <v>15</v>
      </c>
      <c r="AC5" s="36">
        <f>ROUND(($AC$3*60)/12,0)</f>
        <v>20</v>
      </c>
      <c r="AD5" s="36">
        <f>ROUND((3*30)/12,0)</f>
        <v>8</v>
      </c>
      <c r="AE5" s="36">
        <f>(ROUND((AE3*60)/17.8,0))</f>
        <v>13</v>
      </c>
      <c r="AF5" s="36">
        <f>(ROUND((AE3*30)/17.8,0))</f>
        <v>7</v>
      </c>
      <c r="AG5" s="36">
        <f>ROUND((AG3*60)/12,0)</f>
        <v>20</v>
      </c>
      <c r="AH5" s="36">
        <f>ROUND((AG3*30)/12,0)</f>
        <v>10</v>
      </c>
      <c r="AI5" s="36">
        <f>ROUND((AI3*60)/10.83,0)</f>
        <v>17</v>
      </c>
      <c r="AJ5" s="36">
        <f>ROUND((AI3*30)/10.83,0)</f>
        <v>8</v>
      </c>
      <c r="AK5" s="36">
        <f>(ROUND((AK3*60)/17.8,0))</f>
        <v>13</v>
      </c>
      <c r="AL5" s="59">
        <f>(ROUND((AK3*30)/17.8,0))</f>
        <v>7</v>
      </c>
      <c r="AM5" s="4"/>
      <c r="AN5" s="5"/>
    </row>
    <row r="6" spans="1:40" ht="30.75" customHeight="1" thickBot="1">
      <c r="A6" s="61" t="s">
        <v>25</v>
      </c>
      <c r="B6" s="62">
        <v>14</v>
      </c>
      <c r="C6" s="63"/>
      <c r="D6" s="62">
        <v>16</v>
      </c>
      <c r="E6" s="63"/>
      <c r="F6" s="62">
        <v>8</v>
      </c>
      <c r="G6" s="63"/>
      <c r="H6" s="64">
        <v>5</v>
      </c>
      <c r="I6" s="65"/>
      <c r="J6" s="49">
        <f>ROUND((2*30)/14,0)</f>
        <v>4</v>
      </c>
      <c r="K6" s="66">
        <v>18</v>
      </c>
      <c r="L6" s="67"/>
      <c r="M6" s="62">
        <v>2</v>
      </c>
      <c r="N6" s="63"/>
      <c r="O6" s="62">
        <v>9</v>
      </c>
      <c r="P6" s="63"/>
      <c r="Q6" s="62">
        <v>12</v>
      </c>
      <c r="R6" s="63"/>
      <c r="S6" s="36">
        <f>ROUND((T3*30)/9.53,0)</f>
        <v>9</v>
      </c>
      <c r="T6" s="66">
        <v>21</v>
      </c>
      <c r="U6" s="67"/>
      <c r="V6" s="66">
        <v>10</v>
      </c>
      <c r="W6" s="67"/>
      <c r="X6" s="68">
        <v>20</v>
      </c>
      <c r="Y6" s="67"/>
      <c r="Z6" s="66">
        <v>19</v>
      </c>
      <c r="AA6" s="67"/>
      <c r="AB6" s="36">
        <f>(ROUND((3*60)/17.8,0))</f>
        <v>10</v>
      </c>
      <c r="AC6" s="62">
        <v>3</v>
      </c>
      <c r="AD6" s="63"/>
      <c r="AE6" s="62">
        <v>7</v>
      </c>
      <c r="AF6" s="63"/>
      <c r="AG6" s="62">
        <v>15</v>
      </c>
      <c r="AH6" s="63"/>
      <c r="AI6" s="62">
        <v>4</v>
      </c>
      <c r="AJ6" s="63"/>
      <c r="AK6" s="64">
        <v>1</v>
      </c>
      <c r="AL6" s="65"/>
      <c r="AM6" s="69" t="s">
        <v>26</v>
      </c>
      <c r="AN6" s="69" t="s">
        <v>27</v>
      </c>
    </row>
    <row r="7" spans="1:40" ht="30.75" customHeight="1" thickBot="1">
      <c r="A7" s="70">
        <v>0.29166666666666669</v>
      </c>
      <c r="B7" s="71">
        <v>19</v>
      </c>
      <c r="C7" s="72">
        <f>B7/$B$5</f>
        <v>0.86363636363636365</v>
      </c>
      <c r="D7" s="73">
        <v>19</v>
      </c>
      <c r="E7" s="72">
        <f>D7/$D$5</f>
        <v>0.90476190476190477</v>
      </c>
      <c r="F7" s="73">
        <v>20</v>
      </c>
      <c r="G7" s="74">
        <f>F7/$F$5</f>
        <v>0.86956521739130432</v>
      </c>
      <c r="H7" s="73">
        <v>9</v>
      </c>
      <c r="I7" s="75">
        <f>H7/$H$5</f>
        <v>0.45</v>
      </c>
      <c r="J7" s="18"/>
      <c r="K7" s="71">
        <v>17</v>
      </c>
      <c r="L7" s="74">
        <f>K7/$K$5</f>
        <v>1</v>
      </c>
      <c r="M7" s="73">
        <v>13</v>
      </c>
      <c r="N7" s="74">
        <f>M7/$M$5</f>
        <v>0.76470588235294112</v>
      </c>
      <c r="O7" s="73">
        <v>10</v>
      </c>
      <c r="P7" s="74">
        <f>O7/$O$5</f>
        <v>0.5</v>
      </c>
      <c r="Q7" s="76">
        <v>8</v>
      </c>
      <c r="R7" s="75">
        <f>Q7/$Q$5</f>
        <v>0.61538461538461542</v>
      </c>
      <c r="S7" s="77"/>
      <c r="T7" s="78">
        <v>4</v>
      </c>
      <c r="U7" s="74">
        <f>T7/$T$5</f>
        <v>0.22222222222222221</v>
      </c>
      <c r="V7" s="79">
        <v>0</v>
      </c>
      <c r="W7" s="74">
        <f>V7/$V$5</f>
        <v>0</v>
      </c>
      <c r="X7" s="76">
        <v>15</v>
      </c>
      <c r="Y7" s="74">
        <f>X7/$X$5</f>
        <v>0.55555555555555558</v>
      </c>
      <c r="Z7" s="76">
        <v>21</v>
      </c>
      <c r="AA7" s="75">
        <f>Z7/$Z$5</f>
        <v>0.77777777777777779</v>
      </c>
      <c r="AB7" s="80">
        <f>ROUND((3*60)/12,0)</f>
        <v>15</v>
      </c>
      <c r="AC7" s="78">
        <v>20</v>
      </c>
      <c r="AD7" s="74">
        <f>+AC7/$AC$5</f>
        <v>1</v>
      </c>
      <c r="AE7" s="76">
        <v>15</v>
      </c>
      <c r="AF7" s="74">
        <f>AE7/$AE$5</f>
        <v>1.1538461538461537</v>
      </c>
      <c r="AG7" s="76">
        <v>18</v>
      </c>
      <c r="AH7" s="74">
        <f>AG7/$AG$5</f>
        <v>0.9</v>
      </c>
      <c r="AI7" s="76">
        <v>10</v>
      </c>
      <c r="AJ7" s="74">
        <f>+AI7/$AI$5</f>
        <v>0.58823529411764708</v>
      </c>
      <c r="AK7" s="76">
        <v>12</v>
      </c>
      <c r="AL7" s="75">
        <f>+AK7/$AK$5</f>
        <v>0.92307692307692313</v>
      </c>
      <c r="AM7" s="81">
        <f>SUM(B7,D7,F7,H7,K7,M7,O7,Q7,T7,V7,X7,Z7,AC7,AE7,AG7,AI7,AK7)</f>
        <v>230</v>
      </c>
      <c r="AN7" s="82">
        <f>AVERAGE(AA7,Y7,W7,U7,R7,P7,N7,L7,I7,G7,E7,C7,AD7,AF7,AH7,AJ7,AL7)</f>
        <v>0.71110399471314167</v>
      </c>
    </row>
    <row r="8" spans="1:40" ht="31.5" customHeight="1">
      <c r="A8" s="70">
        <v>0.33333333333333298</v>
      </c>
      <c r="B8" s="83">
        <v>17</v>
      </c>
      <c r="C8" s="84">
        <f t="shared" ref="C8:C10" si="0">B8/$B$5</f>
        <v>0.77272727272727271</v>
      </c>
      <c r="D8" s="85">
        <v>19</v>
      </c>
      <c r="E8" s="84">
        <f t="shared" ref="E8:E10" si="1">D8/$D$5</f>
        <v>0.90476190476190477</v>
      </c>
      <c r="F8" s="85">
        <v>26</v>
      </c>
      <c r="G8" s="86">
        <f t="shared" ref="G8:G10" si="2">F8/$F$5</f>
        <v>1.1304347826086956</v>
      </c>
      <c r="H8" s="85">
        <v>14</v>
      </c>
      <c r="I8" s="87">
        <f t="shared" ref="I8:I10" si="3">H8/$H$5</f>
        <v>0.7</v>
      </c>
      <c r="J8" s="18"/>
      <c r="K8" s="83">
        <v>19</v>
      </c>
      <c r="L8" s="86">
        <f t="shared" ref="L8:L11" si="4">K8/$K$5</f>
        <v>1.1176470588235294</v>
      </c>
      <c r="M8" s="88">
        <v>18</v>
      </c>
      <c r="N8" s="86">
        <f t="shared" ref="N8:N14" si="5">M8/$M$5</f>
        <v>1.0588235294117647</v>
      </c>
      <c r="O8" s="85">
        <v>11</v>
      </c>
      <c r="P8" s="86">
        <f t="shared" ref="P8:P11" si="6">O8/$O$5</f>
        <v>0.55000000000000004</v>
      </c>
      <c r="Q8" s="88">
        <v>10</v>
      </c>
      <c r="R8" s="87">
        <f t="shared" ref="R8:R11" si="7">Q8/$Q$5</f>
        <v>0.76923076923076927</v>
      </c>
      <c r="S8" s="89"/>
      <c r="T8" s="90">
        <v>18</v>
      </c>
      <c r="U8" s="86">
        <f t="shared" ref="U8:U9" si="8">T8/$T$5</f>
        <v>1</v>
      </c>
      <c r="V8" s="91">
        <v>1</v>
      </c>
      <c r="W8" s="86">
        <f t="shared" ref="W8:W13" si="9">V8/$V$5</f>
        <v>6.25E-2</v>
      </c>
      <c r="X8" s="88">
        <v>23</v>
      </c>
      <c r="Y8" s="86">
        <f t="shared" ref="Y8:Y14" si="10">X8/$X$5</f>
        <v>0.85185185185185186</v>
      </c>
      <c r="Z8" s="88">
        <v>23</v>
      </c>
      <c r="AA8" s="87">
        <f t="shared" ref="AA8:AA14" si="11">Z8/$Z$5</f>
        <v>0.85185185185185186</v>
      </c>
      <c r="AB8" s="18"/>
      <c r="AC8" s="92">
        <v>17</v>
      </c>
      <c r="AD8" s="86">
        <f t="shared" ref="AD8:AD10" si="12">+AC8/$AC$5</f>
        <v>0.85</v>
      </c>
      <c r="AE8" s="88">
        <v>15</v>
      </c>
      <c r="AF8" s="86">
        <f t="shared" ref="AF8:AF12" si="13">AE8/$AE$5</f>
        <v>1.1538461538461537</v>
      </c>
      <c r="AG8" s="88">
        <v>22</v>
      </c>
      <c r="AH8" s="86">
        <f t="shared" ref="AH8:AH14" si="14">AG8/$AG$5</f>
        <v>1.1000000000000001</v>
      </c>
      <c r="AI8" s="88">
        <v>9</v>
      </c>
      <c r="AJ8" s="86">
        <f t="shared" ref="AJ8:AJ14" si="15">+AI8/$AI$5</f>
        <v>0.52941176470588236</v>
      </c>
      <c r="AK8" s="88">
        <v>13</v>
      </c>
      <c r="AL8" s="87">
        <f t="shared" ref="AL8:AL13" si="16">+AK8/$AK$5</f>
        <v>1</v>
      </c>
      <c r="AM8" s="93">
        <f t="shared" ref="AM8:AM14" si="17">SUM(B8,D8,F8,H8,K8,M8,O8,Q8,T8,V8,X8,Z8,AC8,AE8,AG8,AI8,AK8)</f>
        <v>275</v>
      </c>
      <c r="AN8" s="94">
        <f t="shared" ref="AN8:AN15" si="18">AVERAGE(AA8,Y8,W8,U8,R8,P8,N8,L8,I8,G8,E8,C8,AD8,AF8,AH8,AJ8,AL8)</f>
        <v>0.84724040822468683</v>
      </c>
    </row>
    <row r="9" spans="1:40" ht="30.75" customHeight="1">
      <c r="A9" s="70">
        <v>0.375</v>
      </c>
      <c r="B9" s="83">
        <v>17</v>
      </c>
      <c r="C9" s="84">
        <f t="shared" si="0"/>
        <v>0.77272727272727271</v>
      </c>
      <c r="D9" s="85">
        <v>20</v>
      </c>
      <c r="E9" s="84">
        <f t="shared" si="1"/>
        <v>0.95238095238095233</v>
      </c>
      <c r="F9" s="85">
        <v>23</v>
      </c>
      <c r="G9" s="86">
        <f t="shared" si="2"/>
        <v>1</v>
      </c>
      <c r="H9" s="85">
        <v>15</v>
      </c>
      <c r="I9" s="87">
        <f t="shared" si="3"/>
        <v>0.75</v>
      </c>
      <c r="J9" s="77"/>
      <c r="K9" s="83">
        <v>20</v>
      </c>
      <c r="L9" s="86">
        <f t="shared" si="4"/>
        <v>1.1764705882352942</v>
      </c>
      <c r="M9" s="88">
        <v>15</v>
      </c>
      <c r="N9" s="86">
        <f t="shared" si="5"/>
        <v>0.88235294117647056</v>
      </c>
      <c r="O9" s="88">
        <v>17</v>
      </c>
      <c r="P9" s="86">
        <f t="shared" si="6"/>
        <v>0.85</v>
      </c>
      <c r="Q9" s="88">
        <v>10</v>
      </c>
      <c r="R9" s="87">
        <f t="shared" si="7"/>
        <v>0.76923076923076927</v>
      </c>
      <c r="S9" s="24"/>
      <c r="T9" s="95">
        <v>10</v>
      </c>
      <c r="U9" s="86">
        <f t="shared" si="8"/>
        <v>0.55555555555555558</v>
      </c>
      <c r="V9" s="85">
        <v>16</v>
      </c>
      <c r="W9" s="86">
        <f t="shared" si="9"/>
        <v>1</v>
      </c>
      <c r="X9" s="91">
        <v>22</v>
      </c>
      <c r="Y9" s="86">
        <f t="shared" si="10"/>
        <v>0.81481481481481477</v>
      </c>
      <c r="Z9" s="88">
        <v>17</v>
      </c>
      <c r="AA9" s="87">
        <f t="shared" si="11"/>
        <v>0.62962962962962965</v>
      </c>
      <c r="AB9" s="18"/>
      <c r="AC9" s="92">
        <v>24</v>
      </c>
      <c r="AD9" s="86">
        <f t="shared" si="12"/>
        <v>1.2</v>
      </c>
      <c r="AE9" s="88">
        <v>15</v>
      </c>
      <c r="AF9" s="86">
        <f t="shared" si="13"/>
        <v>1.1538461538461537</v>
      </c>
      <c r="AG9" s="88">
        <v>21</v>
      </c>
      <c r="AH9" s="86">
        <f t="shared" si="14"/>
        <v>1.05</v>
      </c>
      <c r="AI9" s="88">
        <v>10</v>
      </c>
      <c r="AJ9" s="86">
        <f t="shared" si="15"/>
        <v>0.58823529411764708</v>
      </c>
      <c r="AK9" s="88">
        <v>11</v>
      </c>
      <c r="AL9" s="87">
        <f t="shared" si="16"/>
        <v>0.84615384615384615</v>
      </c>
      <c r="AM9" s="93">
        <f t="shared" si="17"/>
        <v>283</v>
      </c>
      <c r="AN9" s="94">
        <f t="shared" si="18"/>
        <v>0.88184693046284734</v>
      </c>
    </row>
    <row r="10" spans="1:40" s="97" customFormat="1" ht="33" customHeight="1">
      <c r="A10" s="96">
        <v>0.41666666666666702</v>
      </c>
      <c r="B10" s="83">
        <v>19</v>
      </c>
      <c r="C10" s="84">
        <f t="shared" si="0"/>
        <v>0.86363636363636365</v>
      </c>
      <c r="D10" s="85">
        <v>21</v>
      </c>
      <c r="E10" s="84">
        <f t="shared" si="1"/>
        <v>1</v>
      </c>
      <c r="F10" s="85">
        <v>21</v>
      </c>
      <c r="G10" s="86">
        <f t="shared" si="2"/>
        <v>0.91304347826086951</v>
      </c>
      <c r="H10" s="85">
        <v>11</v>
      </c>
      <c r="I10" s="87">
        <f t="shared" si="3"/>
        <v>0.55000000000000004</v>
      </c>
      <c r="J10" s="18"/>
      <c r="K10" s="83">
        <v>19</v>
      </c>
      <c r="L10" s="86">
        <f t="shared" si="4"/>
        <v>1.1176470588235294</v>
      </c>
      <c r="M10" s="85">
        <v>17</v>
      </c>
      <c r="N10" s="86">
        <f t="shared" si="5"/>
        <v>1</v>
      </c>
      <c r="O10" s="85">
        <v>16</v>
      </c>
      <c r="P10" s="86">
        <f t="shared" si="6"/>
        <v>0.8</v>
      </c>
      <c r="Q10" s="85">
        <v>10</v>
      </c>
      <c r="R10" s="87">
        <f t="shared" si="7"/>
        <v>0.76923076923076927</v>
      </c>
      <c r="S10" s="77"/>
      <c r="T10" s="83">
        <v>15</v>
      </c>
      <c r="U10" s="86">
        <f>T10/$T$5</f>
        <v>0.83333333333333337</v>
      </c>
      <c r="V10" s="85">
        <v>11</v>
      </c>
      <c r="W10" s="86">
        <f t="shared" si="9"/>
        <v>0.6875</v>
      </c>
      <c r="X10" s="85">
        <v>17</v>
      </c>
      <c r="Y10" s="86">
        <f t="shared" si="10"/>
        <v>0.62962962962962965</v>
      </c>
      <c r="Z10" s="85">
        <v>21</v>
      </c>
      <c r="AA10" s="87">
        <f t="shared" si="11"/>
        <v>0.77777777777777779</v>
      </c>
      <c r="AB10" s="89"/>
      <c r="AC10" s="83">
        <v>26</v>
      </c>
      <c r="AD10" s="86">
        <f t="shared" si="12"/>
        <v>1.3</v>
      </c>
      <c r="AE10" s="85">
        <v>18</v>
      </c>
      <c r="AF10" s="86">
        <f t="shared" si="13"/>
        <v>1.3846153846153846</v>
      </c>
      <c r="AG10" s="88">
        <v>22</v>
      </c>
      <c r="AH10" s="86">
        <f t="shared" si="14"/>
        <v>1.1000000000000001</v>
      </c>
      <c r="AI10" s="85">
        <v>10</v>
      </c>
      <c r="AJ10" s="86">
        <f t="shared" si="15"/>
        <v>0.58823529411764708</v>
      </c>
      <c r="AK10" s="88">
        <v>14</v>
      </c>
      <c r="AL10" s="87">
        <f t="shared" si="16"/>
        <v>1.0769230769230769</v>
      </c>
      <c r="AM10" s="93">
        <f t="shared" si="17"/>
        <v>288</v>
      </c>
      <c r="AN10" s="94">
        <f t="shared" si="18"/>
        <v>0.90538659802049304</v>
      </c>
    </row>
    <row r="11" spans="1:40" ht="26.25">
      <c r="A11" s="70">
        <v>0.45833333333333298</v>
      </c>
      <c r="B11" s="98">
        <v>10</v>
      </c>
      <c r="C11" s="99">
        <f>B11/$C$5</f>
        <v>0.90909090909090906</v>
      </c>
      <c r="D11" s="100">
        <v>12</v>
      </c>
      <c r="E11" s="99">
        <f>D11/$E$5</f>
        <v>1.0909090909090908</v>
      </c>
      <c r="F11" s="100">
        <v>10</v>
      </c>
      <c r="G11" s="101">
        <f>F11/$G$5</f>
        <v>0.90909090909090906</v>
      </c>
      <c r="H11" s="100">
        <v>8</v>
      </c>
      <c r="I11" s="102">
        <f>H11/$I$5</f>
        <v>0.8</v>
      </c>
      <c r="J11" s="103"/>
      <c r="K11" s="83">
        <v>20</v>
      </c>
      <c r="L11" s="86">
        <f t="shared" si="4"/>
        <v>1.1764705882352942</v>
      </c>
      <c r="M11" s="85">
        <v>13</v>
      </c>
      <c r="N11" s="86">
        <f t="shared" si="5"/>
        <v>0.76470588235294112</v>
      </c>
      <c r="O11" s="85">
        <v>15</v>
      </c>
      <c r="P11" s="86">
        <f t="shared" si="6"/>
        <v>0.75</v>
      </c>
      <c r="Q11" s="88">
        <v>6</v>
      </c>
      <c r="R11" s="87">
        <f t="shared" si="7"/>
        <v>0.46153846153846156</v>
      </c>
      <c r="S11" s="18"/>
      <c r="T11" s="98">
        <v>7</v>
      </c>
      <c r="U11" s="101">
        <f>T11/$U$5</f>
        <v>0.77777777777777779</v>
      </c>
      <c r="V11" s="100">
        <v>4</v>
      </c>
      <c r="W11" s="101">
        <f>V11/$W$5</f>
        <v>0.5</v>
      </c>
      <c r="X11" s="100">
        <v>14</v>
      </c>
      <c r="Y11" s="101">
        <f>X11/$Y$5</f>
        <v>1</v>
      </c>
      <c r="Z11" s="100">
        <v>10</v>
      </c>
      <c r="AA11" s="102">
        <f>Z11/$AA$5</f>
        <v>0.7142857142857143</v>
      </c>
      <c r="AB11" s="18"/>
      <c r="AC11" s="98">
        <v>9</v>
      </c>
      <c r="AD11" s="101">
        <f>+AC11/$AD$5</f>
        <v>1.125</v>
      </c>
      <c r="AE11" s="104">
        <v>8</v>
      </c>
      <c r="AF11" s="101">
        <f>AE11/$AF$5</f>
        <v>1.1428571428571428</v>
      </c>
      <c r="AG11" s="104">
        <v>11</v>
      </c>
      <c r="AH11" s="101">
        <f>AG11/$AH$5</f>
        <v>1.1000000000000001</v>
      </c>
      <c r="AI11" s="100">
        <v>7</v>
      </c>
      <c r="AJ11" s="101">
        <f>+AI11/$AJ$5</f>
        <v>0.875</v>
      </c>
      <c r="AK11" s="100">
        <v>7</v>
      </c>
      <c r="AL11" s="102">
        <f>+AK11/$AL$5</f>
        <v>1</v>
      </c>
      <c r="AM11" s="93">
        <f t="shared" si="17"/>
        <v>171</v>
      </c>
      <c r="AN11" s="94">
        <f t="shared" si="18"/>
        <v>0.88804273389048471</v>
      </c>
    </row>
    <row r="12" spans="1:40" s="97" customFormat="1" ht="32.25" customHeight="1">
      <c r="A12" s="96">
        <v>0.5</v>
      </c>
      <c r="B12" s="83">
        <v>17</v>
      </c>
      <c r="C12" s="84">
        <f>B12/$B$5</f>
        <v>0.77272727272727271</v>
      </c>
      <c r="D12" s="85">
        <v>21</v>
      </c>
      <c r="E12" s="84">
        <f>D12/$D$5</f>
        <v>1</v>
      </c>
      <c r="F12" s="85">
        <v>21</v>
      </c>
      <c r="G12" s="86">
        <f>F12/$F$5</f>
        <v>0.91304347826086951</v>
      </c>
      <c r="H12" s="85">
        <v>11</v>
      </c>
      <c r="I12" s="87">
        <f>H12/$H$5</f>
        <v>0.55000000000000004</v>
      </c>
      <c r="J12" s="18"/>
      <c r="K12" s="98">
        <v>9</v>
      </c>
      <c r="L12" s="101">
        <f>K12/$L$5</f>
        <v>1</v>
      </c>
      <c r="M12" s="100">
        <v>4</v>
      </c>
      <c r="N12" s="101">
        <f>M12/$N$5</f>
        <v>0.66666666666666663</v>
      </c>
      <c r="O12" s="100">
        <v>8</v>
      </c>
      <c r="P12" s="101">
        <f>O12/$P$5</f>
        <v>0.8</v>
      </c>
      <c r="Q12" s="100">
        <v>4</v>
      </c>
      <c r="R12" s="102">
        <f>Q12/$R$5</f>
        <v>0.66666666666666663</v>
      </c>
      <c r="S12" s="77"/>
      <c r="T12" s="83">
        <v>5</v>
      </c>
      <c r="U12" s="86">
        <f>T12/$T$5</f>
        <v>0.27777777777777779</v>
      </c>
      <c r="V12" s="85">
        <v>12</v>
      </c>
      <c r="W12" s="86">
        <f t="shared" si="9"/>
        <v>0.75</v>
      </c>
      <c r="X12" s="85">
        <v>23</v>
      </c>
      <c r="Y12" s="86">
        <f t="shared" si="10"/>
        <v>0.85185185185185186</v>
      </c>
      <c r="Z12" s="85">
        <v>22</v>
      </c>
      <c r="AA12" s="87">
        <f t="shared" si="11"/>
        <v>0.81481481481481477</v>
      </c>
      <c r="AB12" s="77"/>
      <c r="AC12" s="83">
        <v>19</v>
      </c>
      <c r="AD12" s="86">
        <f>+AC12/$AB$5</f>
        <v>1.2666666666666666</v>
      </c>
      <c r="AE12" s="88">
        <v>15</v>
      </c>
      <c r="AF12" s="86">
        <f t="shared" si="13"/>
        <v>1.1538461538461537</v>
      </c>
      <c r="AG12" s="85">
        <v>22</v>
      </c>
      <c r="AH12" s="86">
        <f t="shared" si="14"/>
        <v>1.1000000000000001</v>
      </c>
      <c r="AI12" s="85">
        <v>9</v>
      </c>
      <c r="AJ12" s="86">
        <f t="shared" si="15"/>
        <v>0.52941176470588236</v>
      </c>
      <c r="AK12" s="85">
        <v>14</v>
      </c>
      <c r="AL12" s="87">
        <f t="shared" si="16"/>
        <v>1.0769230769230769</v>
      </c>
      <c r="AM12" s="93">
        <f t="shared" si="17"/>
        <v>236</v>
      </c>
      <c r="AN12" s="94">
        <f t="shared" si="18"/>
        <v>0.83472918770045279</v>
      </c>
    </row>
    <row r="13" spans="1:40" s="97" customFormat="1" ht="32.25" customHeight="1">
      <c r="A13" s="96">
        <v>0.54166666666666696</v>
      </c>
      <c r="B13" s="83">
        <v>17</v>
      </c>
      <c r="C13" s="84">
        <f>B13/$B$5</f>
        <v>0.77272727272727271</v>
      </c>
      <c r="D13" s="85">
        <v>20</v>
      </c>
      <c r="E13" s="84">
        <f>D13/$D$5</f>
        <v>0.95238095238095233</v>
      </c>
      <c r="F13" s="85">
        <v>24</v>
      </c>
      <c r="G13" s="86">
        <f>F13/$F$5</f>
        <v>1.0434782608695652</v>
      </c>
      <c r="H13" s="85">
        <v>15</v>
      </c>
      <c r="I13" s="87">
        <f>H13/$H$5</f>
        <v>0.75</v>
      </c>
      <c r="J13" s="18"/>
      <c r="K13" s="83">
        <v>17</v>
      </c>
      <c r="L13" s="86">
        <f>K13/$K$5</f>
        <v>1</v>
      </c>
      <c r="M13" s="88">
        <v>7</v>
      </c>
      <c r="N13" s="86">
        <f t="shared" si="5"/>
        <v>0.41176470588235292</v>
      </c>
      <c r="O13" s="85">
        <v>13</v>
      </c>
      <c r="P13" s="86">
        <f>O13/$O$5</f>
        <v>0.65</v>
      </c>
      <c r="Q13" s="85">
        <v>9</v>
      </c>
      <c r="R13" s="87">
        <f>Q13/$Q$5</f>
        <v>0.69230769230769229</v>
      </c>
      <c r="S13" s="77"/>
      <c r="T13" s="83">
        <v>10</v>
      </c>
      <c r="U13" s="86">
        <f>T13/$S$5</f>
        <v>0.52631578947368418</v>
      </c>
      <c r="V13" s="85">
        <v>10</v>
      </c>
      <c r="W13" s="86">
        <f t="shared" si="9"/>
        <v>0.625</v>
      </c>
      <c r="X13" s="85">
        <v>15</v>
      </c>
      <c r="Y13" s="86">
        <f t="shared" si="10"/>
        <v>0.55555555555555558</v>
      </c>
      <c r="Z13" s="85">
        <v>20</v>
      </c>
      <c r="AA13" s="87">
        <f t="shared" si="11"/>
        <v>0.7407407407407407</v>
      </c>
      <c r="AB13" s="105"/>
      <c r="AC13" s="83">
        <v>11</v>
      </c>
      <c r="AD13" s="86">
        <f t="shared" ref="AD13:AD14" si="19">+AC13/$AB$5</f>
        <v>0.73333333333333328</v>
      </c>
      <c r="AE13" s="85">
        <v>17</v>
      </c>
      <c r="AF13" s="86">
        <f>AE13/$AE$5</f>
        <v>1.3076923076923077</v>
      </c>
      <c r="AG13" s="85">
        <v>22</v>
      </c>
      <c r="AH13" s="86">
        <f t="shared" si="14"/>
        <v>1.1000000000000001</v>
      </c>
      <c r="AI13" s="85">
        <v>8</v>
      </c>
      <c r="AJ13" s="86">
        <f t="shared" si="15"/>
        <v>0.47058823529411764</v>
      </c>
      <c r="AK13" s="85">
        <v>14</v>
      </c>
      <c r="AL13" s="87">
        <f t="shared" si="16"/>
        <v>1.0769230769230769</v>
      </c>
      <c r="AM13" s="93">
        <f>SUM(B13,D13,F13,H13,K13,M13,O13,Q13,T13,V13,X13,Z13,AC13,AE13,AG13,AI13,AK13)</f>
        <v>249</v>
      </c>
      <c r="AN13" s="94">
        <f t="shared" si="18"/>
        <v>0.78875340724592069</v>
      </c>
    </row>
    <row r="14" spans="1:40" ht="26.25">
      <c r="A14" s="70">
        <v>0.58333333333333304</v>
      </c>
      <c r="B14" s="83">
        <v>16</v>
      </c>
      <c r="C14" s="84">
        <f t="shared" ref="C14" si="20">B14/$B$5</f>
        <v>0.72727272727272729</v>
      </c>
      <c r="D14" s="85">
        <v>22</v>
      </c>
      <c r="E14" s="84">
        <f t="shared" ref="E14" si="21">D14/$D$5</f>
        <v>1.0476190476190477</v>
      </c>
      <c r="F14" s="85">
        <v>25</v>
      </c>
      <c r="G14" s="86">
        <f>F14/$F$5</f>
        <v>1.0869565217391304</v>
      </c>
      <c r="H14" s="105">
        <v>10</v>
      </c>
      <c r="I14" s="87">
        <f t="shared" ref="I14" si="22">H14/$H$5</f>
        <v>0.5</v>
      </c>
      <c r="J14" s="24"/>
      <c r="K14" s="83">
        <v>15</v>
      </c>
      <c r="L14" s="86">
        <f t="shared" ref="L14" si="23">K14/$K$5</f>
        <v>0.88235294117647056</v>
      </c>
      <c r="M14" s="88">
        <v>3</v>
      </c>
      <c r="N14" s="86">
        <f t="shared" si="5"/>
        <v>0.17647058823529413</v>
      </c>
      <c r="O14" s="88">
        <v>15</v>
      </c>
      <c r="P14" s="86">
        <f t="shared" ref="P14" si="24">O14/$O$5</f>
        <v>0.75</v>
      </c>
      <c r="Q14" s="88">
        <v>5</v>
      </c>
      <c r="R14" s="87">
        <f t="shared" ref="R14" si="25">Q14/$Q$5</f>
        <v>0.38461538461538464</v>
      </c>
      <c r="S14" s="24"/>
      <c r="T14" s="83">
        <v>12</v>
      </c>
      <c r="U14" s="86">
        <f>T14/$S$5</f>
        <v>0.63157894736842102</v>
      </c>
      <c r="V14" s="85">
        <v>10</v>
      </c>
      <c r="W14" s="86">
        <f>V14/$V$5</f>
        <v>0.625</v>
      </c>
      <c r="X14" s="88">
        <v>18</v>
      </c>
      <c r="Y14" s="86">
        <f t="shared" si="10"/>
        <v>0.66666666666666663</v>
      </c>
      <c r="Z14" s="88">
        <v>20</v>
      </c>
      <c r="AA14" s="87">
        <f t="shared" si="11"/>
        <v>0.7407407407407407</v>
      </c>
      <c r="AB14" s="24"/>
      <c r="AC14" s="92">
        <v>11</v>
      </c>
      <c r="AD14" s="86">
        <f t="shared" si="19"/>
        <v>0.73333333333333328</v>
      </c>
      <c r="AE14" s="88">
        <v>14</v>
      </c>
      <c r="AF14" s="86">
        <f>AE14/$AE$5</f>
        <v>1.0769230769230769</v>
      </c>
      <c r="AG14" s="88">
        <v>22</v>
      </c>
      <c r="AH14" s="86">
        <f t="shared" si="14"/>
        <v>1.1000000000000001</v>
      </c>
      <c r="AI14" s="88">
        <v>12</v>
      </c>
      <c r="AJ14" s="86">
        <f t="shared" si="15"/>
        <v>0.70588235294117652</v>
      </c>
      <c r="AK14" s="88">
        <v>10</v>
      </c>
      <c r="AL14" s="87">
        <f>+AK14/$AM$3</f>
        <v>1</v>
      </c>
      <c r="AM14" s="93">
        <f t="shared" si="17"/>
        <v>240</v>
      </c>
      <c r="AN14" s="94">
        <f t="shared" si="18"/>
        <v>0.75502425462538036</v>
      </c>
    </row>
    <row r="15" spans="1:40" ht="39" customHeight="1" thickBot="1">
      <c r="A15" s="70">
        <v>0.625</v>
      </c>
      <c r="B15" s="83">
        <v>6</v>
      </c>
      <c r="C15" s="84">
        <f>B15/$C$5</f>
        <v>0.54545454545454541</v>
      </c>
      <c r="D15" s="105">
        <v>10</v>
      </c>
      <c r="E15" s="84">
        <f>D15/$E$5</f>
        <v>0.90909090909090906</v>
      </c>
      <c r="F15" s="106">
        <v>15</v>
      </c>
      <c r="G15" s="107">
        <f>F15/$G$5</f>
        <v>1.3636363636363635</v>
      </c>
      <c r="H15" s="105">
        <v>7</v>
      </c>
      <c r="I15" s="87">
        <f>H15/$I$5</f>
        <v>0.7</v>
      </c>
      <c r="J15" s="24"/>
      <c r="K15" s="83">
        <v>11</v>
      </c>
      <c r="L15" s="86">
        <f>K15/$L$5</f>
        <v>1.2222222222222223</v>
      </c>
      <c r="M15" s="88">
        <v>5</v>
      </c>
      <c r="N15" s="86">
        <f>M15/$J$6</f>
        <v>1.25</v>
      </c>
      <c r="O15" s="88">
        <v>4</v>
      </c>
      <c r="P15" s="86">
        <f>O15/$P$5</f>
        <v>0.4</v>
      </c>
      <c r="Q15" s="88">
        <v>3</v>
      </c>
      <c r="R15" s="87">
        <f>Q15/$R$5</f>
        <v>0.5</v>
      </c>
      <c r="S15" s="77"/>
      <c r="T15" s="90">
        <v>6</v>
      </c>
      <c r="U15" s="86">
        <f>T15/$S$6</f>
        <v>0.66666666666666663</v>
      </c>
      <c r="V15" s="108">
        <v>2</v>
      </c>
      <c r="W15" s="107">
        <f>V15/$W$5</f>
        <v>0.25</v>
      </c>
      <c r="X15" s="88">
        <v>8</v>
      </c>
      <c r="Y15" s="86">
        <f>X15/$Y$5</f>
        <v>0.5714285714285714</v>
      </c>
      <c r="Z15" s="88">
        <v>13</v>
      </c>
      <c r="AA15" s="87">
        <f>Z15/$AA$5</f>
        <v>0.9285714285714286</v>
      </c>
      <c r="AB15" s="18"/>
      <c r="AC15" s="92">
        <v>11</v>
      </c>
      <c r="AD15" s="86">
        <f>+AC15/$AD$5</f>
        <v>1.375</v>
      </c>
      <c r="AE15" s="88">
        <v>8</v>
      </c>
      <c r="AF15" s="86">
        <f>AE15/$AF$5</f>
        <v>1.1428571428571428</v>
      </c>
      <c r="AG15" s="88">
        <v>11</v>
      </c>
      <c r="AH15" s="86">
        <f>AG15/$AH$5</f>
        <v>1.1000000000000001</v>
      </c>
      <c r="AI15" s="88">
        <v>7</v>
      </c>
      <c r="AJ15" s="86">
        <f>+AI15/$AJ$5</f>
        <v>0.875</v>
      </c>
      <c r="AK15" s="88">
        <v>6</v>
      </c>
      <c r="AL15" s="87">
        <f>+AK15/$AM$4</f>
        <v>1.2</v>
      </c>
      <c r="AM15" s="109">
        <f>SUM(B15,D15,F15,H15,K15,M15,O15,Q15,T15,V15,X15,Z15,AC15,AE15,AG15,AI15,AK15)</f>
        <v>133</v>
      </c>
      <c r="AN15" s="94">
        <f t="shared" si="18"/>
        <v>0.88234869705457919</v>
      </c>
    </row>
    <row r="16" spans="1:40" ht="33.75" customHeight="1" thickBot="1">
      <c r="A16" s="110" t="s">
        <v>28</v>
      </c>
      <c r="B16" s="111">
        <f>SUM(B7:B15)</f>
        <v>138</v>
      </c>
      <c r="C16" s="112">
        <f>AVERAGE(C7:C15)</f>
        <v>0.77777777777777779</v>
      </c>
      <c r="D16" s="113">
        <f>SUM(D7:D15)</f>
        <v>164</v>
      </c>
      <c r="E16" s="112">
        <f>AVERAGE(E7:E15)</f>
        <v>0.97354497354497349</v>
      </c>
      <c r="F16" s="114">
        <f>SUM(F7:F15)</f>
        <v>185</v>
      </c>
      <c r="G16" s="115">
        <f>AVERAGE(G7:G15)</f>
        <v>1.0254721124286341</v>
      </c>
      <c r="H16" s="113">
        <f>SUM(H7:H15)</f>
        <v>100</v>
      </c>
      <c r="I16" s="112">
        <f>AVERAGE(I7:I15)</f>
        <v>0.63888888888888884</v>
      </c>
      <c r="J16" s="89"/>
      <c r="K16" s="116">
        <f>SUM(K7:K15)</f>
        <v>147</v>
      </c>
      <c r="L16" s="112">
        <f>AVERAGE(L7:L15)</f>
        <v>1.0769789397240379</v>
      </c>
      <c r="M16" s="117">
        <f>SUM(M7:M15)</f>
        <v>95</v>
      </c>
      <c r="N16" s="112">
        <f>AVERAGE(N7:N15)</f>
        <v>0.77505446623093688</v>
      </c>
      <c r="O16" s="116">
        <f>SUM(O7:O15)</f>
        <v>109</v>
      </c>
      <c r="P16" s="112">
        <f>AVERAGE(P7:P15)</f>
        <v>0.67222222222222228</v>
      </c>
      <c r="Q16" s="116">
        <f>SUM(Q7:Q15)</f>
        <v>65</v>
      </c>
      <c r="R16" s="112">
        <f>AVERAGE(R7:R15)</f>
        <v>0.62535612535612539</v>
      </c>
      <c r="S16" s="89"/>
      <c r="T16" s="117">
        <f>SUM(T7:T15)</f>
        <v>87</v>
      </c>
      <c r="U16" s="112">
        <f>AVERAGE(U7:U15)</f>
        <v>0.61013645224171542</v>
      </c>
      <c r="V16" s="118">
        <f>SUM(V7:V15)</f>
        <v>66</v>
      </c>
      <c r="W16" s="115">
        <f>AVERAGE(W7:W15)</f>
        <v>0.5</v>
      </c>
      <c r="X16" s="117">
        <f>SUM(X7:X15)</f>
        <v>155</v>
      </c>
      <c r="Y16" s="112">
        <f>AVERAGE(Y7:Y15)</f>
        <v>0.72192827748383304</v>
      </c>
      <c r="Z16" s="117">
        <f>SUM(Z7:Z15)</f>
        <v>167</v>
      </c>
      <c r="AA16" s="112">
        <f>AVERAGE(AA7:AA15)</f>
        <v>0.77513227513227512</v>
      </c>
      <c r="AB16" s="89"/>
      <c r="AC16" s="117">
        <f>SUM(AC7:AC15)</f>
        <v>148</v>
      </c>
      <c r="AD16" s="112">
        <f>AVERAGE(AD7:AD15)</f>
        <v>1.0648148148148147</v>
      </c>
      <c r="AE16" s="117">
        <f>SUM(AE7:AE15)</f>
        <v>125</v>
      </c>
      <c r="AF16" s="112">
        <f>AVERAGE(AF7:AF15)</f>
        <v>1.1855921855921856</v>
      </c>
      <c r="AG16" s="117">
        <f>SUM(AG7:AG15)</f>
        <v>171</v>
      </c>
      <c r="AH16" s="112">
        <f>AVERAGE(AH7:AH15)</f>
        <v>1.072222222222222</v>
      </c>
      <c r="AI16" s="117">
        <f>SUM(AI7:AI15)</f>
        <v>82</v>
      </c>
      <c r="AJ16" s="112">
        <f>AVERAGE(AJ7:AJ15)</f>
        <v>0.63888888888888884</v>
      </c>
      <c r="AK16" s="117">
        <f>SUM(AK7:AK15)</f>
        <v>101</v>
      </c>
      <c r="AL16" s="112">
        <f>AVERAGE(AL7:AL15)</f>
        <v>1.0222222222222221</v>
      </c>
      <c r="AM16" s="119">
        <f>SUM(B16,D16,F16,H16,K16,M16,O16,Q16,T16,V16,X16,Z16,AC16,AE16,AG16,AI16,AK16)</f>
        <v>2105</v>
      </c>
      <c r="AN16" s="120">
        <f>AVERAGE(AA16,Y16,W16,U16,R16,P16,N16,L16,I16,G16,E16,C16,AD16,AF16,AH16,AJ16,AL16)</f>
        <v>0.83271957910422079</v>
      </c>
    </row>
    <row r="17" spans="1:40" ht="17.25" customHeight="1" thickBot="1">
      <c r="A17" s="121"/>
      <c r="B17" s="122">
        <v>0.01</v>
      </c>
      <c r="C17" s="123"/>
      <c r="D17" s="123"/>
      <c r="E17" s="123"/>
      <c r="F17" s="123"/>
      <c r="G17" s="123"/>
      <c r="H17" s="123"/>
      <c r="I17" s="124"/>
      <c r="J17" s="89"/>
      <c r="K17" s="125">
        <v>0.20833333333333334</v>
      </c>
      <c r="L17" s="126"/>
      <c r="M17" s="126">
        <v>8.9285714285714288E-2</v>
      </c>
      <c r="N17" s="126"/>
      <c r="O17" s="127">
        <v>0.24561403508771901</v>
      </c>
      <c r="P17" s="127"/>
      <c r="Q17" s="126"/>
      <c r="R17" s="128"/>
      <c r="S17" s="89"/>
      <c r="T17" s="129">
        <v>0.15789473684210525</v>
      </c>
      <c r="U17" s="127"/>
      <c r="V17" s="130"/>
      <c r="W17" s="130"/>
      <c r="X17" s="131"/>
      <c r="Y17" s="132"/>
      <c r="Z17" s="131"/>
      <c r="AA17" s="133"/>
      <c r="AB17" s="89"/>
      <c r="AC17" s="134"/>
      <c r="AD17" s="132"/>
      <c r="AE17" s="135"/>
      <c r="AF17" s="136"/>
      <c r="AG17" s="135"/>
      <c r="AH17" s="136"/>
      <c r="AI17" s="131"/>
      <c r="AJ17" s="132"/>
      <c r="AK17" s="135"/>
      <c r="AL17" s="137"/>
      <c r="AM17" s="138"/>
      <c r="AN17" s="139"/>
    </row>
    <row r="18" spans="1:40" s="60" customFormat="1" ht="40.5" customHeight="1" thickBot="1">
      <c r="A18" s="140" t="s">
        <v>29</v>
      </c>
      <c r="B18" s="141">
        <f>AVERAGE(C16,E16,G16,I16)</f>
        <v>0.85392093816006853</v>
      </c>
      <c r="C18" s="142"/>
      <c r="D18" s="142"/>
      <c r="E18" s="142"/>
      <c r="F18" s="142"/>
      <c r="G18" s="142"/>
      <c r="H18" s="142"/>
      <c r="I18" s="143"/>
      <c r="J18" s="89"/>
      <c r="K18" s="141">
        <f>AVERAGE(L16,N16,P16,R16)</f>
        <v>0.78740293838333064</v>
      </c>
      <c r="L18" s="142"/>
      <c r="M18" s="142"/>
      <c r="N18" s="142"/>
      <c r="O18" s="142"/>
      <c r="P18" s="142"/>
      <c r="Q18" s="142"/>
      <c r="R18" s="143"/>
      <c r="S18" s="89"/>
      <c r="T18" s="141">
        <f>AVERAGE(U16,W16,Y16,AA16)</f>
        <v>0.65179925121445592</v>
      </c>
      <c r="U18" s="142"/>
      <c r="V18" s="142"/>
      <c r="W18" s="142"/>
      <c r="X18" s="142"/>
      <c r="Y18" s="142"/>
      <c r="Z18" s="142"/>
      <c r="AA18" s="143"/>
      <c r="AB18" s="144"/>
      <c r="AC18" s="141">
        <f>AVERAGE(AD16,AF16,AH16,AJ16,AL16)</f>
        <v>0.9967480667480666</v>
      </c>
      <c r="AD18" s="142"/>
      <c r="AE18" s="142"/>
      <c r="AF18" s="142"/>
      <c r="AG18" s="142"/>
      <c r="AH18" s="142"/>
      <c r="AI18" s="142"/>
      <c r="AJ18" s="142"/>
      <c r="AK18" s="142"/>
      <c r="AL18" s="143"/>
      <c r="AM18" s="145"/>
      <c r="AN18" s="146"/>
    </row>
    <row r="19" spans="1:40" ht="24" thickBot="1">
      <c r="A19" s="147" t="s">
        <v>30</v>
      </c>
      <c r="B19" s="148"/>
      <c r="C19" s="149"/>
      <c r="D19" s="148"/>
      <c r="E19" s="149"/>
      <c r="F19" s="148"/>
      <c r="G19" s="149"/>
      <c r="H19" s="148"/>
      <c r="I19" s="149"/>
      <c r="J19" s="150" t="s">
        <v>31</v>
      </c>
      <c r="K19" s="148"/>
      <c r="L19" s="149"/>
      <c r="M19" s="148"/>
      <c r="N19" s="149"/>
      <c r="O19" s="148"/>
      <c r="P19" s="149"/>
      <c r="Q19" s="148"/>
      <c r="R19" s="149"/>
      <c r="S19" s="150" t="s">
        <v>31</v>
      </c>
      <c r="T19" s="148"/>
      <c r="U19" s="149"/>
      <c r="V19" s="148"/>
      <c r="W19" s="149"/>
      <c r="X19" s="148"/>
      <c r="Y19" s="149"/>
      <c r="Z19" s="148"/>
      <c r="AA19" s="149"/>
      <c r="AB19" s="150" t="s">
        <v>31</v>
      </c>
      <c r="AC19" s="148"/>
      <c r="AD19" s="149"/>
      <c r="AE19" s="148"/>
      <c r="AF19" s="149"/>
      <c r="AG19" s="148"/>
      <c r="AH19" s="149"/>
      <c r="AI19" s="148"/>
      <c r="AJ19" s="149"/>
      <c r="AK19" s="148"/>
      <c r="AL19" s="149"/>
    </row>
    <row r="20" spans="1:40" ht="15" customHeight="1">
      <c r="A20" s="151" t="s">
        <v>32</v>
      </c>
      <c r="B20" s="152">
        <f>AVERAGE(B18,K18,T18,AC18)</f>
        <v>0.82246779862648034</v>
      </c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4"/>
    </row>
    <row r="21" spans="1:40" ht="9.75" hidden="1" customHeight="1">
      <c r="A21" s="155"/>
      <c r="B21" s="156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8"/>
    </row>
    <row r="22" spans="1:40" ht="39" customHeight="1" thickBot="1">
      <c r="A22" s="159"/>
      <c r="B22" s="160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2"/>
    </row>
    <row r="23" spans="1:40" ht="55.5" customHeight="1">
      <c r="M23">
        <f>156/187</f>
        <v>0.83422459893048129</v>
      </c>
      <c r="Q23" s="4"/>
      <c r="R23" s="163"/>
      <c r="S23" s="163"/>
      <c r="T23" s="4"/>
    </row>
    <row r="24" spans="1:40" ht="15.75" thickBot="1">
      <c r="C24" s="164"/>
      <c r="H24" s="164"/>
      <c r="Q24" s="4"/>
      <c r="R24" s="165"/>
      <c r="S24" s="165"/>
      <c r="T24" s="4"/>
      <c r="AD24" s="166"/>
    </row>
    <row r="25" spans="1:40" ht="24" thickBot="1">
      <c r="A25" s="167" t="s">
        <v>33</v>
      </c>
      <c r="B25" s="168" t="s">
        <v>27</v>
      </c>
    </row>
    <row r="26" spans="1:40" ht="21">
      <c r="A26" s="169" t="s">
        <v>34</v>
      </c>
      <c r="B26" s="170">
        <f>AN7</f>
        <v>0.71110399471314167</v>
      </c>
    </row>
    <row r="27" spans="1:40" ht="21">
      <c r="A27" s="171" t="s">
        <v>35</v>
      </c>
      <c r="B27" s="172">
        <f t="shared" ref="B27" si="26">AN8</f>
        <v>0.84724040822468683</v>
      </c>
    </row>
    <row r="28" spans="1:40" ht="21">
      <c r="A28" s="171" t="s">
        <v>36</v>
      </c>
      <c r="B28" s="172">
        <f>AN9</f>
        <v>0.88184693046284734</v>
      </c>
    </row>
    <row r="29" spans="1:40" ht="21">
      <c r="A29" s="171" t="s">
        <v>37</v>
      </c>
      <c r="B29" s="172">
        <f t="shared" ref="B29:B34" si="27">AN10</f>
        <v>0.90538659802049304</v>
      </c>
    </row>
    <row r="30" spans="1:40" ht="21">
      <c r="A30" s="171" t="s">
        <v>38</v>
      </c>
      <c r="B30" s="172">
        <f t="shared" si="27"/>
        <v>0.88804273389048471</v>
      </c>
    </row>
    <row r="31" spans="1:40" ht="21">
      <c r="A31" s="171" t="s">
        <v>39</v>
      </c>
      <c r="B31" s="172">
        <f t="shared" si="27"/>
        <v>0.83472918770045279</v>
      </c>
    </row>
    <row r="32" spans="1:40" ht="21">
      <c r="A32" s="171" t="s">
        <v>40</v>
      </c>
      <c r="B32" s="172">
        <f t="shared" si="27"/>
        <v>0.78875340724592069</v>
      </c>
    </row>
    <row r="33" spans="1:39" ht="21">
      <c r="A33" s="171" t="s">
        <v>41</v>
      </c>
      <c r="B33" s="172">
        <f t="shared" si="27"/>
        <v>0.75502425462538036</v>
      </c>
      <c r="AH33">
        <f>26.5/6</f>
        <v>4.416666666666667</v>
      </c>
    </row>
    <row r="34" spans="1:39" s="5" customFormat="1" ht="21.75" thickBot="1">
      <c r="A34" s="173" t="s">
        <v>43</v>
      </c>
      <c r="B34" s="172">
        <f t="shared" si="27"/>
        <v>0.88234869705457919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 t="s">
        <v>44</v>
      </c>
    </row>
    <row r="35" spans="1:39" s="5" customFormat="1" ht="24" thickBot="1">
      <c r="A35" s="167" t="s">
        <v>42</v>
      </c>
      <c r="B35" s="174">
        <f>AVERAGE(B26:B34)</f>
        <v>0.83271957910422056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>
        <f>740/3</f>
        <v>246.66666666666666</v>
      </c>
    </row>
    <row r="36" spans="1:39" s="5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 t="s">
        <v>45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>
        <f>0.35*200</f>
        <v>70</v>
      </c>
      <c r="AJ37"/>
      <c r="AK37"/>
      <c r="AL37"/>
      <c r="AM37"/>
    </row>
    <row r="38" spans="1:39" s="5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>
        <f>+AI37*6</f>
        <v>420</v>
      </c>
      <c r="AJ38"/>
      <c r="AK38"/>
      <c r="AL38"/>
      <c r="AM38"/>
    </row>
    <row r="39" spans="1:39" s="5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>
        <f>15*0.7</f>
        <v>10.5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" customFormat="1">
      <c r="A40"/>
      <c r="B40"/>
      <c r="C40"/>
      <c r="D40"/>
      <c r="E40"/>
      <c r="F40">
        <f>86/109</f>
        <v>0.78899082568807344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" customForma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" customFormat="1">
      <c r="A42">
        <f>(510/8.8)*4</f>
        <v>231.81818181818181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" customFormat="1">
      <c r="A43">
        <f>(510/8.8)*3</f>
        <v>173.86363636363637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5" spans="1:39" s="5" customFormat="1">
      <c r="A45"/>
      <c r="B45"/>
      <c r="C45"/>
      <c r="D45"/>
      <c r="E45"/>
      <c r="F45">
        <f>26*8.5</f>
        <v>221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" customForma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53" spans="35:36">
      <c r="AI53">
        <v>1</v>
      </c>
      <c r="AJ53">
        <v>55</v>
      </c>
    </row>
    <row r="54" spans="35:36">
      <c r="AI54">
        <f>+AJ54/AJ53</f>
        <v>13.890909090909091</v>
      </c>
      <c r="AJ54">
        <f>191*4</f>
        <v>764</v>
      </c>
    </row>
    <row r="65" spans="2:21">
      <c r="I65">
        <f>24*4</f>
        <v>96</v>
      </c>
    </row>
    <row r="66" spans="2:21">
      <c r="I66">
        <f>+I65*8</f>
        <v>768</v>
      </c>
    </row>
    <row r="67" spans="2:21">
      <c r="I67">
        <f>+I66/3100</f>
        <v>0.24774193548387097</v>
      </c>
    </row>
    <row r="71" spans="2:21">
      <c r="O71">
        <f>30+13.5</f>
        <v>43.5</v>
      </c>
    </row>
    <row r="72" spans="2:21">
      <c r="D72">
        <f>30*8</f>
        <v>240</v>
      </c>
    </row>
    <row r="75" spans="2:21">
      <c r="B75">
        <f>+(85*100)/22</f>
        <v>386.36363636363637</v>
      </c>
    </row>
    <row r="76" spans="2:21">
      <c r="B76">
        <f>+B75/8</f>
        <v>48.295454545454547</v>
      </c>
      <c r="U76">
        <f>13*8</f>
        <v>104</v>
      </c>
    </row>
    <row r="77" spans="2:21">
      <c r="B77">
        <f>22*85</f>
        <v>1870</v>
      </c>
      <c r="Q77">
        <f>(15*3)/4</f>
        <v>11.25</v>
      </c>
    </row>
    <row r="79" spans="2:21">
      <c r="D79" t="s">
        <v>46</v>
      </c>
    </row>
    <row r="80" spans="2:21">
      <c r="D80">
        <f>1.5*-5</f>
        <v>-7.5</v>
      </c>
      <c r="G80">
        <f>2/21</f>
        <v>9.5238095238095233E-2</v>
      </c>
    </row>
    <row r="81" spans="4:8">
      <c r="D81">
        <f>1.5*5</f>
        <v>7.5</v>
      </c>
    </row>
    <row r="82" spans="4:8">
      <c r="D82">
        <f>+D81*4</f>
        <v>30</v>
      </c>
    </row>
    <row r="83" spans="4:8">
      <c r="D83">
        <f>60/1.5</f>
        <v>40</v>
      </c>
    </row>
    <row r="84" spans="4:8">
      <c r="D84">
        <f>+D83*8.5</f>
        <v>340</v>
      </c>
    </row>
    <row r="85" spans="4:8">
      <c r="D85">
        <f>1.5*20</f>
        <v>30</v>
      </c>
    </row>
    <row r="86" spans="4:8">
      <c r="D86">
        <f>1.5*20</f>
        <v>30</v>
      </c>
    </row>
    <row r="88" spans="4:8">
      <c r="H88">
        <f>6/120</f>
        <v>0.05</v>
      </c>
    </row>
    <row r="103" spans="6:8">
      <c r="F103">
        <f>2/3</f>
        <v>0.66666666666666663</v>
      </c>
      <c r="H103">
        <f>78+117+66</f>
        <v>261</v>
      </c>
    </row>
    <row r="104" spans="6:8">
      <c r="H104">
        <f>+H103/3</f>
        <v>87</v>
      </c>
    </row>
  </sheetData>
  <mergeCells count="72">
    <mergeCell ref="AG19:AH19"/>
    <mergeCell ref="AI19:AJ19"/>
    <mergeCell ref="AK19:AL19"/>
    <mergeCell ref="A20:A22"/>
    <mergeCell ref="B20:AL22"/>
    <mergeCell ref="T19:U19"/>
    <mergeCell ref="V19:W19"/>
    <mergeCell ref="X19:Y19"/>
    <mergeCell ref="Z19:AA19"/>
    <mergeCell ref="AC19:AD19"/>
    <mergeCell ref="AE19:AF19"/>
    <mergeCell ref="AC18:AL18"/>
    <mergeCell ref="B19:C19"/>
    <mergeCell ref="D19:E19"/>
    <mergeCell ref="F19:G19"/>
    <mergeCell ref="H19:I19"/>
    <mergeCell ref="K19:L19"/>
    <mergeCell ref="M19:N19"/>
    <mergeCell ref="O19:P19"/>
    <mergeCell ref="Q19:R19"/>
    <mergeCell ref="M17:N17"/>
    <mergeCell ref="O17:P17"/>
    <mergeCell ref="Q17:R17"/>
    <mergeCell ref="T17:U17"/>
    <mergeCell ref="V17:W17"/>
    <mergeCell ref="B18:I18"/>
    <mergeCell ref="K18:R18"/>
    <mergeCell ref="T18:AA18"/>
    <mergeCell ref="B17:C17"/>
    <mergeCell ref="D17:E17"/>
    <mergeCell ref="F17:G17"/>
    <mergeCell ref="H17:I17"/>
    <mergeCell ref="K17:L17"/>
    <mergeCell ref="Z6:AA6"/>
    <mergeCell ref="AC6:AD6"/>
    <mergeCell ref="AE6:AF6"/>
    <mergeCell ref="AG6:AH6"/>
    <mergeCell ref="AI6:AJ6"/>
    <mergeCell ref="AK6:AL6"/>
    <mergeCell ref="M6:N6"/>
    <mergeCell ref="O6:P6"/>
    <mergeCell ref="Q6:R6"/>
    <mergeCell ref="T6:U6"/>
    <mergeCell ref="V6:W6"/>
    <mergeCell ref="X6:Y6"/>
    <mergeCell ref="B6:C6"/>
    <mergeCell ref="D6:E6"/>
    <mergeCell ref="F6:G6"/>
    <mergeCell ref="H6:I6"/>
    <mergeCell ref="K6:L6"/>
    <mergeCell ref="Z4:AA4"/>
    <mergeCell ref="AC4:AD4"/>
    <mergeCell ref="AE4:AF4"/>
    <mergeCell ref="AG4:AH4"/>
    <mergeCell ref="AI4:AJ4"/>
    <mergeCell ref="AK4:AL4"/>
    <mergeCell ref="M4:N4"/>
    <mergeCell ref="O4:P4"/>
    <mergeCell ref="Q4:R4"/>
    <mergeCell ref="T4:U4"/>
    <mergeCell ref="V4:W4"/>
    <mergeCell ref="X4:Y4"/>
    <mergeCell ref="B4:C4"/>
    <mergeCell ref="D4:E4"/>
    <mergeCell ref="F4:G4"/>
    <mergeCell ref="H4:I4"/>
    <mergeCell ref="K4:L4"/>
    <mergeCell ref="A1:AL1"/>
    <mergeCell ref="B2:E2"/>
    <mergeCell ref="K2:N2"/>
    <mergeCell ref="T2:W2"/>
    <mergeCell ref="AC2:AG2"/>
  </mergeCells>
  <conditionalFormatting sqref="E16 G16 I16 C16">
    <cfRule type="cellIs" dxfId="29" priority="89" operator="between">
      <formula>0.6</formula>
      <formula>0.79</formula>
    </cfRule>
    <cfRule type="cellIs" dxfId="28" priority="90" operator="between">
      <formula>0.1</formula>
      <formula>0.59</formula>
    </cfRule>
  </conditionalFormatting>
  <conditionalFormatting sqref="W16 AD16:AD17 N16 AF16:AF17 P16 L16 AJ16:AJ17 AL16:AL17 R16 AA16:AA17 Y16:Y17 AH16:AH17 U16">
    <cfRule type="cellIs" dxfId="27" priority="87" operator="between">
      <formula>0.6</formula>
      <formula>0.79</formula>
    </cfRule>
    <cfRule type="cellIs" dxfId="26" priority="88" operator="between">
      <formula>0.1</formula>
      <formula>0.59</formula>
    </cfRule>
  </conditionalFormatting>
  <conditionalFormatting sqref="B19:I19 K19:R19 T19:AA19 AC19:AL19">
    <cfRule type="cellIs" dxfId="25" priority="81" operator="between">
      <formula>0.16</formula>
      <formula>0.8</formula>
    </cfRule>
    <cfRule type="cellIs" dxfId="24" priority="82" operator="between">
      <formula>0.08</formula>
      <formula>0.15</formula>
    </cfRule>
    <cfRule type="cellIs" dxfId="23" priority="83" operator="between">
      <formula>0.08</formula>
      <formula>0.15</formula>
    </cfRule>
    <cfRule type="cellIs" dxfId="22" priority="84" operator="between">
      <formula>0</formula>
      <formula>0.07</formula>
    </cfRule>
  </conditionalFormatting>
  <conditionalFormatting sqref="B19:I19 K19:R19 T19:AA19 AC19:AL19">
    <cfRule type="cellIs" dxfId="21" priority="77" operator="between">
      <formula>0</formula>
      <formula>0.05</formula>
    </cfRule>
    <cfRule type="cellIs" dxfId="20" priority="78" operator="between">
      <formula>0.11</formula>
      <formula>1</formula>
    </cfRule>
    <cfRule type="cellIs" dxfId="19" priority="79" operator="between">
      <formula>0.06</formula>
      <formula>0.1</formula>
    </cfRule>
    <cfRule type="cellIs" dxfId="18" priority="80" operator="between">
      <formula>0</formula>
      <formula>0.05</formula>
    </cfRule>
  </conditionalFormatting>
  <conditionalFormatting sqref="D19:I19 K19:R19 T19:AA19 AC19:AL19">
    <cfRule type="cellIs" dxfId="17" priority="74" operator="between">
      <formula>0.11</formula>
      <formula>1</formula>
    </cfRule>
    <cfRule type="cellIs" dxfId="16" priority="75" operator="between">
      <formula>0.06</formula>
      <formula>0.1</formula>
    </cfRule>
    <cfRule type="cellIs" dxfId="15" priority="76" operator="between">
      <formula>0</formula>
      <formula>0.05</formula>
    </cfRule>
  </conditionalFormatting>
  <conditionalFormatting sqref="N16 P16 L16 R16">
    <cfRule type="cellIs" dxfId="14" priority="36" operator="between">
      <formula>0</formula>
      <formula>0.59</formula>
    </cfRule>
  </conditionalFormatting>
  <conditionalFormatting sqref="I16">
    <cfRule type="cellIs" dxfId="13" priority="28" operator="between">
      <formula>0</formula>
      <formula>0.59</formula>
    </cfRule>
    <cfRule type="cellIs" dxfId="12" priority="29" operator="between">
      <formula>0</formula>
      <formula>0.59</formula>
    </cfRule>
    <cfRule type="cellIs" dxfId="11" priority="30" operator="between">
      <formula>0</formula>
      <formula>0.59</formula>
    </cfRule>
    <cfRule type="cellIs" dxfId="10" priority="31" operator="between">
      <formula>0.8</formula>
      <formula>1.5</formula>
    </cfRule>
    <cfRule type="cellIs" dxfId="9" priority="32" operator="between">
      <formula>0.8</formula>
      <formula>1.5</formula>
    </cfRule>
    <cfRule type="cellIs" dxfId="8" priority="33" operator="between">
      <formula>0.6</formula>
      <formula>0.79</formula>
    </cfRule>
    <cfRule type="cellIs" dxfId="7" priority="34" operator="between">
      <formula>0</formula>
      <formula>0.59</formula>
    </cfRule>
    <cfRule type="cellIs" dxfId="6" priority="35" operator="between">
      <formula>0</formula>
      <formula>0.59</formula>
    </cfRule>
  </conditionalFormatting>
  <conditionalFormatting sqref="C16">
    <cfRule type="cellIs" dxfId="5" priority="16" operator="between">
      <formula>0</formula>
      <formula>0.59</formula>
    </cfRule>
    <cfRule type="cellIs" dxfId="4" priority="17" operator="between">
      <formula>0.8</formula>
      <formula>1.5</formula>
    </cfRule>
    <cfRule type="cellIs" dxfId="3" priority="18" operator="between">
      <formula>0.8</formula>
      <formula>1.5</formula>
    </cfRule>
    <cfRule type="cellIs" dxfId="2" priority="19" operator="between">
      <formula>0.6</formula>
      <formula>0.79</formula>
    </cfRule>
    <cfRule type="cellIs" dxfId="1" priority="20" operator="between">
      <formula>0</formula>
      <formula>0.59</formula>
    </cfRule>
    <cfRule type="cellIs" dxfId="0" priority="21" operator="between">
      <formula>0</formula>
      <formula>0.59</formula>
    </cfRule>
  </conditionalFormatting>
  <pageMargins left="0" right="0" top="0" bottom="0" header="0.31496062992125984" footer="0.31496062992125984"/>
  <pageSetup paperSize="9" scale="86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29 FEBRERO</vt:lpstr>
      <vt:lpstr>'29 FEBRERO'!Área_de_impresión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msuligoy</dc:creator>
  <cp:lastModifiedBy>msuligoy</cp:lastModifiedBy>
  <dcterms:created xsi:type="dcterms:W3CDTF">2016-03-07T12:46:08Z</dcterms:created>
  <dcterms:modified xsi:type="dcterms:W3CDTF">2016-03-07T12:50:10Z</dcterms:modified>
</cp:coreProperties>
</file>