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uario/git/sisepuede/sisepuede/ref/validation_workbooks/"/>
    </mc:Choice>
  </mc:AlternateContent>
  <xr:revisionPtr revIDLastSave="0" documentId="13_ncr:1_{32D919B1-785D-7041-B023-9DDA159EA843}" xr6:coauthVersionLast="47" xr6:coauthVersionMax="47" xr10:uidLastSave="{00000000-0000-0000-0000-000000000000}"/>
  <bookViews>
    <workbookView xWindow="1680" yWindow="500" windowWidth="22400" windowHeight="16720" activeTab="1" xr2:uid="{49B92464-5B50-C04B-B571-E5276F1DC1E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O3" i="2"/>
  <c r="Q3" i="2" s="1"/>
  <c r="Y4" i="2" s="1"/>
  <c r="AN5" i="2"/>
  <c r="AN4" i="2"/>
  <c r="AI5" i="2"/>
  <c r="AJ5" i="2"/>
  <c r="AK5" i="2"/>
  <c r="AL5" i="2"/>
  <c r="AM5" i="2"/>
  <c r="AI6" i="2"/>
  <c r="AJ6" i="2"/>
  <c r="AK6" i="2"/>
  <c r="AL6" i="2"/>
  <c r="AM6" i="2"/>
  <c r="AN6" i="2"/>
  <c r="AI7" i="2"/>
  <c r="AJ7" i="2"/>
  <c r="AK7" i="2"/>
  <c r="AL7" i="2"/>
  <c r="AM7" i="2"/>
  <c r="AN7" i="2"/>
  <c r="AI8" i="2"/>
  <c r="AJ8" i="2"/>
  <c r="AK8" i="2"/>
  <c r="AL8" i="2"/>
  <c r="AM8" i="2"/>
  <c r="AN8" i="2"/>
  <c r="AI9" i="2"/>
  <c r="AJ9" i="2"/>
  <c r="AK9" i="2"/>
  <c r="AL9" i="2"/>
  <c r="AM9" i="2"/>
  <c r="AN9" i="2"/>
  <c r="AI10" i="2"/>
  <c r="AJ10" i="2"/>
  <c r="AK10" i="2"/>
  <c r="AL10" i="2"/>
  <c r="AM10" i="2"/>
  <c r="AN10" i="2"/>
  <c r="AI11" i="2"/>
  <c r="AJ11" i="2"/>
  <c r="AK11" i="2"/>
  <c r="AL11" i="2"/>
  <c r="AM11" i="2"/>
  <c r="AN11" i="2"/>
  <c r="AI12" i="2"/>
  <c r="AJ12" i="2"/>
  <c r="AK12" i="2"/>
  <c r="AL12" i="2"/>
  <c r="AM12" i="2"/>
  <c r="AN12" i="2"/>
  <c r="AI13" i="2"/>
  <c r="AJ13" i="2"/>
  <c r="AK13" i="2"/>
  <c r="AL13" i="2"/>
  <c r="AM13" i="2"/>
  <c r="AN13" i="2"/>
  <c r="AI14" i="2"/>
  <c r="AJ14" i="2"/>
  <c r="AK14" i="2"/>
  <c r="AL14" i="2"/>
  <c r="AM14" i="2"/>
  <c r="AN14" i="2"/>
  <c r="AI15" i="2"/>
  <c r="AJ15" i="2"/>
  <c r="AK15" i="2"/>
  <c r="AL15" i="2"/>
  <c r="AM15" i="2"/>
  <c r="AN15" i="2"/>
  <c r="AI16" i="2"/>
  <c r="AJ16" i="2"/>
  <c r="AK16" i="2"/>
  <c r="AL16" i="2"/>
  <c r="AM16" i="2"/>
  <c r="AN16" i="2"/>
  <c r="AI17" i="2"/>
  <c r="AJ17" i="2"/>
  <c r="AK17" i="2"/>
  <c r="AL17" i="2"/>
  <c r="AM17" i="2"/>
  <c r="AN17" i="2"/>
  <c r="AI18" i="2"/>
  <c r="AJ18" i="2"/>
  <c r="AK18" i="2"/>
  <c r="AL18" i="2"/>
  <c r="AM18" i="2"/>
  <c r="AN18" i="2"/>
  <c r="AI19" i="2"/>
  <c r="AJ19" i="2"/>
  <c r="AK19" i="2"/>
  <c r="AL19" i="2"/>
  <c r="AM19" i="2"/>
  <c r="AN19" i="2"/>
  <c r="AI20" i="2"/>
  <c r="AJ20" i="2"/>
  <c r="AK20" i="2"/>
  <c r="AL20" i="2"/>
  <c r="AM20" i="2"/>
  <c r="AN20" i="2"/>
  <c r="AI21" i="2"/>
  <c r="AJ21" i="2"/>
  <c r="AK21" i="2"/>
  <c r="AL21" i="2"/>
  <c r="AM21" i="2"/>
  <c r="AN21" i="2"/>
  <c r="AI22" i="2"/>
  <c r="AJ22" i="2"/>
  <c r="AK22" i="2"/>
  <c r="AL22" i="2"/>
  <c r="AM22" i="2"/>
  <c r="AN22" i="2"/>
  <c r="AI23" i="2"/>
  <c r="AJ23" i="2"/>
  <c r="AK23" i="2"/>
  <c r="AL23" i="2"/>
  <c r="AM23" i="2"/>
  <c r="AN23" i="2"/>
  <c r="AI24" i="2"/>
  <c r="AJ24" i="2"/>
  <c r="AK24" i="2"/>
  <c r="AL24" i="2"/>
  <c r="AM24" i="2"/>
  <c r="AN24" i="2"/>
  <c r="AI25" i="2"/>
  <c r="AJ25" i="2"/>
  <c r="AK25" i="2"/>
  <c r="AL25" i="2"/>
  <c r="AM25" i="2"/>
  <c r="AN25" i="2"/>
  <c r="AI26" i="2"/>
  <c r="AJ26" i="2"/>
  <c r="AK26" i="2"/>
  <c r="AL26" i="2"/>
  <c r="AM26" i="2"/>
  <c r="AN26" i="2"/>
  <c r="AI27" i="2"/>
  <c r="AJ27" i="2"/>
  <c r="AK27" i="2"/>
  <c r="AL27" i="2"/>
  <c r="AM27" i="2"/>
  <c r="AN27" i="2"/>
  <c r="AI28" i="2"/>
  <c r="AJ28" i="2"/>
  <c r="AK28" i="2"/>
  <c r="AL28" i="2"/>
  <c r="AM28" i="2"/>
  <c r="AN28" i="2"/>
  <c r="AI29" i="2"/>
  <c r="AJ29" i="2"/>
  <c r="AK29" i="2"/>
  <c r="AL29" i="2"/>
  <c r="AM29" i="2"/>
  <c r="AN29" i="2"/>
  <c r="AI30" i="2"/>
  <c r="AJ30" i="2"/>
  <c r="AK30" i="2"/>
  <c r="AL30" i="2"/>
  <c r="AM30" i="2"/>
  <c r="AN30" i="2"/>
  <c r="AJ4" i="2"/>
  <c r="AK4" i="2"/>
  <c r="AL4" i="2"/>
  <c r="AM4" i="2"/>
  <c r="AI4" i="2"/>
  <c r="L5" i="2"/>
  <c r="L4" i="2"/>
  <c r="L3" i="2"/>
  <c r="R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" i="2"/>
  <c r="Y3" i="2"/>
  <c r="X3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4" i="2"/>
  <c r="S3" i="2"/>
  <c r="U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3" i="2"/>
  <c r="AQ21" i="2"/>
  <c r="AQ22" i="2"/>
  <c r="AQ23" i="2"/>
  <c r="AQ24" i="2"/>
  <c r="AQ25" i="2"/>
  <c r="AQ26" i="2"/>
  <c r="AQ27" i="2"/>
  <c r="AQ28" i="2"/>
  <c r="AQ29" i="2"/>
  <c r="AQ30" i="2"/>
  <c r="AQ31" i="2"/>
  <c r="AQ20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" i="2"/>
  <c r="AJ3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B20" i="1"/>
  <c r="B18" i="1"/>
  <c r="B17" i="1"/>
  <c r="B19" i="1" s="1"/>
  <c r="P3" i="2" l="1"/>
  <c r="R4" i="2"/>
  <c r="V24" i="2"/>
  <c r="AI3" i="2"/>
  <c r="AN3" i="2"/>
  <c r="AM3" i="2"/>
  <c r="AL3" i="2"/>
  <c r="AK3" i="2"/>
  <c r="L6" i="2" l="1"/>
  <c r="R5" i="2"/>
  <c r="V25" i="2"/>
  <c r="V27" i="2"/>
  <c r="V30" i="2"/>
  <c r="V29" i="2"/>
  <c r="V28" i="2"/>
  <c r="V26" i="2"/>
  <c r="L7" i="2" l="1"/>
  <c r="R6" i="2"/>
  <c r="X4" i="2"/>
  <c r="AA4" i="2"/>
  <c r="Z4" i="2" l="1"/>
  <c r="F4" i="2" s="1"/>
  <c r="L8" i="2"/>
  <c r="R7" i="2"/>
  <c r="G4" i="2"/>
  <c r="K4" i="2"/>
  <c r="J4" i="2"/>
  <c r="U4" i="2" l="1"/>
  <c r="W4" i="2" s="1"/>
  <c r="L9" i="2"/>
  <c r="R8" i="2"/>
  <c r="O4" i="2"/>
  <c r="P4" i="2" s="1"/>
  <c r="X5" i="2" s="1"/>
  <c r="Z5" i="2" l="1"/>
  <c r="J5" i="2" s="1"/>
  <c r="L10" i="2"/>
  <c r="R9" i="2"/>
  <c r="Q4" i="2"/>
  <c r="Y5" i="2" s="1"/>
  <c r="F5" i="2" l="1"/>
  <c r="L11" i="2"/>
  <c r="R10" i="2"/>
  <c r="AA5" i="2"/>
  <c r="L12" i="2" l="1"/>
  <c r="R11" i="2"/>
  <c r="G5" i="2"/>
  <c r="U5" i="2" s="1"/>
  <c r="W5" i="2" s="1"/>
  <c r="O5" i="2" s="1"/>
  <c r="Q5" i="2" s="1"/>
  <c r="Y6" i="2" s="1"/>
  <c r="AA6" i="2" s="1"/>
  <c r="K5" i="2"/>
  <c r="L13" i="2" l="1"/>
  <c r="R12" i="2"/>
  <c r="G6" i="2"/>
  <c r="K6" i="2"/>
  <c r="P5" i="2"/>
  <c r="X6" i="2" s="1"/>
  <c r="Z6" i="2" s="1"/>
  <c r="J6" i="2" s="1"/>
  <c r="L14" i="2" l="1"/>
  <c r="R13" i="2"/>
  <c r="F6" i="2"/>
  <c r="U6" i="2" s="1"/>
  <c r="W6" i="2" s="1"/>
  <c r="O6" i="2" s="1"/>
  <c r="L15" i="2" l="1"/>
  <c r="R14" i="2"/>
  <c r="P6" i="2"/>
  <c r="X7" i="2" s="1"/>
  <c r="Z7" i="2" s="1"/>
  <c r="J7" i="2" s="1"/>
  <c r="Q6" i="2"/>
  <c r="Y7" i="2" s="1"/>
  <c r="AA7" i="2" s="1"/>
  <c r="L16" i="2" l="1"/>
  <c r="R15" i="2"/>
  <c r="G7" i="2"/>
  <c r="K7" i="2"/>
  <c r="F7" i="2"/>
  <c r="U7" i="2" s="1"/>
  <c r="W7" i="2" s="1"/>
  <c r="O7" i="2" s="1"/>
  <c r="L17" i="2" l="1"/>
  <c r="R16" i="2"/>
  <c r="P7" i="2"/>
  <c r="X8" i="2" s="1"/>
  <c r="Z8" i="2" s="1"/>
  <c r="J8" i="2" s="1"/>
  <c r="Q7" i="2"/>
  <c r="Y8" i="2" s="1"/>
  <c r="AA8" i="2" s="1"/>
  <c r="L18" i="2" l="1"/>
  <c r="R17" i="2"/>
  <c r="G8" i="2"/>
  <c r="K8" i="2"/>
  <c r="F8" i="2"/>
  <c r="U8" i="2" s="1"/>
  <c r="W8" i="2" s="1"/>
  <c r="O8" i="2" s="1"/>
  <c r="L19" i="2" l="1"/>
  <c r="R18" i="2"/>
  <c r="P8" i="2"/>
  <c r="X9" i="2" s="1"/>
  <c r="Z9" i="2" s="1"/>
  <c r="J9" i="2" s="1"/>
  <c r="Q8" i="2"/>
  <c r="Y9" i="2" s="1"/>
  <c r="AA9" i="2" s="1"/>
  <c r="L20" i="2" l="1"/>
  <c r="R19" i="2"/>
  <c r="G9" i="2"/>
  <c r="K9" i="2"/>
  <c r="F9" i="2"/>
  <c r="U9" i="2" s="1"/>
  <c r="W9" i="2" s="1"/>
  <c r="O9" i="2" s="1"/>
  <c r="L21" i="2" l="1"/>
  <c r="R20" i="2"/>
  <c r="Q9" i="2"/>
  <c r="Y10" i="2" s="1"/>
  <c r="AA10" i="2" s="1"/>
  <c r="P9" i="2"/>
  <c r="X10" i="2" s="1"/>
  <c r="Z10" i="2" s="1"/>
  <c r="J10" i="2" s="1"/>
  <c r="L22" i="2" l="1"/>
  <c r="R21" i="2"/>
  <c r="G10" i="2"/>
  <c r="K10" i="2"/>
  <c r="F10" i="2"/>
  <c r="U10" i="2" s="1"/>
  <c r="W10" i="2" s="1"/>
  <c r="O10" i="2"/>
  <c r="L23" i="2" l="1"/>
  <c r="R22" i="2"/>
  <c r="Q10" i="2"/>
  <c r="Y11" i="2" s="1"/>
  <c r="AA11" i="2" s="1"/>
  <c r="P10" i="2"/>
  <c r="X11" i="2" s="1"/>
  <c r="Z11" i="2" s="1"/>
  <c r="J11" i="2" s="1"/>
  <c r="L24" i="2" l="1"/>
  <c r="R23" i="2"/>
  <c r="G11" i="2"/>
  <c r="K11" i="2"/>
  <c r="F11" i="2"/>
  <c r="U11" i="2" s="1"/>
  <c r="W11" i="2" s="1"/>
  <c r="O11" i="2" s="1"/>
  <c r="L25" i="2" l="1"/>
  <c r="R24" i="2"/>
  <c r="P11" i="2"/>
  <c r="X12" i="2" s="1"/>
  <c r="Z12" i="2" s="1"/>
  <c r="J12" i="2" s="1"/>
  <c r="Q11" i="2"/>
  <c r="Y12" i="2" s="1"/>
  <c r="AA12" i="2" s="1"/>
  <c r="L26" i="2" l="1"/>
  <c r="R25" i="2"/>
  <c r="G12" i="2"/>
  <c r="K12" i="2"/>
  <c r="F12" i="2"/>
  <c r="U12" i="2" s="1"/>
  <c r="W12" i="2" s="1"/>
  <c r="O12" i="2" s="1"/>
  <c r="L27" i="2" l="1"/>
  <c r="R26" i="2"/>
  <c r="Q12" i="2"/>
  <c r="Y13" i="2" s="1"/>
  <c r="AA13" i="2" s="1"/>
  <c r="P12" i="2"/>
  <c r="X13" i="2" s="1"/>
  <c r="Z13" i="2" s="1"/>
  <c r="J13" i="2" s="1"/>
  <c r="L28" i="2" l="1"/>
  <c r="R27" i="2"/>
  <c r="G13" i="2"/>
  <c r="K13" i="2"/>
  <c r="F13" i="2"/>
  <c r="U13" i="2" s="1"/>
  <c r="W13" i="2" s="1"/>
  <c r="O13" i="2" s="1"/>
  <c r="L29" i="2" l="1"/>
  <c r="R28" i="2"/>
  <c r="Q13" i="2"/>
  <c r="Y14" i="2" s="1"/>
  <c r="AA14" i="2" s="1"/>
  <c r="P13" i="2"/>
  <c r="X14" i="2" s="1"/>
  <c r="Z14" i="2" s="1"/>
  <c r="J14" i="2" s="1"/>
  <c r="L30" i="2" l="1"/>
  <c r="R30" i="2" s="1"/>
  <c r="R29" i="2"/>
  <c r="G14" i="2"/>
  <c r="K14" i="2"/>
  <c r="F14" i="2"/>
  <c r="U14" i="2" s="1"/>
  <c r="W14" i="2" s="1"/>
  <c r="O14" i="2" s="1"/>
  <c r="P14" i="2" l="1"/>
  <c r="X15" i="2" s="1"/>
  <c r="Z15" i="2" s="1"/>
  <c r="J15" i="2" s="1"/>
  <c r="Q14" i="2"/>
  <c r="Y15" i="2" s="1"/>
  <c r="AA15" i="2" s="1"/>
  <c r="G15" i="2" l="1"/>
  <c r="K15" i="2"/>
  <c r="F15" i="2"/>
  <c r="U15" i="2" s="1"/>
  <c r="W15" i="2" s="1"/>
  <c r="O15" i="2"/>
  <c r="Q15" i="2" l="1"/>
  <c r="Y16" i="2" s="1"/>
  <c r="AA16" i="2" s="1"/>
  <c r="P15" i="2"/>
  <c r="X16" i="2" s="1"/>
  <c r="Z16" i="2" s="1"/>
  <c r="J16" i="2" s="1"/>
  <c r="G16" i="2" l="1"/>
  <c r="K16" i="2"/>
  <c r="F16" i="2"/>
  <c r="U16" i="2" s="1"/>
  <c r="W16" i="2" s="1"/>
  <c r="O16" i="2"/>
  <c r="P16" i="2" s="1"/>
  <c r="X17" i="2" s="1"/>
  <c r="Z17" i="2" s="1"/>
  <c r="J17" i="2" s="1"/>
  <c r="F17" i="2" l="1"/>
  <c r="Q16" i="2"/>
  <c r="Y17" i="2" s="1"/>
  <c r="AA17" i="2" s="1"/>
  <c r="G17" i="2" l="1"/>
  <c r="K17" i="2"/>
  <c r="U17" i="2"/>
  <c r="W17" i="2" s="1"/>
  <c r="O17" i="2" s="1"/>
  <c r="P17" i="2" l="1"/>
  <c r="X18" i="2" s="1"/>
  <c r="Z18" i="2" s="1"/>
  <c r="J18" i="2" s="1"/>
  <c r="Q17" i="2"/>
  <c r="Y18" i="2" s="1"/>
  <c r="AA18" i="2" s="1"/>
  <c r="G18" i="2" l="1"/>
  <c r="K18" i="2"/>
  <c r="F18" i="2"/>
  <c r="U18" i="2" l="1"/>
  <c r="W18" i="2" s="1"/>
  <c r="O18" i="2" s="1"/>
  <c r="Q18" i="2" s="1"/>
  <c r="Y19" i="2" s="1"/>
  <c r="AA19" i="2" s="1"/>
  <c r="P18" i="2" l="1"/>
  <c r="X19" i="2" s="1"/>
  <c r="Z19" i="2" s="1"/>
  <c r="J19" i="2" s="1"/>
  <c r="G19" i="2"/>
  <c r="K19" i="2"/>
  <c r="F19" i="2"/>
  <c r="U19" i="2" s="1"/>
  <c r="W19" i="2" s="1"/>
  <c r="O19" i="2" s="1"/>
  <c r="P19" i="2" l="1"/>
  <c r="X20" i="2" s="1"/>
  <c r="Z20" i="2" s="1"/>
  <c r="J20" i="2" s="1"/>
  <c r="Q19" i="2"/>
  <c r="Y20" i="2" s="1"/>
  <c r="AA20" i="2" s="1"/>
  <c r="G20" i="2" l="1"/>
  <c r="K20" i="2"/>
  <c r="F20" i="2"/>
  <c r="U20" i="2" l="1"/>
  <c r="W20" i="2" s="1"/>
  <c r="O20" i="2" s="1"/>
  <c r="P20" i="2" s="1"/>
  <c r="X21" i="2" s="1"/>
  <c r="Z21" i="2" s="1"/>
  <c r="J21" i="2" s="1"/>
  <c r="Q20" i="2" l="1"/>
  <c r="Y21" i="2" s="1"/>
  <c r="AA21" i="2" s="1"/>
  <c r="G21" i="2"/>
  <c r="K21" i="2"/>
  <c r="F21" i="2"/>
  <c r="U21" i="2" s="1"/>
  <c r="W21" i="2" s="1"/>
  <c r="O21" i="2" s="1"/>
  <c r="Q21" i="2" l="1"/>
  <c r="Y22" i="2" s="1"/>
  <c r="AA22" i="2" s="1"/>
  <c r="P21" i="2"/>
  <c r="X22" i="2" s="1"/>
  <c r="Z22" i="2" s="1"/>
  <c r="J22" i="2" s="1"/>
  <c r="G22" i="2" l="1"/>
  <c r="K22" i="2"/>
  <c r="F22" i="2"/>
  <c r="U22" i="2" l="1"/>
  <c r="W22" i="2" s="1"/>
  <c r="O22" i="2" s="1"/>
  <c r="Q22" i="2" s="1"/>
  <c r="Y23" i="2" s="1"/>
  <c r="AA23" i="2" s="1"/>
  <c r="P22" i="2" l="1"/>
  <c r="X23" i="2" s="1"/>
  <c r="Z23" i="2" s="1"/>
  <c r="J23" i="2" s="1"/>
  <c r="G23" i="2"/>
  <c r="K23" i="2"/>
  <c r="F23" i="2"/>
  <c r="U23" i="2" s="1"/>
  <c r="W23" i="2" s="1"/>
  <c r="O23" i="2" s="1"/>
  <c r="Q23" i="2" l="1"/>
  <c r="Y24" i="2" s="1"/>
  <c r="AA24" i="2" s="1"/>
  <c r="P23" i="2"/>
  <c r="X24" i="2" s="1"/>
  <c r="Z24" i="2" s="1"/>
  <c r="J24" i="2" s="1"/>
  <c r="G24" i="2" l="1"/>
  <c r="K24" i="2"/>
  <c r="F24" i="2"/>
  <c r="U24" i="2" s="1"/>
  <c r="W24" i="2" s="1"/>
  <c r="O24" i="2" s="1"/>
  <c r="P24" i="2" l="1"/>
  <c r="X25" i="2" s="1"/>
  <c r="Z25" i="2" s="1"/>
  <c r="J25" i="2" s="1"/>
  <c r="Q24" i="2"/>
  <c r="Y25" i="2" s="1"/>
  <c r="AA25" i="2" s="1"/>
  <c r="G25" i="2" l="1"/>
  <c r="K25" i="2"/>
  <c r="F25" i="2"/>
  <c r="U25" i="2" s="1"/>
  <c r="W25" i="2" s="1"/>
  <c r="O25" i="2" s="1"/>
  <c r="Q25" i="2" s="1"/>
  <c r="Y26" i="2" s="1"/>
  <c r="AA26" i="2" s="1"/>
  <c r="G26" i="2" l="1"/>
  <c r="K26" i="2"/>
  <c r="P25" i="2"/>
  <c r="X26" i="2" s="1"/>
  <c r="Z26" i="2" s="1"/>
  <c r="J26" i="2" s="1"/>
  <c r="F26" i="2" l="1"/>
  <c r="U26" i="2" s="1"/>
  <c r="W26" i="2" s="1"/>
  <c r="O26" i="2" s="1"/>
  <c r="Q26" i="2" l="1"/>
  <c r="Y27" i="2" s="1"/>
  <c r="AA27" i="2" s="1"/>
  <c r="P26" i="2"/>
  <c r="X27" i="2" s="1"/>
  <c r="Z27" i="2" s="1"/>
  <c r="J27" i="2" s="1"/>
  <c r="G27" i="2" l="1"/>
  <c r="K27" i="2"/>
  <c r="F27" i="2"/>
  <c r="U27" i="2" s="1"/>
  <c r="W27" i="2" s="1"/>
  <c r="O27" i="2" s="1"/>
  <c r="P27" i="2" s="1"/>
  <c r="X28" i="2" s="1"/>
  <c r="Q27" i="2" l="1"/>
  <c r="Y28" i="2" s="1"/>
  <c r="AA28" i="2" s="1"/>
  <c r="Z28" i="2"/>
  <c r="J28" i="2" s="1"/>
  <c r="G28" i="2" l="1"/>
  <c r="K28" i="2"/>
  <c r="F28" i="2"/>
  <c r="U28" i="2"/>
  <c r="W28" i="2" s="1"/>
  <c r="O28" i="2" l="1"/>
  <c r="Q28" i="2" s="1"/>
  <c r="Y29" i="2" s="1"/>
  <c r="AA29" i="2" s="1"/>
  <c r="G29" i="2" l="1"/>
  <c r="K29" i="2"/>
  <c r="P28" i="2"/>
  <c r="X29" i="2" s="1"/>
  <c r="Z29" i="2" s="1"/>
  <c r="J29" i="2" s="1"/>
  <c r="F29" i="2" l="1"/>
  <c r="U29" i="2" s="1"/>
  <c r="W29" i="2" s="1"/>
  <c r="O29" i="2" s="1"/>
  <c r="P29" i="2" s="1"/>
  <c r="X30" i="2" s="1"/>
  <c r="Z30" i="2" s="1"/>
  <c r="J30" i="2" s="1"/>
  <c r="F30" i="2" l="1"/>
  <c r="Q29" i="2"/>
  <c r="Y30" i="2" s="1"/>
  <c r="AA30" i="2" s="1"/>
  <c r="G30" i="2" l="1"/>
  <c r="U30" i="2" s="1"/>
  <c r="W30" i="2" s="1"/>
  <c r="O30" i="2" s="1"/>
  <c r="Q30" i="2" s="1"/>
  <c r="K30" i="2"/>
  <c r="P30" i="2" l="1"/>
</calcChain>
</file>

<file path=xl/sharedStrings.xml><?xml version="1.0" encoding="utf-8"?>
<sst xmlns="http://schemas.openxmlformats.org/spreadsheetml/2006/main" count="73" uniqueCount="51">
  <si>
    <t>forest_primary_c_ha</t>
  </si>
  <si>
    <t>forest_secondary_c_ha</t>
  </si>
  <si>
    <t>forest_primary_c_ha_yr</t>
  </si>
  <si>
    <t>forest_secondary_c_ha_yr</t>
  </si>
  <si>
    <t>forest_primary_conv_ha</t>
  </si>
  <si>
    <t>forest_secondary_conv_ha</t>
  </si>
  <si>
    <t>fraction_c_available_for_use</t>
  </si>
  <si>
    <t>c_demand</t>
  </si>
  <si>
    <t>forest_primary_ha</t>
  </si>
  <si>
    <t>forest_secondary_ha</t>
  </si>
  <si>
    <t>fraction_c_converted_available</t>
  </si>
  <si>
    <t>c_stock_loss_conversion_primary</t>
  </si>
  <si>
    <t>c_stock_loss_conversion_secondary</t>
  </si>
  <si>
    <t>c_stock_loss_conversion_available_for_bmass</t>
  </si>
  <si>
    <t>c_stock_available_in_forests</t>
  </si>
  <si>
    <t>fraction_c_loss_to_degrade</t>
  </si>
  <si>
    <t>Assume forest in steady state at t = 0 (def a problem)</t>
  </si>
  <si>
    <t>Stop extraction at floor (30%)</t>
  </si>
  <si>
    <t>Reduce annual sequestration rate after some threshold (70%?)</t>
  </si>
  <si>
    <t>tp0</t>
  </si>
  <si>
    <t>tp1</t>
  </si>
  <si>
    <t>tp2</t>
  </si>
  <si>
    <t>..</t>
  </si>
  <si>
    <t>Initial Area (ha)</t>
  </si>
  <si>
    <t>primary</t>
  </si>
  <si>
    <t>secondary</t>
  </si>
  <si>
    <t>Deforestation</t>
  </si>
  <si>
    <t>Protected Areas</t>
  </si>
  <si>
    <t>Annual Sequestration</t>
  </si>
  <si>
    <t>Area of Original Remaining</t>
  </si>
  <si>
    <t>C stock tonne per ha</t>
  </si>
  <si>
    <t>Removals (tonnes)</t>
  </si>
  <si>
    <t xml:space="preserve"> Demanded</t>
  </si>
  <si>
    <t>seq_curve</t>
  </si>
  <si>
    <t>tp3</t>
  </si>
  <si>
    <t>tp4</t>
  </si>
  <si>
    <t>New Forest Areas -- Assume unavailable for harvesting for at least 20 years</t>
  </si>
  <si>
    <t>stock in new forests</t>
  </si>
  <si>
    <t>seq_cum</t>
  </si>
  <si>
    <t>new</t>
  </si>
  <si>
    <t>tp</t>
  </si>
  <si>
    <t>n_years_to_avail</t>
  </si>
  <si>
    <t>frac_avail_for_use</t>
  </si>
  <si>
    <t>deforestation</t>
  </si>
  <si>
    <t>C from other</t>
  </si>
  <si>
    <t>min_frac_required</t>
  </si>
  <si>
    <t>C total available</t>
  </si>
  <si>
    <t>C at beginning of period</t>
  </si>
  <si>
    <t>C without degradationin init</t>
  </si>
  <si>
    <t xml:space="preserve"> </t>
  </si>
  <si>
    <t>Satisfiable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</si>
</sst>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C682B-8E9E-524B-A713-F464F2F373DE}">
  <dimension ref="A1:L22"/>
  <sheetViews>
    <sheetView workbookViewId="0">
      <selection activeCell="F11" sqref="F11"/>
    </sheetView>
  </sheetViews>
  <sheetFormatPr baseColWidth="10" defaultRowHeight="16" x14ac:dyDescent="0.2"/>
  <cols>
    <col min="1" max="1" width="31.33203125" customWidth="1"/>
    <col min="2" max="2" width="17.6640625" bestFit="1" customWidth="1"/>
    <col min="3" max="3" width="19.83203125" bestFit="1" customWidth="1"/>
    <col min="4" max="4" width="15.6640625" bestFit="1" customWidth="1"/>
    <col min="5" max="5" width="19.83203125" bestFit="1" customWidth="1"/>
    <col min="6" max="6" width="20" bestFit="1" customWidth="1"/>
    <col min="7" max="7" width="22.33203125" bestFit="1" customWidth="1"/>
    <col min="8" max="8" width="20.5" bestFit="1" customWidth="1"/>
    <col min="9" max="9" width="22.83203125" bestFit="1" customWidth="1"/>
    <col min="10" max="10" width="14.6640625" customWidth="1"/>
  </cols>
  <sheetData>
    <row r="1" spans="1:12" x14ac:dyDescent="0.2">
      <c r="L1" t="s">
        <v>6</v>
      </c>
    </row>
    <row r="3" spans="1:12" x14ac:dyDescent="0.2">
      <c r="B3">
        <v>0</v>
      </c>
    </row>
    <row r="4" spans="1:12" x14ac:dyDescent="0.2">
      <c r="A4" t="s">
        <v>0</v>
      </c>
      <c r="B4">
        <v>100</v>
      </c>
    </row>
    <row r="5" spans="1:12" x14ac:dyDescent="0.2">
      <c r="A5" t="s">
        <v>1</v>
      </c>
      <c r="B5">
        <v>35</v>
      </c>
    </row>
    <row r="6" spans="1:12" x14ac:dyDescent="0.2">
      <c r="A6" t="s">
        <v>8</v>
      </c>
      <c r="B6">
        <v>100000</v>
      </c>
    </row>
    <row r="7" spans="1:12" x14ac:dyDescent="0.2">
      <c r="A7" t="s">
        <v>9</v>
      </c>
      <c r="B7">
        <v>400000</v>
      </c>
    </row>
    <row r="8" spans="1:12" x14ac:dyDescent="0.2">
      <c r="A8" t="s">
        <v>2</v>
      </c>
      <c r="B8">
        <v>0.1</v>
      </c>
      <c r="F8" t="s">
        <v>16</v>
      </c>
    </row>
    <row r="9" spans="1:12" x14ac:dyDescent="0.2">
      <c r="A9" t="s">
        <v>3</v>
      </c>
      <c r="B9">
        <v>0.5</v>
      </c>
      <c r="F9" t="s">
        <v>17</v>
      </c>
    </row>
    <row r="10" spans="1:12" x14ac:dyDescent="0.2">
      <c r="A10" t="s">
        <v>4</v>
      </c>
      <c r="B10">
        <v>10</v>
      </c>
      <c r="F10" t="s">
        <v>18</v>
      </c>
    </row>
    <row r="11" spans="1:12" x14ac:dyDescent="0.2">
      <c r="A11" t="s">
        <v>5</v>
      </c>
      <c r="B11">
        <v>6</v>
      </c>
    </row>
    <row r="12" spans="1:12" x14ac:dyDescent="0.2">
      <c r="A12" t="s">
        <v>7</v>
      </c>
      <c r="B12">
        <v>4000</v>
      </c>
    </row>
    <row r="13" spans="1:12" x14ac:dyDescent="0.2">
      <c r="A13" t="s">
        <v>10</v>
      </c>
      <c r="B13">
        <v>0.5</v>
      </c>
    </row>
    <row r="17" spans="1:2" x14ac:dyDescent="0.2">
      <c r="A17" t="s">
        <v>11</v>
      </c>
      <c r="B17">
        <f>B10*B4</f>
        <v>1000</v>
      </c>
    </row>
    <row r="18" spans="1:2" x14ac:dyDescent="0.2">
      <c r="A18" t="s">
        <v>12</v>
      </c>
      <c r="B18">
        <f>B11*B5</f>
        <v>210</v>
      </c>
    </row>
    <row r="19" spans="1:2" x14ac:dyDescent="0.2">
      <c r="A19" t="s">
        <v>13</v>
      </c>
      <c r="B19">
        <f>B13*(B17+B18)</f>
        <v>605</v>
      </c>
    </row>
    <row r="20" spans="1:2" x14ac:dyDescent="0.2">
      <c r="A20" t="s">
        <v>14</v>
      </c>
      <c r="B20">
        <f>B4*(B6-B10)+B5*(B7-B11)</f>
        <v>23998790</v>
      </c>
    </row>
    <row r="22" spans="1:2" x14ac:dyDescent="0.2">
      <c r="A22" t="s">
        <v>15</v>
      </c>
      <c r="B22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B73C-8C04-4845-96FD-F75302BA5D7D}">
  <dimension ref="A1:AX31"/>
  <sheetViews>
    <sheetView tabSelected="1" topLeftCell="O1" workbookViewId="0">
      <selection activeCell="W10" sqref="W10"/>
    </sheetView>
  </sheetViews>
  <sheetFormatPr baseColWidth="10" defaultRowHeight="16" x14ac:dyDescent="0.2"/>
  <cols>
    <col min="1" max="1" width="7.33203125" style="4" bestFit="1" customWidth="1"/>
    <col min="2" max="2" width="9.5" style="4" bestFit="1" customWidth="1"/>
    <col min="3" max="3" width="7.33203125" style="5" bestFit="1" customWidth="1"/>
    <col min="4" max="4" width="9.5" style="5" bestFit="1" customWidth="1"/>
    <col min="5" max="5" width="13.33203125" style="5" customWidth="1"/>
    <col min="6" max="6" width="7.33203125" style="4" bestFit="1" customWidth="1"/>
    <col min="7" max="7" width="9.5" style="4" bestFit="1" customWidth="1"/>
    <col min="8" max="8" width="17.6640625" style="5" customWidth="1"/>
    <col min="9" max="9" width="12.83203125" style="5" customWidth="1"/>
    <col min="10" max="10" width="14.1640625" style="4" customWidth="1"/>
    <col min="11" max="11" width="10.83203125" style="4"/>
    <col min="12" max="13" width="13.1640625" style="6" customWidth="1"/>
    <col min="14" max="14" width="14.33203125" style="7" bestFit="1" customWidth="1"/>
    <col min="15" max="15" width="10.6640625" style="7" bestFit="1" customWidth="1"/>
    <col min="16" max="16" width="8.1640625" style="7" customWidth="1"/>
    <col min="17" max="17" width="9.5" style="7" bestFit="1" customWidth="1"/>
    <col min="18" max="20" width="12.1640625" style="6" customWidth="1"/>
    <col min="21" max="22" width="12.1640625" style="13" customWidth="1"/>
    <col min="23" max="24" width="12.1640625" style="6" customWidth="1"/>
    <col min="25" max="25" width="15.83203125" style="6" customWidth="1"/>
    <col min="26" max="27" width="15.83203125" style="7" customWidth="1"/>
    <col min="28" max="28" width="12.1640625" style="6" customWidth="1"/>
    <col min="29" max="33" width="10.83203125" style="4"/>
    <col min="34" max="34" width="15.1640625" style="4" customWidth="1"/>
    <col min="35" max="39" width="10.83203125" style="4"/>
    <col min="40" max="40" width="23.5" style="4" customWidth="1"/>
    <col min="41" max="41" width="4.33203125" customWidth="1"/>
    <col min="48" max="48" width="4.1640625" customWidth="1"/>
    <col min="50" max="50" width="9.1640625" customWidth="1"/>
    <col min="51" max="51" width="3.33203125" customWidth="1"/>
  </cols>
  <sheetData>
    <row r="1" spans="1:50" x14ac:dyDescent="0.2">
      <c r="A1" s="3" t="s">
        <v>23</v>
      </c>
      <c r="B1" s="3"/>
      <c r="C1" s="2" t="s">
        <v>26</v>
      </c>
      <c r="D1" s="2"/>
      <c r="E1" s="2"/>
      <c r="F1" s="3" t="s">
        <v>30</v>
      </c>
      <c r="G1" s="3"/>
      <c r="H1" s="2" t="s">
        <v>27</v>
      </c>
      <c r="I1" s="2"/>
      <c r="J1" s="3" t="s">
        <v>28</v>
      </c>
      <c r="K1" s="3"/>
      <c r="L1" s="9" t="s">
        <v>29</v>
      </c>
      <c r="M1" s="9"/>
      <c r="N1" s="8" t="s">
        <v>31</v>
      </c>
      <c r="O1" s="8"/>
      <c r="P1" s="8"/>
      <c r="Q1" s="8"/>
      <c r="R1" s="9" t="s">
        <v>48</v>
      </c>
      <c r="S1" s="9"/>
      <c r="T1" s="9"/>
      <c r="U1" s="12" t="s">
        <v>44</v>
      </c>
      <c r="V1" s="12"/>
      <c r="W1" s="6" t="s">
        <v>46</v>
      </c>
      <c r="X1" s="6" t="s">
        <v>47</v>
      </c>
      <c r="AC1" s="3" t="s">
        <v>36</v>
      </c>
      <c r="AD1" s="3"/>
      <c r="AE1" s="3"/>
      <c r="AF1" s="3"/>
      <c r="AG1" s="3"/>
      <c r="AH1" s="3"/>
      <c r="AI1" s="11" t="s">
        <v>37</v>
      </c>
      <c r="AJ1" s="1"/>
      <c r="AK1" s="1"/>
      <c r="AL1" s="1"/>
      <c r="AM1" s="1"/>
      <c r="AN1"/>
      <c r="AP1" t="s">
        <v>33</v>
      </c>
      <c r="AQ1" t="s">
        <v>38</v>
      </c>
      <c r="AR1" t="s">
        <v>41</v>
      </c>
    </row>
    <row r="2" spans="1:50" x14ac:dyDescent="0.2">
      <c r="A2" s="4" t="s">
        <v>24</v>
      </c>
      <c r="B2" s="4" t="s">
        <v>25</v>
      </c>
      <c r="C2" s="5" t="s">
        <v>24</v>
      </c>
      <c r="D2" s="5" t="s">
        <v>25</v>
      </c>
      <c r="E2" s="5" t="s">
        <v>42</v>
      </c>
      <c r="F2" s="4" t="s">
        <v>24</v>
      </c>
      <c r="G2" s="4" t="s">
        <v>25</v>
      </c>
      <c r="H2" s="5" t="s">
        <v>24</v>
      </c>
      <c r="I2" s="5" t="s">
        <v>25</v>
      </c>
      <c r="J2" s="4" t="s">
        <v>24</v>
      </c>
      <c r="K2" s="4" t="s">
        <v>25</v>
      </c>
      <c r="L2" s="6" t="s">
        <v>24</v>
      </c>
      <c r="M2" s="6" t="s">
        <v>25</v>
      </c>
      <c r="N2" s="7" t="s">
        <v>32</v>
      </c>
      <c r="O2" s="7" t="s">
        <v>50</v>
      </c>
      <c r="P2" s="7" t="s">
        <v>24</v>
      </c>
      <c r="Q2" s="7" t="s">
        <v>25</v>
      </c>
      <c r="R2" s="6" t="s">
        <v>24</v>
      </c>
      <c r="S2" s="6" t="s">
        <v>25</v>
      </c>
      <c r="T2" s="6" t="s">
        <v>45</v>
      </c>
      <c r="U2" s="13" t="s">
        <v>43</v>
      </c>
      <c r="V2" s="13" t="s">
        <v>39</v>
      </c>
      <c r="X2" s="6" t="s">
        <v>24</v>
      </c>
      <c r="Y2" s="6" t="s">
        <v>25</v>
      </c>
      <c r="AA2" s="7" t="s">
        <v>49</v>
      </c>
      <c r="AB2" s="6" t="s">
        <v>40</v>
      </c>
      <c r="AC2" s="4" t="s">
        <v>19</v>
      </c>
      <c r="AD2" s="4" t="s">
        <v>20</v>
      </c>
      <c r="AE2" s="4" t="s">
        <v>21</v>
      </c>
      <c r="AF2" s="4" t="s">
        <v>34</v>
      </c>
      <c r="AG2" s="4" t="s">
        <v>35</v>
      </c>
      <c r="AH2" s="4" t="s">
        <v>22</v>
      </c>
      <c r="AI2" s="4" t="s">
        <v>19</v>
      </c>
      <c r="AJ2" s="4" t="s">
        <v>20</v>
      </c>
      <c r="AK2" s="4" t="s">
        <v>21</v>
      </c>
      <c r="AL2" s="4" t="s">
        <v>34</v>
      </c>
      <c r="AM2" s="4" t="s">
        <v>35</v>
      </c>
      <c r="AN2" s="4" t="s">
        <v>22</v>
      </c>
      <c r="AP2">
        <v>0</v>
      </c>
      <c r="AQ2">
        <f>SUM(AP$2:AP2)</f>
        <v>0</v>
      </c>
      <c r="AR2">
        <v>20</v>
      </c>
    </row>
    <row r="3" spans="1:50" x14ac:dyDescent="0.2">
      <c r="A3" s="4">
        <v>10000</v>
      </c>
      <c r="B3" s="4">
        <v>250000</v>
      </c>
      <c r="C3" s="5">
        <v>50</v>
      </c>
      <c r="D3" s="5">
        <v>100</v>
      </c>
      <c r="E3" s="5">
        <v>0.7</v>
      </c>
      <c r="F3" s="4">
        <v>150</v>
      </c>
      <c r="G3" s="4">
        <v>100</v>
      </c>
      <c r="H3" s="5">
        <v>5000</v>
      </c>
      <c r="I3" s="5">
        <v>50000</v>
      </c>
      <c r="J3" s="4">
        <v>1</v>
      </c>
      <c r="K3" s="4">
        <v>3</v>
      </c>
      <c r="L3" s="6">
        <f>A3</f>
        <v>10000</v>
      </c>
      <c r="M3" s="6">
        <f>B3</f>
        <v>250000</v>
      </c>
      <c r="N3" s="7">
        <v>1000000</v>
      </c>
      <c r="O3" s="7">
        <f>INT(Z3&gt;T3)*MIN(N3,W3)</f>
        <v>1000000</v>
      </c>
      <c r="P3" s="7">
        <f>$O3*R3/($R3+$S3)</f>
        <v>36144.578313253012</v>
      </c>
      <c r="Q3" s="7">
        <f>$O3*S3/($R3+$S3)</f>
        <v>963855.42168674699</v>
      </c>
      <c r="R3" s="5">
        <f>MAX(L3-H3,0)*F$3</f>
        <v>750000</v>
      </c>
      <c r="S3" s="5">
        <f>MAX(M3-I3, 0)*G$3</f>
        <v>20000000</v>
      </c>
      <c r="T3" s="5">
        <v>0.3</v>
      </c>
      <c r="U3" s="14">
        <f>(C3*F3 + D3*G3)*E3</f>
        <v>12250</v>
      </c>
      <c r="V3" s="14">
        <f>IF(AB3&gt;$AR$2,AI3)+IF(AB3&gt;$AR$2+1,AJ3)+IF(AB3&gt;$AR$2+2,AK3)+IF(AB3&gt;$AR$2+3,AL3)+IF(AB3&gt;$AR$2+4,AM3)</f>
        <v>0</v>
      </c>
      <c r="W3" s="5">
        <f>(X3+Y3)*(1-T3)+U3</f>
        <v>14537250</v>
      </c>
      <c r="X3" s="5">
        <f>R3</f>
        <v>750000</v>
      </c>
      <c r="Y3" s="5">
        <f>S3</f>
        <v>20000000</v>
      </c>
      <c r="Z3" s="4">
        <v>1</v>
      </c>
      <c r="AA3" s="4">
        <v>1</v>
      </c>
      <c r="AB3" s="5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I3" s="4">
        <f>AC3*$AQ2</f>
        <v>0</v>
      </c>
      <c r="AJ3" s="4">
        <f>AD3*$AQ2</f>
        <v>0</v>
      </c>
      <c r="AK3" s="4">
        <f>AE3*$AQ2</f>
        <v>0</v>
      </c>
      <c r="AL3" s="4">
        <f>AF3*$AQ2</f>
        <v>0</v>
      </c>
      <c r="AM3" s="4">
        <f>AG3*$AQ2</f>
        <v>0</v>
      </c>
      <c r="AN3" s="4">
        <f>AH3*$AQ2</f>
        <v>0</v>
      </c>
      <c r="AP3">
        <v>0.01</v>
      </c>
      <c r="AQ3">
        <f>SUM(AP$2:AP3)</f>
        <v>0.01</v>
      </c>
      <c r="AR3">
        <v>20</v>
      </c>
      <c r="AW3" s="7">
        <v>4000000</v>
      </c>
      <c r="AX3">
        <f>ROUND(AW3/4,0)</f>
        <v>1000000</v>
      </c>
    </row>
    <row r="4" spans="1:50" x14ac:dyDescent="0.2">
      <c r="C4" s="5">
        <v>50</v>
      </c>
      <c r="D4" s="5">
        <v>100</v>
      </c>
      <c r="E4" s="5">
        <v>0.7</v>
      </c>
      <c r="F4" s="4">
        <f>F$3*Z4</f>
        <v>146.22331751247413</v>
      </c>
      <c r="G4" s="4">
        <f>G$3*AA4</f>
        <v>98.978712247690112</v>
      </c>
      <c r="H4" s="5">
        <v>5000</v>
      </c>
      <c r="I4" s="5">
        <v>50000</v>
      </c>
      <c r="J4" s="4">
        <f>J$3*Z4</f>
        <v>0.97482211674982755</v>
      </c>
      <c r="K4" s="4">
        <f>K$3*AA4</f>
        <v>2.9693613674307033</v>
      </c>
      <c r="L4" s="6">
        <f>MAX(L3-C3,H3)</f>
        <v>9950</v>
      </c>
      <c r="M4" s="6">
        <f>MAX(M3-D3,I3)</f>
        <v>249900</v>
      </c>
      <c r="N4" s="7">
        <v>1025000</v>
      </c>
      <c r="O4" s="7">
        <f t="shared" ref="O4:O30" si="0">INT(Z4&gt;T4)*MIN(N4,W4)</f>
        <v>1025000</v>
      </c>
      <c r="P4" s="7">
        <f t="shared" ref="P4:P7" si="1">$O4*R4/($R4+$S4)</f>
        <v>36708.669962619075</v>
      </c>
      <c r="Q4" s="7">
        <f t="shared" ref="Q4:Q7" si="2">$O4*S4/($R4+$S4)</f>
        <v>988291.33003738092</v>
      </c>
      <c r="R4" s="5">
        <f>MAX(L4-H4,0)*F$3</f>
        <v>742500</v>
      </c>
      <c r="S4" s="5">
        <f>MAX(M4-I4, 0)*G$3</f>
        <v>19990000</v>
      </c>
      <c r="T4" s="5">
        <v>0.3</v>
      </c>
      <c r="U4" s="14">
        <f>(C4*F4 + D4*G4)*E4</f>
        <v>12046.325970274902</v>
      </c>
      <c r="V4" s="14">
        <f t="shared" ref="V4:V30" si="3">IF(AB4&gt;$AR$2,AI4)+IF(AB4&gt;$AR$2+1,AJ4)+IF(AB4&gt;$AR$2+2,AK4)+IF(AB4&gt;$AR$2+3,AL4)+IF(AB4&gt;$AR$2+4,AM4)</f>
        <v>0</v>
      </c>
      <c r="W4" s="5">
        <f>(X4+Y4)*(1-T4)+U4</f>
        <v>14368801.325970275</v>
      </c>
      <c r="X4" s="5">
        <f>X3-P3+L4*J3</f>
        <v>723805.42168674699</v>
      </c>
      <c r="Y4" s="5">
        <f>Y3-Q3+M4*K3</f>
        <v>19785844.578313254</v>
      </c>
      <c r="Z4" s="4">
        <f>X4/R4</f>
        <v>0.97482211674982755</v>
      </c>
      <c r="AA4" s="4">
        <f>Y4/S4</f>
        <v>0.98978712247690115</v>
      </c>
      <c r="AB4" s="5">
        <v>1</v>
      </c>
      <c r="AC4" s="4">
        <v>100</v>
      </c>
      <c r="AD4" s="4">
        <v>0</v>
      </c>
      <c r="AE4" s="4">
        <v>0</v>
      </c>
      <c r="AF4" s="4">
        <v>0</v>
      </c>
      <c r="AG4" s="4">
        <v>0</v>
      </c>
      <c r="AI4" s="4">
        <f>AC4*$AQ2</f>
        <v>0</v>
      </c>
      <c r="AJ4" s="4">
        <f t="shared" ref="AJ4:AN4" si="4">AD4*$AQ2</f>
        <v>0</v>
      </c>
      <c r="AK4" s="4">
        <f t="shared" si="4"/>
        <v>0</v>
      </c>
      <c r="AL4" s="4">
        <f t="shared" si="4"/>
        <v>0</v>
      </c>
      <c r="AM4" s="4">
        <f t="shared" si="4"/>
        <v>0</v>
      </c>
      <c r="AN4" s="4">
        <f>AH4*$AQ2</f>
        <v>0</v>
      </c>
      <c r="AP4">
        <v>0.05</v>
      </c>
      <c r="AQ4">
        <f>SUM(AP$2:AP4)</f>
        <v>6.0000000000000005E-2</v>
      </c>
      <c r="AR4">
        <v>20</v>
      </c>
      <c r="AW4" s="7">
        <v>4100000</v>
      </c>
      <c r="AX4">
        <f t="shared" ref="AX4:AX30" si="5">ROUND(AW4/4,0)</f>
        <v>1025000</v>
      </c>
    </row>
    <row r="5" spans="1:50" x14ac:dyDescent="0.2">
      <c r="C5" s="5">
        <v>40</v>
      </c>
      <c r="D5" s="5">
        <v>120</v>
      </c>
      <c r="E5" s="5">
        <v>0.7</v>
      </c>
      <c r="F5" s="4">
        <f>F$3*Z5</f>
        <v>142.193365444888</v>
      </c>
      <c r="G5" s="4">
        <f t="shared" ref="G5:G30" si="6">G$3*AA5</f>
        <v>97.794292882182489</v>
      </c>
      <c r="H5" s="5">
        <v>5000</v>
      </c>
      <c r="I5" s="5">
        <v>50000</v>
      </c>
      <c r="J5" s="4">
        <f t="shared" ref="J5:J30" si="7">J$3*Z5</f>
        <v>0.94795576963258665</v>
      </c>
      <c r="K5" s="4">
        <f t="shared" ref="K5:K30" si="8">K$3*AA5</f>
        <v>2.9338287864654746</v>
      </c>
      <c r="L5" s="6">
        <f>MAX(L4-C4,H4)</f>
        <v>9900</v>
      </c>
      <c r="M5" s="6">
        <f t="shared" ref="M5:M30" si="9">MAX(M4-D4,I4)</f>
        <v>249800</v>
      </c>
      <c r="N5" s="7">
        <v>1062500</v>
      </c>
      <c r="O5" s="7">
        <f t="shared" si="0"/>
        <v>1062500</v>
      </c>
      <c r="P5" s="7">
        <f t="shared" si="1"/>
        <v>37699.131064446054</v>
      </c>
      <c r="Q5" s="7">
        <f t="shared" si="2"/>
        <v>1024800.8689355539</v>
      </c>
      <c r="R5" s="5">
        <f t="shared" ref="R5:R30" si="10">MAX(L5-H5,0)*F$3</f>
        <v>735000</v>
      </c>
      <c r="S5" s="5">
        <f t="shared" ref="S5:S30" si="11">MAX(M5-I5, 0)*G$3</f>
        <v>19980000</v>
      </c>
      <c r="T5" s="5">
        <v>0.3</v>
      </c>
      <c r="U5" s="14">
        <f>(C5*F5 + D5*G5)*E5</f>
        <v>12196.134834560195</v>
      </c>
      <c r="V5" s="14">
        <f t="shared" si="3"/>
        <v>0</v>
      </c>
      <c r="W5" s="5">
        <f>(X5+Y5)*(1-T5)+U5</f>
        <v>14177429.180812567</v>
      </c>
      <c r="X5" s="5">
        <f>X4-P4+L5*J4</f>
        <v>696747.49067995115</v>
      </c>
      <c r="Y5" s="5">
        <f>Y4-Q4+M5*K4</f>
        <v>19539299.717860062</v>
      </c>
      <c r="Z5" s="4">
        <f>X5/R5</f>
        <v>0.94795576963258665</v>
      </c>
      <c r="AA5" s="4">
        <f>Y5/S5</f>
        <v>0.97794292882182488</v>
      </c>
      <c r="AB5" s="5">
        <v>2</v>
      </c>
      <c r="AC5" s="4">
        <v>100</v>
      </c>
      <c r="AD5" s="4">
        <v>100</v>
      </c>
      <c r="AE5" s="4">
        <v>0</v>
      </c>
      <c r="AF5" s="4">
        <v>0</v>
      </c>
      <c r="AG5" s="4">
        <v>0</v>
      </c>
      <c r="AI5" s="4">
        <f t="shared" ref="AI5:AI30" si="12">AC5*$AQ3</f>
        <v>1</v>
      </c>
      <c r="AJ5" s="4">
        <f t="shared" ref="AJ5:AJ30" si="13">AD5*$AQ3</f>
        <v>1</v>
      </c>
      <c r="AK5" s="4">
        <f t="shared" ref="AK5:AK30" si="14">AE5*$AQ3</f>
        <v>0</v>
      </c>
      <c r="AL5" s="4">
        <f t="shared" ref="AL5:AL30" si="15">AF5*$AQ3</f>
        <v>0</v>
      </c>
      <c r="AM5" s="4">
        <f t="shared" ref="AM5:AM30" si="16">AG5*$AQ3</f>
        <v>0</v>
      </c>
      <c r="AN5" s="4">
        <f>AH5*$AQ3</f>
        <v>0</v>
      </c>
      <c r="AP5">
        <v>0.2</v>
      </c>
      <c r="AQ5">
        <f>SUM(AP$2:AP5)</f>
        <v>0.26</v>
      </c>
      <c r="AR5">
        <v>20</v>
      </c>
      <c r="AW5" s="7">
        <v>4250000</v>
      </c>
      <c r="AX5">
        <f t="shared" si="5"/>
        <v>1062500</v>
      </c>
    </row>
    <row r="6" spans="1:50" x14ac:dyDescent="0.2">
      <c r="C6" s="5">
        <v>45</v>
      </c>
      <c r="D6" s="5">
        <v>120</v>
      </c>
      <c r="E6" s="5">
        <v>0.7</v>
      </c>
      <c r="F6" s="4">
        <f t="shared" ref="F5:F30" si="17">F$3*Z6</f>
        <v>137.52987726421449</v>
      </c>
      <c r="G6" s="4">
        <f t="shared" si="6"/>
        <v>96.389308996039688</v>
      </c>
      <c r="H6" s="5">
        <v>5000</v>
      </c>
      <c r="I6" s="5">
        <v>50000</v>
      </c>
      <c r="J6" s="4">
        <f t="shared" si="7"/>
        <v>0.9168658484280966</v>
      </c>
      <c r="K6" s="4">
        <f t="shared" si="8"/>
        <v>2.8916792698811906</v>
      </c>
      <c r="L6" s="6">
        <f t="shared" ref="L6:L30" si="18">MAX(L5-C5,H5)</f>
        <v>9860</v>
      </c>
      <c r="M6" s="6">
        <f t="shared" si="9"/>
        <v>249680</v>
      </c>
      <c r="N6" s="7">
        <v>1100000</v>
      </c>
      <c r="O6" s="7">
        <f t="shared" si="0"/>
        <v>1100000</v>
      </c>
      <c r="P6" s="7">
        <f t="shared" si="1"/>
        <v>38744.745615306565</v>
      </c>
      <c r="Q6" s="7">
        <f t="shared" si="2"/>
        <v>1061255.2543846935</v>
      </c>
      <c r="R6" s="5">
        <f t="shared" si="10"/>
        <v>729000</v>
      </c>
      <c r="S6" s="5">
        <f t="shared" si="11"/>
        <v>19968000</v>
      </c>
      <c r="T6" s="5">
        <v>0.3</v>
      </c>
      <c r="U6" s="14">
        <f>(C6*F6 + D6*G6)*E6</f>
        <v>12428.89308949009</v>
      </c>
      <c r="V6" s="14">
        <f t="shared" si="3"/>
        <v>0</v>
      </c>
      <c r="W6" s="5">
        <f t="shared" ref="W4:W30" si="19">(R6+S6)*(1-T6)+U6</f>
        <v>14500328.89308949</v>
      </c>
      <c r="X6" s="5">
        <f t="shared" ref="X6:X30" si="20">X5-P5+L6*J5</f>
        <v>668395.2035040824</v>
      </c>
      <c r="Y6" s="5">
        <f t="shared" ref="Y6:Y30" si="21">Y5-Q5+M6*K5</f>
        <v>19247017.220329206</v>
      </c>
      <c r="Z6" s="4">
        <f t="shared" ref="Z6:Z30" si="22">X6/R6</f>
        <v>0.9168658484280966</v>
      </c>
      <c r="AA6" s="4">
        <f t="shared" ref="AA6:AA30" si="23">Y6/S6</f>
        <v>0.96389308996039691</v>
      </c>
      <c r="AB6" s="5">
        <v>3</v>
      </c>
      <c r="AC6" s="4">
        <v>100</v>
      </c>
      <c r="AD6" s="4">
        <v>100</v>
      </c>
      <c r="AE6" s="10">
        <v>130</v>
      </c>
      <c r="AF6" s="4">
        <v>0</v>
      </c>
      <c r="AG6" s="4">
        <v>0</v>
      </c>
      <c r="AI6" s="4">
        <f t="shared" si="12"/>
        <v>6.0000000000000009</v>
      </c>
      <c r="AJ6" s="4">
        <f t="shared" si="13"/>
        <v>6.0000000000000009</v>
      </c>
      <c r="AK6" s="4">
        <f t="shared" si="14"/>
        <v>7.8000000000000007</v>
      </c>
      <c r="AL6" s="4">
        <f t="shared" si="15"/>
        <v>0</v>
      </c>
      <c r="AM6" s="4">
        <f t="shared" si="16"/>
        <v>0</v>
      </c>
      <c r="AN6" s="4">
        <f t="shared" ref="AN5:AN30" si="24">AH6*$AQ4</f>
        <v>0</v>
      </c>
      <c r="AP6">
        <v>0.6</v>
      </c>
      <c r="AQ6">
        <f>SUM(AP$2:AP6)</f>
        <v>0.86</v>
      </c>
      <c r="AR6">
        <v>20</v>
      </c>
      <c r="AW6" s="7">
        <v>4400000</v>
      </c>
      <c r="AX6">
        <f t="shared" si="5"/>
        <v>1100000</v>
      </c>
    </row>
    <row r="7" spans="1:50" x14ac:dyDescent="0.2">
      <c r="C7" s="5">
        <v>45</v>
      </c>
      <c r="D7" s="5">
        <v>120</v>
      </c>
      <c r="E7" s="5">
        <v>0.7</v>
      </c>
      <c r="F7" s="4">
        <f t="shared" si="17"/>
        <v>132.6374862286807</v>
      </c>
      <c r="G7" s="4">
        <f t="shared" si="6"/>
        <v>94.745487294728719</v>
      </c>
      <c r="H7" s="5">
        <v>5000</v>
      </c>
      <c r="I7" s="5">
        <v>50000</v>
      </c>
      <c r="J7" s="4">
        <f t="shared" si="7"/>
        <v>0.88424990819120475</v>
      </c>
      <c r="K7" s="4">
        <f t="shared" si="8"/>
        <v>2.8423646188418616</v>
      </c>
      <c r="L7" s="6">
        <f t="shared" si="18"/>
        <v>9815</v>
      </c>
      <c r="M7" s="6">
        <f t="shared" si="9"/>
        <v>249560</v>
      </c>
      <c r="N7" s="7">
        <v>1105000</v>
      </c>
      <c r="O7" s="7">
        <f t="shared" si="0"/>
        <v>1105000</v>
      </c>
      <c r="P7" s="7">
        <f t="shared" si="1"/>
        <v>38595.444488774439</v>
      </c>
      <c r="Q7" s="7">
        <f t="shared" si="2"/>
        <v>1066404.5555112255</v>
      </c>
      <c r="R7" s="5">
        <f t="shared" si="10"/>
        <v>722250</v>
      </c>
      <c r="S7" s="5">
        <f t="shared" si="11"/>
        <v>19956000</v>
      </c>
      <c r="T7" s="5">
        <v>0.3</v>
      </c>
      <c r="U7" s="14">
        <f>(C7*F7 + D7*G7)*E7</f>
        <v>12136.701748960653</v>
      </c>
      <c r="V7" s="14">
        <f t="shared" si="3"/>
        <v>0</v>
      </c>
      <c r="W7" s="5">
        <f t="shared" si="19"/>
        <v>14486911.701748962</v>
      </c>
      <c r="X7" s="5">
        <f t="shared" si="20"/>
        <v>638649.49619109766</v>
      </c>
      <c r="Y7" s="5">
        <f t="shared" si="21"/>
        <v>18907409.444536064</v>
      </c>
      <c r="Z7" s="4">
        <f t="shared" si="22"/>
        <v>0.88424990819120475</v>
      </c>
      <c r="AA7" s="4">
        <f t="shared" si="23"/>
        <v>0.94745487294728725</v>
      </c>
      <c r="AB7" s="6">
        <v>4</v>
      </c>
      <c r="AC7" s="4">
        <v>100</v>
      </c>
      <c r="AD7" s="4">
        <v>100</v>
      </c>
      <c r="AE7" s="10">
        <v>130</v>
      </c>
      <c r="AF7" s="4">
        <v>200</v>
      </c>
      <c r="AG7" s="4">
        <v>0</v>
      </c>
      <c r="AI7" s="4">
        <f t="shared" si="12"/>
        <v>26</v>
      </c>
      <c r="AJ7" s="4">
        <f t="shared" si="13"/>
        <v>26</v>
      </c>
      <c r="AK7" s="4">
        <f t="shared" si="14"/>
        <v>33.800000000000004</v>
      </c>
      <c r="AL7" s="4">
        <f t="shared" si="15"/>
        <v>52</v>
      </c>
      <c r="AM7" s="4">
        <f t="shared" si="16"/>
        <v>0</v>
      </c>
      <c r="AN7" s="4">
        <f t="shared" si="24"/>
        <v>0</v>
      </c>
      <c r="AP7">
        <v>1.8</v>
      </c>
      <c r="AQ7">
        <f>SUM(AP$2:AP7)</f>
        <v>2.66</v>
      </c>
      <c r="AR7">
        <v>20</v>
      </c>
      <c r="AW7" s="7">
        <v>4420000</v>
      </c>
      <c r="AX7">
        <f t="shared" si="5"/>
        <v>1105000</v>
      </c>
    </row>
    <row r="8" spans="1:50" x14ac:dyDescent="0.2">
      <c r="C8" s="5">
        <v>40</v>
      </c>
      <c r="D8" s="5">
        <v>120</v>
      </c>
      <c r="E8" s="5">
        <v>0.7</v>
      </c>
      <c r="F8" s="4">
        <f t="shared" si="17"/>
        <v>127.60863172019944</v>
      </c>
      <c r="G8" s="4">
        <f t="shared" si="6"/>
        <v>93.01045086015219</v>
      </c>
      <c r="H8" s="5">
        <v>5000</v>
      </c>
      <c r="I8" s="5">
        <v>50000</v>
      </c>
      <c r="J8" s="4">
        <f t="shared" si="7"/>
        <v>0.85072421146799626</v>
      </c>
      <c r="K8" s="4">
        <f t="shared" si="8"/>
        <v>2.7903135258045655</v>
      </c>
      <c r="L8" s="6">
        <f t="shared" si="18"/>
        <v>9770</v>
      </c>
      <c r="M8" s="6">
        <f t="shared" si="9"/>
        <v>249440</v>
      </c>
      <c r="N8" s="7">
        <v>1127100</v>
      </c>
      <c r="O8" s="7">
        <f t="shared" si="0"/>
        <v>1127100</v>
      </c>
      <c r="P8" s="7">
        <f t="shared" ref="P8:P30" si="25">$O8*R8/($R8+$S8)</f>
        <v>39034.829013286864</v>
      </c>
      <c r="Q8" s="7">
        <f t="shared" ref="Q8:Q30" si="26">$O8*S8/($R8+$S8)</f>
        <v>1088065.1709867131</v>
      </c>
      <c r="R8" s="5">
        <f t="shared" si="10"/>
        <v>715500</v>
      </c>
      <c r="S8" s="5">
        <f t="shared" si="11"/>
        <v>19944000</v>
      </c>
      <c r="T8" s="5">
        <v>0.3</v>
      </c>
      <c r="U8" s="14">
        <f>(C8*F8 + D8*G8)*E8</f>
        <v>11385.919560418368</v>
      </c>
      <c r="V8" s="14">
        <f t="shared" si="3"/>
        <v>0</v>
      </c>
      <c r="W8" s="5">
        <f t="shared" si="19"/>
        <v>14473035.919560418</v>
      </c>
      <c r="X8" s="5">
        <f>X7-P7+L8*J7</f>
        <v>608693.17330535129</v>
      </c>
      <c r="Y8" s="5">
        <f t="shared" si="21"/>
        <v>18550004.319548752</v>
      </c>
      <c r="Z8" s="4">
        <f t="shared" si="22"/>
        <v>0.85072421146799626</v>
      </c>
      <c r="AA8" s="4">
        <f t="shared" si="23"/>
        <v>0.93010450860152183</v>
      </c>
      <c r="AB8" s="6">
        <v>5</v>
      </c>
      <c r="AC8" s="4">
        <v>100</v>
      </c>
      <c r="AD8" s="4">
        <v>100</v>
      </c>
      <c r="AE8" s="10">
        <v>130</v>
      </c>
      <c r="AF8" s="4">
        <v>200</v>
      </c>
      <c r="AG8" s="4">
        <v>200</v>
      </c>
      <c r="AI8" s="4">
        <f t="shared" si="12"/>
        <v>86</v>
      </c>
      <c r="AJ8" s="4">
        <f t="shared" si="13"/>
        <v>86</v>
      </c>
      <c r="AK8" s="4">
        <f t="shared" si="14"/>
        <v>111.8</v>
      </c>
      <c r="AL8" s="4">
        <f t="shared" si="15"/>
        <v>172</v>
      </c>
      <c r="AM8" s="4">
        <f t="shared" si="16"/>
        <v>172</v>
      </c>
      <c r="AN8" s="4">
        <f t="shared" si="24"/>
        <v>0</v>
      </c>
      <c r="AP8">
        <v>3</v>
      </c>
      <c r="AQ8">
        <f>SUM(AP$2:AP8)</f>
        <v>5.66</v>
      </c>
      <c r="AR8">
        <v>20</v>
      </c>
      <c r="AW8" s="7">
        <v>4508400</v>
      </c>
      <c r="AX8">
        <f t="shared" si="5"/>
        <v>1127100</v>
      </c>
    </row>
    <row r="9" spans="1:50" x14ac:dyDescent="0.2">
      <c r="C9" s="5">
        <v>50</v>
      </c>
      <c r="D9" s="5">
        <v>120</v>
      </c>
      <c r="E9" s="5">
        <v>0.7</v>
      </c>
      <c r="F9" s="4">
        <f t="shared" si="17"/>
        <v>122.18517777370995</v>
      </c>
      <c r="G9" s="4">
        <f t="shared" si="6"/>
        <v>91.097833217016017</v>
      </c>
      <c r="H9" s="5">
        <v>5000</v>
      </c>
      <c r="I9" s="5">
        <v>50000</v>
      </c>
      <c r="J9" s="4">
        <f t="shared" si="7"/>
        <v>0.81456785182473301</v>
      </c>
      <c r="K9" s="4">
        <f t="shared" si="8"/>
        <v>2.7329349965104806</v>
      </c>
      <c r="L9" s="6">
        <f t="shared" si="18"/>
        <v>9730</v>
      </c>
      <c r="M9" s="6">
        <f t="shared" si="9"/>
        <v>249320</v>
      </c>
      <c r="N9" s="7">
        <v>1149643</v>
      </c>
      <c r="O9" s="7">
        <f t="shared" si="0"/>
        <v>1149643</v>
      </c>
      <c r="P9" s="7">
        <f t="shared" si="25"/>
        <v>39516.10631494804</v>
      </c>
      <c r="Q9" s="7">
        <f t="shared" si="26"/>
        <v>1110126.8936850519</v>
      </c>
      <c r="R9" s="5">
        <f t="shared" si="10"/>
        <v>709500</v>
      </c>
      <c r="S9" s="5">
        <f t="shared" si="11"/>
        <v>19932000</v>
      </c>
      <c r="T9" s="5">
        <v>0.3</v>
      </c>
      <c r="U9" s="14">
        <f>(C9*F9 + D9*G9)*E9</f>
        <v>11928.699212309191</v>
      </c>
      <c r="V9" s="14">
        <f t="shared" si="3"/>
        <v>0</v>
      </c>
      <c r="W9" s="5">
        <f t="shared" si="19"/>
        <v>14460978.699212309</v>
      </c>
      <c r="X9" s="5">
        <f t="shared" si="20"/>
        <v>577935.89086964808</v>
      </c>
      <c r="Y9" s="5">
        <f t="shared" si="21"/>
        <v>18157620.116815634</v>
      </c>
      <c r="Z9" s="4">
        <f t="shared" si="22"/>
        <v>0.81456785182473301</v>
      </c>
      <c r="AA9" s="4">
        <f t="shared" si="23"/>
        <v>0.91097833217016022</v>
      </c>
      <c r="AB9" s="5">
        <v>6</v>
      </c>
      <c r="AC9" s="4">
        <v>100</v>
      </c>
      <c r="AD9" s="4">
        <v>100</v>
      </c>
      <c r="AE9" s="10">
        <v>130</v>
      </c>
      <c r="AF9" s="4">
        <v>200</v>
      </c>
      <c r="AG9" s="4">
        <v>200</v>
      </c>
      <c r="AH9" s="4">
        <v>200</v>
      </c>
      <c r="AI9" s="4">
        <f t="shared" si="12"/>
        <v>266</v>
      </c>
      <c r="AJ9" s="4">
        <f t="shared" si="13"/>
        <v>266</v>
      </c>
      <c r="AK9" s="4">
        <f t="shared" si="14"/>
        <v>345.8</v>
      </c>
      <c r="AL9" s="4">
        <f t="shared" si="15"/>
        <v>532</v>
      </c>
      <c r="AM9" s="4">
        <f t="shared" si="16"/>
        <v>532</v>
      </c>
      <c r="AN9" s="4">
        <f t="shared" si="24"/>
        <v>532</v>
      </c>
      <c r="AP9">
        <v>6</v>
      </c>
      <c r="AQ9">
        <f>SUM(AP$2:AP9)</f>
        <v>11.66</v>
      </c>
      <c r="AR9">
        <v>20</v>
      </c>
      <c r="AW9" s="7">
        <v>4598570</v>
      </c>
      <c r="AX9">
        <f t="shared" si="5"/>
        <v>1149643</v>
      </c>
    </row>
    <row r="10" spans="1:50" x14ac:dyDescent="0.2">
      <c r="C10" s="5">
        <v>60</v>
      </c>
      <c r="D10" s="5">
        <v>120</v>
      </c>
      <c r="E10" s="5">
        <v>0.7</v>
      </c>
      <c r="F10" s="4">
        <f t="shared" si="17"/>
        <v>116.73179516247083</v>
      </c>
      <c r="G10" s="4">
        <f t="shared" si="6"/>
        <v>88.9986979129568</v>
      </c>
      <c r="H10" s="5">
        <v>5000</v>
      </c>
      <c r="I10" s="5">
        <v>50000</v>
      </c>
      <c r="J10" s="4">
        <f t="shared" si="7"/>
        <v>0.7782119677498055</v>
      </c>
      <c r="K10" s="4">
        <f t="shared" si="8"/>
        <v>2.6699609373887041</v>
      </c>
      <c r="L10" s="6">
        <f t="shared" si="18"/>
        <v>9680</v>
      </c>
      <c r="M10" s="6">
        <f t="shared" si="9"/>
        <v>249200</v>
      </c>
      <c r="N10" s="7">
        <v>1172635</v>
      </c>
      <c r="O10" s="7">
        <f t="shared" si="0"/>
        <v>1172635</v>
      </c>
      <c r="P10" s="7">
        <f t="shared" si="25"/>
        <v>39918.037532732036</v>
      </c>
      <c r="Q10" s="7">
        <f t="shared" si="26"/>
        <v>1132716.9624672679</v>
      </c>
      <c r="R10" s="5">
        <f t="shared" si="10"/>
        <v>702000</v>
      </c>
      <c r="S10" s="5">
        <f t="shared" si="11"/>
        <v>19920000</v>
      </c>
      <c r="T10" s="5">
        <v>0.3</v>
      </c>
      <c r="U10" s="14">
        <f>(C10*F10 + D10*G10)*E10</f>
        <v>12378.626021512144</v>
      </c>
      <c r="V10" s="14">
        <f t="shared" si="3"/>
        <v>0</v>
      </c>
      <c r="W10" s="5">
        <f t="shared" si="19"/>
        <v>14447778.626021512</v>
      </c>
      <c r="X10" s="5">
        <f t="shared" si="20"/>
        <v>546304.80136036349</v>
      </c>
      <c r="Y10" s="5">
        <f t="shared" si="21"/>
        <v>17728540.624260996</v>
      </c>
      <c r="Z10" s="4">
        <f t="shared" si="22"/>
        <v>0.7782119677498055</v>
      </c>
      <c r="AA10" s="4">
        <f t="shared" si="23"/>
        <v>0.88998697912956803</v>
      </c>
      <c r="AB10" s="6">
        <v>7</v>
      </c>
      <c r="AC10" s="4">
        <v>100</v>
      </c>
      <c r="AD10" s="4">
        <v>100</v>
      </c>
      <c r="AE10" s="10">
        <v>130</v>
      </c>
      <c r="AF10" s="4">
        <v>200</v>
      </c>
      <c r="AG10" s="4">
        <v>200</v>
      </c>
      <c r="AH10" s="4">
        <v>200</v>
      </c>
      <c r="AI10" s="4">
        <f t="shared" si="12"/>
        <v>566</v>
      </c>
      <c r="AJ10" s="4">
        <f t="shared" si="13"/>
        <v>566</v>
      </c>
      <c r="AK10" s="4">
        <f t="shared" si="14"/>
        <v>735.80000000000007</v>
      </c>
      <c r="AL10" s="4">
        <f t="shared" si="15"/>
        <v>1132</v>
      </c>
      <c r="AM10" s="4">
        <f t="shared" si="16"/>
        <v>1132</v>
      </c>
      <c r="AN10" s="4">
        <f t="shared" si="24"/>
        <v>1132</v>
      </c>
      <c r="AP10">
        <v>10</v>
      </c>
      <c r="AQ10">
        <f>SUM(AP$2:AP10)</f>
        <v>21.66</v>
      </c>
      <c r="AR10">
        <v>20</v>
      </c>
      <c r="AW10" s="7">
        <v>4690540</v>
      </c>
      <c r="AX10">
        <f t="shared" si="5"/>
        <v>1172635</v>
      </c>
    </row>
    <row r="11" spans="1:50" x14ac:dyDescent="0.2">
      <c r="C11" s="5">
        <v>100</v>
      </c>
      <c r="D11" s="5">
        <v>120</v>
      </c>
      <c r="E11" s="5">
        <v>0.7</v>
      </c>
      <c r="F11" s="4">
        <f t="shared" si="17"/>
        <v>111.22795735008324</v>
      </c>
      <c r="G11" s="4">
        <f t="shared" si="6"/>
        <v>86.703122021692309</v>
      </c>
      <c r="H11" s="5">
        <v>5000</v>
      </c>
      <c r="I11" s="5">
        <v>50000</v>
      </c>
      <c r="J11" s="4">
        <f t="shared" si="7"/>
        <v>0.74151971566722163</v>
      </c>
      <c r="K11" s="4">
        <f t="shared" si="8"/>
        <v>2.6010936606507693</v>
      </c>
      <c r="L11" s="6">
        <f t="shared" si="18"/>
        <v>9620</v>
      </c>
      <c r="M11" s="6">
        <f t="shared" si="9"/>
        <v>249080</v>
      </c>
      <c r="N11" s="7">
        <v>1196088</v>
      </c>
      <c r="O11" s="7">
        <f t="shared" si="0"/>
        <v>1196088</v>
      </c>
      <c r="P11" s="7">
        <f t="shared" si="25"/>
        <v>40235.376146788993</v>
      </c>
      <c r="Q11" s="7">
        <f t="shared" si="26"/>
        <v>1155852.6238532111</v>
      </c>
      <c r="R11" s="5">
        <f t="shared" si="10"/>
        <v>693000</v>
      </c>
      <c r="S11" s="5">
        <f t="shared" si="11"/>
        <v>19908000</v>
      </c>
      <c r="T11" s="5">
        <v>0.3</v>
      </c>
      <c r="U11" s="14">
        <f>(C11*F11 + D11*G11)*E11</f>
        <v>15069.019264327979</v>
      </c>
      <c r="V11" s="14">
        <f t="shared" si="3"/>
        <v>0</v>
      </c>
      <c r="W11" s="5">
        <f t="shared" si="19"/>
        <v>14435769.019264327</v>
      </c>
      <c r="X11" s="5">
        <f t="shared" si="20"/>
        <v>513873.1629573846</v>
      </c>
      <c r="Y11" s="5">
        <f t="shared" si="21"/>
        <v>17260857.532078505</v>
      </c>
      <c r="Z11" s="4">
        <f t="shared" si="22"/>
        <v>0.74151971566722163</v>
      </c>
      <c r="AA11" s="4">
        <f t="shared" si="23"/>
        <v>0.86703122021692303</v>
      </c>
      <c r="AB11" s="6">
        <v>8</v>
      </c>
      <c r="AC11" s="4">
        <v>100</v>
      </c>
      <c r="AD11" s="4">
        <v>100</v>
      </c>
      <c r="AE11" s="10">
        <v>130</v>
      </c>
      <c r="AF11" s="4">
        <v>200</v>
      </c>
      <c r="AG11" s="4">
        <v>200</v>
      </c>
      <c r="AH11" s="4">
        <v>200</v>
      </c>
      <c r="AI11" s="4">
        <f t="shared" si="12"/>
        <v>1166</v>
      </c>
      <c r="AJ11" s="4">
        <f t="shared" si="13"/>
        <v>1166</v>
      </c>
      <c r="AK11" s="4">
        <f t="shared" si="14"/>
        <v>1515.8</v>
      </c>
      <c r="AL11" s="4">
        <f t="shared" si="15"/>
        <v>2332</v>
      </c>
      <c r="AM11" s="4">
        <f t="shared" si="16"/>
        <v>2332</v>
      </c>
      <c r="AN11" s="4">
        <f t="shared" si="24"/>
        <v>2332</v>
      </c>
      <c r="AP11">
        <v>12</v>
      </c>
      <c r="AQ11">
        <f>SUM(AP$2:AP11)</f>
        <v>33.659999999999997</v>
      </c>
      <c r="AR11">
        <v>20</v>
      </c>
      <c r="AW11" s="7">
        <v>4784350</v>
      </c>
      <c r="AX11">
        <f t="shared" si="5"/>
        <v>1196088</v>
      </c>
    </row>
    <row r="12" spans="1:50" x14ac:dyDescent="0.2">
      <c r="C12" s="5">
        <v>100</v>
      </c>
      <c r="D12" s="5">
        <v>120</v>
      </c>
      <c r="E12" s="5">
        <v>0.7</v>
      </c>
      <c r="F12" s="4">
        <f t="shared" si="17"/>
        <v>106.34890586366096</v>
      </c>
      <c r="G12" s="4">
        <f t="shared" si="6"/>
        <v>84.200709619928176</v>
      </c>
      <c r="H12" s="5">
        <v>5000</v>
      </c>
      <c r="I12" s="5">
        <v>50000</v>
      </c>
      <c r="J12" s="4">
        <f t="shared" si="7"/>
        <v>0.70899270575773976</v>
      </c>
      <c r="K12" s="4">
        <f t="shared" si="8"/>
        <v>2.5260212885978452</v>
      </c>
      <c r="L12" s="6">
        <f t="shared" si="18"/>
        <v>9520</v>
      </c>
      <c r="M12" s="6">
        <f t="shared" si="9"/>
        <v>248960</v>
      </c>
      <c r="N12" s="7">
        <v>1220010</v>
      </c>
      <c r="O12" s="7">
        <f t="shared" si="0"/>
        <v>1220010</v>
      </c>
      <c r="P12" s="7">
        <f t="shared" si="25"/>
        <v>40204.470691163602</v>
      </c>
      <c r="Q12" s="7">
        <f t="shared" si="26"/>
        <v>1179805.5293088364</v>
      </c>
      <c r="R12" s="5">
        <f t="shared" si="10"/>
        <v>678000</v>
      </c>
      <c r="S12" s="5">
        <f t="shared" si="11"/>
        <v>19896000</v>
      </c>
      <c r="T12" s="5">
        <v>0.3</v>
      </c>
      <c r="U12" s="14">
        <f>(C12*F12 + D12*G12)*E12</f>
        <v>14517.283018530235</v>
      </c>
      <c r="V12" s="14">
        <f t="shared" si="3"/>
        <v>0</v>
      </c>
      <c r="W12" s="5">
        <f t="shared" si="19"/>
        <v>14416317.283018529</v>
      </c>
      <c r="X12" s="5">
        <f t="shared" si="20"/>
        <v>480697.05450374755</v>
      </c>
      <c r="Y12" s="5">
        <f t="shared" si="21"/>
        <v>16752573.18598091</v>
      </c>
      <c r="Z12" s="4">
        <f t="shared" si="22"/>
        <v>0.70899270575773976</v>
      </c>
      <c r="AA12" s="4">
        <f t="shared" si="23"/>
        <v>0.84200709619928182</v>
      </c>
      <c r="AB12" s="5">
        <v>9</v>
      </c>
      <c r="AC12" s="4">
        <v>100</v>
      </c>
      <c r="AD12" s="4">
        <v>100</v>
      </c>
      <c r="AE12" s="10">
        <v>130</v>
      </c>
      <c r="AF12" s="4">
        <v>200</v>
      </c>
      <c r="AG12" s="4">
        <v>200</v>
      </c>
      <c r="AH12" s="4">
        <v>200</v>
      </c>
      <c r="AI12" s="4">
        <f t="shared" si="12"/>
        <v>2166</v>
      </c>
      <c r="AJ12" s="4">
        <f t="shared" si="13"/>
        <v>2166</v>
      </c>
      <c r="AK12" s="4">
        <f t="shared" si="14"/>
        <v>2815.8</v>
      </c>
      <c r="AL12" s="4">
        <f t="shared" si="15"/>
        <v>4332</v>
      </c>
      <c r="AM12" s="4">
        <f t="shared" si="16"/>
        <v>4332</v>
      </c>
      <c r="AN12" s="4">
        <f t="shared" si="24"/>
        <v>4332</v>
      </c>
      <c r="AP12">
        <v>13.5</v>
      </c>
      <c r="AQ12">
        <f>SUM(AP$2:AP12)</f>
        <v>47.16</v>
      </c>
      <c r="AR12">
        <v>20</v>
      </c>
      <c r="AW12" s="7">
        <v>4880040</v>
      </c>
      <c r="AX12">
        <f t="shared" si="5"/>
        <v>1220010</v>
      </c>
    </row>
    <row r="13" spans="1:50" x14ac:dyDescent="0.2">
      <c r="C13" s="5">
        <v>100</v>
      </c>
      <c r="D13" s="5">
        <v>120</v>
      </c>
      <c r="E13" s="5">
        <v>0.7</v>
      </c>
      <c r="F13" s="4">
        <f t="shared" si="17"/>
        <v>101.16997626715425</v>
      </c>
      <c r="G13" s="4">
        <f t="shared" si="6"/>
        <v>81.479293875109448</v>
      </c>
      <c r="H13" s="5">
        <v>5000</v>
      </c>
      <c r="I13" s="5">
        <v>50000</v>
      </c>
      <c r="J13" s="4">
        <f t="shared" si="7"/>
        <v>0.67446650844769507</v>
      </c>
      <c r="K13" s="4">
        <f t="shared" si="8"/>
        <v>2.4443788162532836</v>
      </c>
      <c r="L13" s="6">
        <f t="shared" si="18"/>
        <v>9420</v>
      </c>
      <c r="M13" s="6">
        <f t="shared" si="9"/>
        <v>248840</v>
      </c>
      <c r="N13" s="7">
        <v>1244410</v>
      </c>
      <c r="O13" s="7">
        <f t="shared" si="0"/>
        <v>1244410</v>
      </c>
      <c r="P13" s="7">
        <f t="shared" si="25"/>
        <v>40153.980143086585</v>
      </c>
      <c r="Q13" s="7">
        <f t="shared" si="26"/>
        <v>1204256.0198569135</v>
      </c>
      <c r="R13" s="5">
        <f t="shared" si="10"/>
        <v>663000</v>
      </c>
      <c r="S13" s="5">
        <f t="shared" si="11"/>
        <v>19884000</v>
      </c>
      <c r="T13" s="5">
        <v>0.3</v>
      </c>
      <c r="U13" s="14">
        <f>(C13*F13 + D13*G13)*E13</f>
        <v>13926.15902420999</v>
      </c>
      <c r="V13" s="14">
        <f t="shared" si="3"/>
        <v>0</v>
      </c>
      <c r="W13" s="5">
        <f t="shared" si="19"/>
        <v>14396826.159024211</v>
      </c>
      <c r="X13" s="5">
        <f t="shared" si="20"/>
        <v>447171.29510082182</v>
      </c>
      <c r="Y13" s="5">
        <f t="shared" si="21"/>
        <v>16201342.794126762</v>
      </c>
      <c r="Z13" s="4">
        <f t="shared" si="22"/>
        <v>0.67446650844769507</v>
      </c>
      <c r="AA13" s="4">
        <f t="shared" si="23"/>
        <v>0.81479293875109449</v>
      </c>
      <c r="AB13" s="6">
        <v>10</v>
      </c>
      <c r="AC13" s="4">
        <v>100</v>
      </c>
      <c r="AD13" s="4">
        <v>100</v>
      </c>
      <c r="AE13" s="10">
        <v>130</v>
      </c>
      <c r="AF13" s="4">
        <v>200</v>
      </c>
      <c r="AG13" s="4">
        <v>200</v>
      </c>
      <c r="AH13" s="4">
        <v>200</v>
      </c>
      <c r="AI13" s="4">
        <f t="shared" si="12"/>
        <v>3365.9999999999995</v>
      </c>
      <c r="AJ13" s="4">
        <f t="shared" si="13"/>
        <v>3365.9999999999995</v>
      </c>
      <c r="AK13" s="4">
        <f t="shared" si="14"/>
        <v>4375.7999999999993</v>
      </c>
      <c r="AL13" s="4">
        <f t="shared" si="15"/>
        <v>6731.9999999999991</v>
      </c>
      <c r="AM13" s="4">
        <f t="shared" si="16"/>
        <v>6731.9999999999991</v>
      </c>
      <c r="AN13" s="4">
        <f t="shared" si="24"/>
        <v>6731.9999999999991</v>
      </c>
      <c r="AP13">
        <v>12</v>
      </c>
      <c r="AQ13">
        <f>SUM(AP$2:AP13)</f>
        <v>59.16</v>
      </c>
      <c r="AR13">
        <v>20</v>
      </c>
      <c r="AW13" s="7">
        <v>4977640</v>
      </c>
      <c r="AX13">
        <f t="shared" si="5"/>
        <v>1244410</v>
      </c>
    </row>
    <row r="14" spans="1:50" x14ac:dyDescent="0.2">
      <c r="C14" s="5">
        <v>80</v>
      </c>
      <c r="D14" s="5">
        <v>120</v>
      </c>
      <c r="E14" s="5">
        <v>0.7</v>
      </c>
      <c r="F14" s="4">
        <f t="shared" si="17"/>
        <v>95.672070096404568</v>
      </c>
      <c r="G14" s="4">
        <f t="shared" si="6"/>
        <v>78.527841553182185</v>
      </c>
      <c r="H14" s="5">
        <v>5000</v>
      </c>
      <c r="I14" s="5">
        <v>50000</v>
      </c>
      <c r="J14" s="4">
        <f t="shared" si="7"/>
        <v>0.6378138006426971</v>
      </c>
      <c r="K14" s="4">
        <f t="shared" si="8"/>
        <v>2.3558352465954657</v>
      </c>
      <c r="L14" s="6">
        <f t="shared" si="18"/>
        <v>9320</v>
      </c>
      <c r="M14" s="6">
        <f t="shared" si="9"/>
        <v>248720</v>
      </c>
      <c r="N14" s="7">
        <v>1269298</v>
      </c>
      <c r="O14" s="7">
        <f t="shared" si="0"/>
        <v>1269298</v>
      </c>
      <c r="P14" s="7">
        <f t="shared" si="25"/>
        <v>40083.094736842104</v>
      </c>
      <c r="Q14" s="7">
        <f t="shared" si="26"/>
        <v>1229214.9052631578</v>
      </c>
      <c r="R14" s="5">
        <f t="shared" si="10"/>
        <v>648000</v>
      </c>
      <c r="S14" s="5">
        <f t="shared" si="11"/>
        <v>19872000</v>
      </c>
      <c r="T14" s="5">
        <v>0.3</v>
      </c>
      <c r="U14" s="14">
        <f>(C14*F14 + D14*G14)*E14</f>
        <v>11953.974615865958</v>
      </c>
      <c r="V14" s="14">
        <f t="shared" si="3"/>
        <v>0</v>
      </c>
      <c r="W14" s="5">
        <f t="shared" si="19"/>
        <v>14375953.974615866</v>
      </c>
      <c r="X14" s="5">
        <f t="shared" si="20"/>
        <v>413303.34281646775</v>
      </c>
      <c r="Y14" s="5">
        <f t="shared" si="21"/>
        <v>15605052.673448365</v>
      </c>
      <c r="Z14" s="4">
        <f t="shared" si="22"/>
        <v>0.6378138006426971</v>
      </c>
      <c r="AA14" s="4">
        <f t="shared" si="23"/>
        <v>0.78527841553182187</v>
      </c>
      <c r="AB14" s="6">
        <v>11</v>
      </c>
      <c r="AC14" s="4">
        <v>100</v>
      </c>
      <c r="AD14" s="4">
        <v>100</v>
      </c>
      <c r="AE14" s="10">
        <v>130</v>
      </c>
      <c r="AF14" s="4">
        <v>200</v>
      </c>
      <c r="AG14" s="4">
        <v>200</v>
      </c>
      <c r="AH14" s="4">
        <v>200</v>
      </c>
      <c r="AI14" s="4">
        <f t="shared" si="12"/>
        <v>4716</v>
      </c>
      <c r="AJ14" s="4">
        <f t="shared" si="13"/>
        <v>4716</v>
      </c>
      <c r="AK14" s="4">
        <f t="shared" si="14"/>
        <v>6130.7999999999993</v>
      </c>
      <c r="AL14" s="4">
        <f t="shared" si="15"/>
        <v>9432</v>
      </c>
      <c r="AM14" s="4">
        <f t="shared" si="16"/>
        <v>9432</v>
      </c>
      <c r="AN14" s="4">
        <f t="shared" si="24"/>
        <v>9432</v>
      </c>
      <c r="AP14">
        <v>10</v>
      </c>
      <c r="AQ14">
        <f>SUM(AP$2:AP14)</f>
        <v>69.16</v>
      </c>
      <c r="AR14">
        <v>20</v>
      </c>
      <c r="AW14" s="7">
        <v>5077190</v>
      </c>
      <c r="AX14">
        <f t="shared" si="5"/>
        <v>1269298</v>
      </c>
    </row>
    <row r="15" spans="1:50" x14ac:dyDescent="0.2">
      <c r="C15" s="5">
        <v>75</v>
      </c>
      <c r="D15" s="5">
        <v>120</v>
      </c>
      <c r="E15" s="5">
        <v>0.7</v>
      </c>
      <c r="F15" s="4">
        <f t="shared" si="17"/>
        <v>89.413596131500981</v>
      </c>
      <c r="G15" s="4">
        <f t="shared" si="6"/>
        <v>75.334835903770596</v>
      </c>
      <c r="H15" s="5">
        <v>5000</v>
      </c>
      <c r="I15" s="5">
        <v>50000</v>
      </c>
      <c r="J15" s="4">
        <f t="shared" si="7"/>
        <v>0.59609064087667318</v>
      </c>
      <c r="K15" s="4">
        <f t="shared" si="8"/>
        <v>2.2600450771131175</v>
      </c>
      <c r="L15" s="6">
        <f t="shared" si="18"/>
        <v>9240</v>
      </c>
      <c r="M15" s="6">
        <f t="shared" si="9"/>
        <v>248600</v>
      </c>
      <c r="N15" s="7">
        <v>1294683</v>
      </c>
      <c r="O15" s="7">
        <f t="shared" si="0"/>
        <v>1294683</v>
      </c>
      <c r="P15" s="7">
        <f t="shared" si="25"/>
        <v>40174.589578454332</v>
      </c>
      <c r="Q15" s="7">
        <f t="shared" si="26"/>
        <v>1254508.4104215456</v>
      </c>
      <c r="R15" s="5">
        <f t="shared" si="10"/>
        <v>636000</v>
      </c>
      <c r="S15" s="5">
        <f t="shared" si="11"/>
        <v>19860000</v>
      </c>
      <c r="T15" s="5">
        <v>0.3</v>
      </c>
      <c r="U15" s="14">
        <f>(C15*F15 + D15*G15)*E15</f>
        <v>11022.34001282053</v>
      </c>
      <c r="V15" s="14">
        <f t="shared" si="3"/>
        <v>0</v>
      </c>
      <c r="W15" s="5">
        <f t="shared" si="19"/>
        <v>14358222.34001282</v>
      </c>
      <c r="X15" s="5">
        <f t="shared" si="20"/>
        <v>379113.64759756415</v>
      </c>
      <c r="Y15" s="5">
        <f t="shared" si="21"/>
        <v>14961498.41048884</v>
      </c>
      <c r="Z15" s="4">
        <f t="shared" si="22"/>
        <v>0.59609064087667318</v>
      </c>
      <c r="AA15" s="4">
        <f t="shared" si="23"/>
        <v>0.75334835903770592</v>
      </c>
      <c r="AB15" s="5">
        <v>12</v>
      </c>
      <c r="AC15" s="4">
        <v>100</v>
      </c>
      <c r="AD15" s="4">
        <v>100</v>
      </c>
      <c r="AE15" s="10">
        <v>130</v>
      </c>
      <c r="AF15" s="4">
        <v>200</v>
      </c>
      <c r="AG15" s="4">
        <v>200</v>
      </c>
      <c r="AH15" s="4">
        <v>200</v>
      </c>
      <c r="AI15" s="4">
        <f t="shared" si="12"/>
        <v>5916</v>
      </c>
      <c r="AJ15" s="4">
        <f t="shared" si="13"/>
        <v>5916</v>
      </c>
      <c r="AK15" s="4">
        <f t="shared" si="14"/>
        <v>7690.7999999999993</v>
      </c>
      <c r="AL15" s="4">
        <f t="shared" si="15"/>
        <v>11832</v>
      </c>
      <c r="AM15" s="4">
        <f t="shared" si="16"/>
        <v>11832</v>
      </c>
      <c r="AN15" s="4">
        <f t="shared" si="24"/>
        <v>11832</v>
      </c>
      <c r="AP15">
        <v>6</v>
      </c>
      <c r="AQ15">
        <f>SUM(AP$2:AP15)</f>
        <v>75.16</v>
      </c>
      <c r="AR15">
        <v>20</v>
      </c>
      <c r="AW15" s="7">
        <v>5178730</v>
      </c>
      <c r="AX15">
        <f t="shared" si="5"/>
        <v>1294683</v>
      </c>
    </row>
    <row r="16" spans="1:50" x14ac:dyDescent="0.2">
      <c r="C16" s="5">
        <v>60</v>
      </c>
      <c r="D16" s="5">
        <v>120</v>
      </c>
      <c r="E16" s="5">
        <v>0.7</v>
      </c>
      <c r="F16" s="4">
        <f t="shared" si="17"/>
        <v>82.689610742555715</v>
      </c>
      <c r="G16" s="4">
        <f t="shared" si="6"/>
        <v>71.88918783166244</v>
      </c>
      <c r="H16" s="5">
        <v>5000</v>
      </c>
      <c r="I16" s="5">
        <v>50000</v>
      </c>
      <c r="J16" s="4">
        <f t="shared" si="7"/>
        <v>0.55126407161703805</v>
      </c>
      <c r="K16" s="4">
        <f t="shared" si="8"/>
        <v>2.156675634949873</v>
      </c>
      <c r="L16" s="6">
        <f t="shared" si="18"/>
        <v>9165</v>
      </c>
      <c r="M16" s="6">
        <f t="shared" si="9"/>
        <v>248480</v>
      </c>
      <c r="N16" s="7">
        <v>1320575</v>
      </c>
      <c r="O16" s="7">
        <f t="shared" si="0"/>
        <v>1320575</v>
      </c>
      <c r="P16" s="7">
        <f t="shared" si="25"/>
        <v>40298.896398871671</v>
      </c>
      <c r="Q16" s="7">
        <f t="shared" si="26"/>
        <v>1280276.1036011283</v>
      </c>
      <c r="R16" s="5">
        <f t="shared" si="10"/>
        <v>624750</v>
      </c>
      <c r="S16" s="5">
        <f t="shared" si="11"/>
        <v>19848000</v>
      </c>
      <c r="T16" s="5">
        <v>0.3</v>
      </c>
      <c r="U16" s="14">
        <f>(C16*F16 + D16*G16)*E16</f>
        <v>9511.655429046983</v>
      </c>
      <c r="V16" s="14">
        <f t="shared" si="3"/>
        <v>0</v>
      </c>
      <c r="W16" s="5">
        <f t="shared" si="19"/>
        <v>14340436.655429047</v>
      </c>
      <c r="X16" s="5">
        <f t="shared" si="20"/>
        <v>344402.22874274454</v>
      </c>
      <c r="Y16" s="5">
        <f t="shared" si="21"/>
        <v>14268566.000828361</v>
      </c>
      <c r="Z16" s="4">
        <f t="shared" si="22"/>
        <v>0.55126407161703805</v>
      </c>
      <c r="AA16" s="4">
        <f t="shared" si="23"/>
        <v>0.71889187831662438</v>
      </c>
      <c r="AB16" s="6">
        <v>13</v>
      </c>
      <c r="AC16" s="4">
        <v>100</v>
      </c>
      <c r="AD16" s="4">
        <v>100</v>
      </c>
      <c r="AE16" s="10">
        <v>130</v>
      </c>
      <c r="AF16" s="4">
        <v>200</v>
      </c>
      <c r="AG16" s="4">
        <v>200</v>
      </c>
      <c r="AH16" s="4">
        <v>200</v>
      </c>
      <c r="AI16" s="4">
        <f t="shared" si="12"/>
        <v>6916</v>
      </c>
      <c r="AJ16" s="4">
        <f t="shared" si="13"/>
        <v>6916</v>
      </c>
      <c r="AK16" s="4">
        <f t="shared" si="14"/>
        <v>8990.7999999999993</v>
      </c>
      <c r="AL16" s="4">
        <f t="shared" si="15"/>
        <v>13832</v>
      </c>
      <c r="AM16" s="4">
        <f t="shared" si="16"/>
        <v>13832</v>
      </c>
      <c r="AN16" s="4">
        <f t="shared" si="24"/>
        <v>13832</v>
      </c>
      <c r="AP16">
        <v>3</v>
      </c>
      <c r="AQ16">
        <f>SUM(AP$2:AP16)</f>
        <v>78.16</v>
      </c>
      <c r="AR16">
        <v>20</v>
      </c>
      <c r="AW16" s="7">
        <v>5282300</v>
      </c>
      <c r="AX16">
        <f t="shared" si="5"/>
        <v>1320575</v>
      </c>
    </row>
    <row r="17" spans="3:50" x14ac:dyDescent="0.2">
      <c r="C17" s="5">
        <v>40</v>
      </c>
      <c r="D17" s="5">
        <v>120</v>
      </c>
      <c r="E17" s="5">
        <v>0.7</v>
      </c>
      <c r="F17" s="4">
        <f t="shared" si="17"/>
        <v>75.303920028245059</v>
      </c>
      <c r="G17" s="4">
        <f t="shared" si="6"/>
        <v>68.17867441985976</v>
      </c>
      <c r="H17" s="5">
        <v>5000</v>
      </c>
      <c r="I17" s="5">
        <v>50000</v>
      </c>
      <c r="J17" s="4">
        <f t="shared" si="7"/>
        <v>0.50202613352163372</v>
      </c>
      <c r="K17" s="4">
        <f t="shared" si="8"/>
        <v>2.0453602325957929</v>
      </c>
      <c r="L17" s="6">
        <f t="shared" si="18"/>
        <v>9105</v>
      </c>
      <c r="M17" s="6">
        <f t="shared" si="9"/>
        <v>248360</v>
      </c>
      <c r="N17" s="7">
        <v>1346988</v>
      </c>
      <c r="O17" s="7">
        <f t="shared" si="0"/>
        <v>1346988</v>
      </c>
      <c r="P17" s="7">
        <f t="shared" si="25"/>
        <v>40554.371190729398</v>
      </c>
      <c r="Q17" s="7">
        <f t="shared" si="26"/>
        <v>1306433.6288092707</v>
      </c>
      <c r="R17" s="5">
        <f t="shared" si="10"/>
        <v>615750</v>
      </c>
      <c r="S17" s="5">
        <f t="shared" si="11"/>
        <v>19836000</v>
      </c>
      <c r="T17" s="5">
        <v>0.3</v>
      </c>
      <c r="U17" s="14">
        <f>(C17*F17 + D17*G17)*E17</f>
        <v>7835.5184120590802</v>
      </c>
      <c r="V17" s="14">
        <f t="shared" si="3"/>
        <v>0</v>
      </c>
      <c r="W17" s="5">
        <f t="shared" si="19"/>
        <v>14324060.518412059</v>
      </c>
      <c r="X17" s="5">
        <f t="shared" si="20"/>
        <v>309122.59171594598</v>
      </c>
      <c r="Y17" s="5">
        <f t="shared" si="21"/>
        <v>13523921.857923383</v>
      </c>
      <c r="Z17" s="4">
        <f t="shared" si="22"/>
        <v>0.50202613352163372</v>
      </c>
      <c r="AA17" s="4">
        <f t="shared" si="23"/>
        <v>0.68178674419859764</v>
      </c>
      <c r="AB17" s="6">
        <v>14</v>
      </c>
      <c r="AC17" s="4">
        <v>100</v>
      </c>
      <c r="AD17" s="4">
        <v>100</v>
      </c>
      <c r="AE17" s="10">
        <v>130</v>
      </c>
      <c r="AF17" s="4">
        <v>200</v>
      </c>
      <c r="AG17" s="4">
        <v>200</v>
      </c>
      <c r="AH17" s="4">
        <v>200</v>
      </c>
      <c r="AI17" s="4">
        <f t="shared" si="12"/>
        <v>7516</v>
      </c>
      <c r="AJ17" s="4">
        <f t="shared" si="13"/>
        <v>7516</v>
      </c>
      <c r="AK17" s="4">
        <f t="shared" si="14"/>
        <v>9770.7999999999993</v>
      </c>
      <c r="AL17" s="4">
        <f t="shared" si="15"/>
        <v>15032</v>
      </c>
      <c r="AM17" s="4">
        <f t="shared" si="16"/>
        <v>15032</v>
      </c>
      <c r="AN17" s="4">
        <f t="shared" si="24"/>
        <v>15032</v>
      </c>
      <c r="AP17">
        <v>1.8</v>
      </c>
      <c r="AQ17">
        <f>SUM(AP$2:AP17)</f>
        <v>79.959999999999994</v>
      </c>
      <c r="AR17">
        <v>20</v>
      </c>
      <c r="AW17" s="7">
        <v>5387950</v>
      </c>
      <c r="AX17">
        <f t="shared" si="5"/>
        <v>1346988</v>
      </c>
    </row>
    <row r="18" spans="3:50" x14ac:dyDescent="0.2">
      <c r="C18" s="5">
        <v>20</v>
      </c>
      <c r="D18" s="5">
        <v>120</v>
      </c>
      <c r="E18" s="5">
        <v>0.7</v>
      </c>
      <c r="F18" s="4">
        <f t="shared" si="17"/>
        <v>67.187967386369053</v>
      </c>
      <c r="G18" s="4">
        <f t="shared" si="6"/>
        <v>64.191023271053737</v>
      </c>
      <c r="H18" s="5">
        <v>5000</v>
      </c>
      <c r="I18" s="5">
        <v>50000</v>
      </c>
      <c r="J18" s="4">
        <f t="shared" si="7"/>
        <v>0.44791978257579368</v>
      </c>
      <c r="K18" s="4">
        <f t="shared" si="8"/>
        <v>1.9257306981316122</v>
      </c>
      <c r="L18" s="6">
        <f t="shared" si="18"/>
        <v>9065</v>
      </c>
      <c r="M18" s="6">
        <f t="shared" si="9"/>
        <v>248240</v>
      </c>
      <c r="N18" s="7">
        <v>1373928</v>
      </c>
      <c r="O18" s="7">
        <f t="shared" si="0"/>
        <v>1373928</v>
      </c>
      <c r="P18" s="7">
        <f t="shared" si="25"/>
        <v>40998.475463387775</v>
      </c>
      <c r="Q18" s="7">
        <f t="shared" si="26"/>
        <v>1332929.5245366122</v>
      </c>
      <c r="R18" s="5">
        <f t="shared" si="10"/>
        <v>609750</v>
      </c>
      <c r="S18" s="5">
        <f t="shared" si="11"/>
        <v>19824000</v>
      </c>
      <c r="T18" s="5">
        <v>0.3</v>
      </c>
      <c r="U18" s="14">
        <f>(C18*F18 + D18*G18)*E18</f>
        <v>6332.6774981776807</v>
      </c>
      <c r="V18" s="14">
        <f t="shared" si="3"/>
        <v>0</v>
      </c>
      <c r="W18" s="5">
        <f t="shared" si="19"/>
        <v>14309957.677498179</v>
      </c>
      <c r="X18" s="5">
        <f t="shared" si="20"/>
        <v>273119.0874255902</v>
      </c>
      <c r="Y18" s="5">
        <f t="shared" si="21"/>
        <v>12725228.453253692</v>
      </c>
      <c r="Z18" s="4">
        <f t="shared" si="22"/>
        <v>0.44791978257579368</v>
      </c>
      <c r="AA18" s="4">
        <f t="shared" si="23"/>
        <v>0.64191023271053738</v>
      </c>
      <c r="AB18" s="5">
        <v>15</v>
      </c>
      <c r="AC18" s="4">
        <v>100</v>
      </c>
      <c r="AD18" s="4">
        <v>100</v>
      </c>
      <c r="AE18" s="10">
        <v>130</v>
      </c>
      <c r="AF18" s="4">
        <v>200</v>
      </c>
      <c r="AG18" s="4">
        <v>200</v>
      </c>
      <c r="AH18" s="4">
        <v>200</v>
      </c>
      <c r="AI18" s="4">
        <f t="shared" si="12"/>
        <v>7816</v>
      </c>
      <c r="AJ18" s="4">
        <f t="shared" si="13"/>
        <v>7816</v>
      </c>
      <c r="AK18" s="4">
        <f t="shared" si="14"/>
        <v>10160.799999999999</v>
      </c>
      <c r="AL18" s="4">
        <f t="shared" si="15"/>
        <v>15632</v>
      </c>
      <c r="AM18" s="4">
        <f t="shared" si="16"/>
        <v>15632</v>
      </c>
      <c r="AN18" s="4">
        <f t="shared" si="24"/>
        <v>15632</v>
      </c>
      <c r="AP18">
        <v>1.1000000000000001</v>
      </c>
      <c r="AQ18">
        <f>SUM(AP$2:AP18)</f>
        <v>81.059999999999988</v>
      </c>
      <c r="AR18">
        <v>20</v>
      </c>
      <c r="AW18" s="7">
        <v>5495710</v>
      </c>
      <c r="AX18">
        <f t="shared" si="5"/>
        <v>1373928</v>
      </c>
    </row>
    <row r="19" spans="3:50" x14ac:dyDescent="0.2">
      <c r="C19" s="5">
        <v>20</v>
      </c>
      <c r="D19" s="5">
        <v>120</v>
      </c>
      <c r="E19" s="5">
        <v>0.7</v>
      </c>
      <c r="F19" s="4">
        <f t="shared" si="17"/>
        <v>58.386167217700972</v>
      </c>
      <c r="G19" s="4">
        <f t="shared" si="6"/>
        <v>59.913745354015226</v>
      </c>
      <c r="H19" s="5">
        <v>5000</v>
      </c>
      <c r="I19" s="5">
        <v>50000</v>
      </c>
      <c r="J19" s="4">
        <f t="shared" si="7"/>
        <v>0.38924111478467316</v>
      </c>
      <c r="K19" s="4">
        <f t="shared" si="8"/>
        <v>1.7974123606204566</v>
      </c>
      <c r="L19" s="6">
        <f t="shared" si="18"/>
        <v>9045</v>
      </c>
      <c r="M19" s="6">
        <f t="shared" si="9"/>
        <v>248120</v>
      </c>
      <c r="N19" s="7">
        <v>1401405</v>
      </c>
      <c r="O19" s="7">
        <f t="shared" si="0"/>
        <v>1401405</v>
      </c>
      <c r="P19" s="7">
        <f t="shared" si="25"/>
        <v>41643.219283746555</v>
      </c>
      <c r="Q19" s="7">
        <f t="shared" si="26"/>
        <v>1359761.7807162534</v>
      </c>
      <c r="R19" s="5">
        <f t="shared" si="10"/>
        <v>606750</v>
      </c>
      <c r="S19" s="5">
        <f t="shared" si="11"/>
        <v>19812000</v>
      </c>
      <c r="T19" s="5">
        <v>0.3</v>
      </c>
      <c r="U19" s="14">
        <f>(C19*F19 + D19*G19)*E19</f>
        <v>5850.1609507850926</v>
      </c>
      <c r="V19" s="14">
        <f t="shared" si="3"/>
        <v>0</v>
      </c>
      <c r="W19" s="5">
        <f t="shared" si="19"/>
        <v>14298975.160950786</v>
      </c>
      <c r="X19" s="5">
        <f t="shared" si="20"/>
        <v>236172.04639560045</v>
      </c>
      <c r="Y19" s="5">
        <f t="shared" si="21"/>
        <v>11870111.229537496</v>
      </c>
      <c r="Z19" s="4">
        <f t="shared" si="22"/>
        <v>0.38924111478467316</v>
      </c>
      <c r="AA19" s="4">
        <f t="shared" si="23"/>
        <v>0.59913745354015224</v>
      </c>
      <c r="AB19" s="6">
        <v>16</v>
      </c>
      <c r="AC19" s="4">
        <v>100</v>
      </c>
      <c r="AD19" s="4">
        <v>100</v>
      </c>
      <c r="AE19" s="10">
        <v>130</v>
      </c>
      <c r="AF19" s="4">
        <v>200</v>
      </c>
      <c r="AG19" s="4">
        <v>200</v>
      </c>
      <c r="AH19" s="4">
        <v>200</v>
      </c>
      <c r="AI19" s="4">
        <f t="shared" si="12"/>
        <v>7995.9999999999991</v>
      </c>
      <c r="AJ19" s="4">
        <f t="shared" si="13"/>
        <v>7995.9999999999991</v>
      </c>
      <c r="AK19" s="4">
        <f t="shared" si="14"/>
        <v>10394.799999999999</v>
      </c>
      <c r="AL19" s="4">
        <f t="shared" si="15"/>
        <v>15991.999999999998</v>
      </c>
      <c r="AM19" s="4">
        <f t="shared" si="16"/>
        <v>15991.999999999998</v>
      </c>
      <c r="AN19" s="4">
        <f t="shared" si="24"/>
        <v>15991.999999999998</v>
      </c>
      <c r="AP19">
        <v>0.5</v>
      </c>
      <c r="AQ19">
        <f>SUM(AP$2:AP19)</f>
        <v>81.559999999999988</v>
      </c>
      <c r="AR19">
        <v>20</v>
      </c>
      <c r="AW19" s="7">
        <v>5605620</v>
      </c>
      <c r="AX19">
        <f t="shared" si="5"/>
        <v>1401405</v>
      </c>
    </row>
    <row r="20" spans="3:50" x14ac:dyDescent="0.2">
      <c r="C20" s="5">
        <v>20</v>
      </c>
      <c r="D20" s="5">
        <v>120</v>
      </c>
      <c r="E20" s="5">
        <v>0.7</v>
      </c>
      <c r="F20" s="4">
        <f t="shared" si="17"/>
        <v>49.202913831747971</v>
      </c>
      <c r="G20" s="4">
        <f t="shared" si="6"/>
        <v>55.333877344722815</v>
      </c>
      <c r="H20" s="5">
        <v>5000</v>
      </c>
      <c r="I20" s="5">
        <v>50000</v>
      </c>
      <c r="J20" s="4">
        <f t="shared" si="7"/>
        <v>0.32801942554498648</v>
      </c>
      <c r="K20" s="4">
        <f t="shared" si="8"/>
        <v>1.6600163203416844</v>
      </c>
      <c r="L20" s="6">
        <f t="shared" si="18"/>
        <v>9025</v>
      </c>
      <c r="M20" s="6">
        <f t="shared" si="9"/>
        <v>248000</v>
      </c>
      <c r="N20" s="7">
        <v>1429433</v>
      </c>
      <c r="O20" s="7">
        <f t="shared" si="0"/>
        <v>1429433</v>
      </c>
      <c r="P20" s="7">
        <f t="shared" si="25"/>
        <v>42297.135269251972</v>
      </c>
      <c r="Q20" s="7">
        <f t="shared" si="26"/>
        <v>1387135.8647307481</v>
      </c>
      <c r="R20" s="5">
        <f t="shared" si="10"/>
        <v>603750</v>
      </c>
      <c r="S20" s="5">
        <f t="shared" si="11"/>
        <v>19800000</v>
      </c>
      <c r="T20" s="5">
        <v>0.3</v>
      </c>
      <c r="U20" s="14">
        <f>(C20*F20 + D20*G20)*E20</f>
        <v>5336.8864906011868</v>
      </c>
      <c r="V20" s="14">
        <f t="shared" si="3"/>
        <v>0</v>
      </c>
      <c r="W20" s="5">
        <f t="shared" si="19"/>
        <v>14287961.886490602</v>
      </c>
      <c r="X20" s="5">
        <f t="shared" si="20"/>
        <v>198041.72817278557</v>
      </c>
      <c r="Y20" s="5">
        <f t="shared" si="21"/>
        <v>10956107.714255117</v>
      </c>
      <c r="Z20" s="4">
        <f t="shared" si="22"/>
        <v>0.32801942554498648</v>
      </c>
      <c r="AA20" s="4">
        <f t="shared" si="23"/>
        <v>0.55333877344722815</v>
      </c>
      <c r="AB20" s="6">
        <v>17</v>
      </c>
      <c r="AC20" s="4">
        <v>100</v>
      </c>
      <c r="AD20" s="4">
        <v>100</v>
      </c>
      <c r="AE20" s="10">
        <v>130</v>
      </c>
      <c r="AF20" s="4">
        <v>200</v>
      </c>
      <c r="AG20" s="4">
        <v>200</v>
      </c>
      <c r="AH20" s="4">
        <v>200</v>
      </c>
      <c r="AI20" s="4">
        <f t="shared" si="12"/>
        <v>8105.9999999999991</v>
      </c>
      <c r="AJ20" s="4">
        <f t="shared" si="13"/>
        <v>8105.9999999999991</v>
      </c>
      <c r="AK20" s="4">
        <f t="shared" si="14"/>
        <v>10537.8</v>
      </c>
      <c r="AL20" s="4">
        <f t="shared" si="15"/>
        <v>16211.999999999998</v>
      </c>
      <c r="AM20" s="4">
        <f t="shared" si="16"/>
        <v>16211.999999999998</v>
      </c>
      <c r="AN20" s="4">
        <f t="shared" si="24"/>
        <v>16211.999999999998</v>
      </c>
      <c r="AP20">
        <v>0.3</v>
      </c>
      <c r="AQ20">
        <f>SUM(AP$2:AP20)</f>
        <v>81.859999999999985</v>
      </c>
      <c r="AR20">
        <v>20</v>
      </c>
      <c r="AW20" s="7">
        <v>5717730</v>
      </c>
      <c r="AX20">
        <f t="shared" si="5"/>
        <v>1429433</v>
      </c>
    </row>
    <row r="21" spans="3:50" x14ac:dyDescent="0.2">
      <c r="C21" s="5">
        <v>20</v>
      </c>
      <c r="D21" s="5">
        <v>120</v>
      </c>
      <c r="E21" s="5">
        <v>0.7</v>
      </c>
      <c r="F21" s="4">
        <f t="shared" si="17"/>
        <v>39.625070619367335</v>
      </c>
      <c r="G21" s="4">
        <f t="shared" si="6"/>
        <v>50.436914771632637</v>
      </c>
      <c r="H21" s="5">
        <v>5000</v>
      </c>
      <c r="I21" s="5">
        <v>50000</v>
      </c>
      <c r="J21" s="4">
        <f t="shared" si="7"/>
        <v>0.26416713746244891</v>
      </c>
      <c r="K21" s="4">
        <f t="shared" si="8"/>
        <v>1.513107443148979</v>
      </c>
      <c r="L21" s="6">
        <f t="shared" si="18"/>
        <v>9005</v>
      </c>
      <c r="M21" s="6">
        <f t="shared" si="9"/>
        <v>247880</v>
      </c>
      <c r="N21" s="7">
        <v>1458020</v>
      </c>
      <c r="O21" s="7">
        <f t="shared" si="0"/>
        <v>0</v>
      </c>
      <c r="P21" s="7">
        <f t="shared" si="25"/>
        <v>0</v>
      </c>
      <c r="Q21" s="7">
        <f t="shared" si="26"/>
        <v>0</v>
      </c>
      <c r="R21" s="5">
        <f t="shared" si="10"/>
        <v>600750</v>
      </c>
      <c r="S21" s="5">
        <f t="shared" si="11"/>
        <v>19788000</v>
      </c>
      <c r="T21" s="5">
        <v>0.3</v>
      </c>
      <c r="U21" s="14">
        <f>(C21*F21 + D21*G21)*E21</f>
        <v>4791.4518294882846</v>
      </c>
      <c r="V21" s="14">
        <f t="shared" si="3"/>
        <v>0</v>
      </c>
      <c r="W21" s="5">
        <f t="shared" si="19"/>
        <v>14276916.451829487</v>
      </c>
      <c r="X21" s="5">
        <f t="shared" si="20"/>
        <v>158698.4078305662</v>
      </c>
      <c r="Y21" s="5">
        <f t="shared" si="21"/>
        <v>9980456.6950106658</v>
      </c>
      <c r="Z21" s="4">
        <f t="shared" si="22"/>
        <v>0.26416713746244891</v>
      </c>
      <c r="AA21" s="4">
        <f t="shared" si="23"/>
        <v>0.50436914771632635</v>
      </c>
      <c r="AB21" s="5">
        <v>18</v>
      </c>
      <c r="AC21" s="4">
        <v>100</v>
      </c>
      <c r="AD21" s="4">
        <v>100</v>
      </c>
      <c r="AE21" s="10">
        <v>130</v>
      </c>
      <c r="AF21" s="4">
        <v>200</v>
      </c>
      <c r="AG21" s="4">
        <v>200</v>
      </c>
      <c r="AH21" s="4">
        <v>200</v>
      </c>
      <c r="AI21" s="4">
        <f t="shared" si="12"/>
        <v>8155.9999999999991</v>
      </c>
      <c r="AJ21" s="4">
        <f t="shared" si="13"/>
        <v>8155.9999999999991</v>
      </c>
      <c r="AK21" s="4">
        <f t="shared" si="14"/>
        <v>10602.8</v>
      </c>
      <c r="AL21" s="4">
        <f t="shared" si="15"/>
        <v>16311.999999999998</v>
      </c>
      <c r="AM21" s="4">
        <f t="shared" si="16"/>
        <v>16311.999999999998</v>
      </c>
      <c r="AN21" s="4">
        <f t="shared" si="24"/>
        <v>16311.999999999998</v>
      </c>
      <c r="AP21">
        <v>0.2</v>
      </c>
      <c r="AQ21">
        <f>SUM(AP$2:AP21)</f>
        <v>82.059999999999988</v>
      </c>
      <c r="AR21">
        <v>20</v>
      </c>
      <c r="AW21" s="7">
        <v>5832080</v>
      </c>
      <c r="AX21">
        <f t="shared" si="5"/>
        <v>1458020</v>
      </c>
    </row>
    <row r="22" spans="3:50" x14ac:dyDescent="0.2">
      <c r="C22" s="5">
        <v>20</v>
      </c>
      <c r="D22" s="5">
        <v>120</v>
      </c>
      <c r="E22" s="5">
        <v>0.7</v>
      </c>
      <c r="F22" s="4">
        <f t="shared" si="17"/>
        <v>40.419560742952648</v>
      </c>
      <c r="G22" s="4">
        <f t="shared" si="6"/>
        <v>52.363188688942444</v>
      </c>
      <c r="H22" s="5">
        <v>5000</v>
      </c>
      <c r="I22" s="5">
        <v>50000</v>
      </c>
      <c r="J22" s="4">
        <f t="shared" si="7"/>
        <v>0.26946373828635101</v>
      </c>
      <c r="K22" s="4">
        <f t="shared" si="8"/>
        <v>1.5708956606682731</v>
      </c>
      <c r="L22" s="6">
        <f t="shared" si="18"/>
        <v>8985</v>
      </c>
      <c r="M22" s="6">
        <f t="shared" si="9"/>
        <v>247760</v>
      </c>
      <c r="N22" s="7">
        <v>1487180</v>
      </c>
      <c r="O22" s="7">
        <f t="shared" si="0"/>
        <v>0</v>
      </c>
      <c r="P22" s="7">
        <f t="shared" si="25"/>
        <v>0</v>
      </c>
      <c r="Q22" s="7">
        <f t="shared" si="26"/>
        <v>0</v>
      </c>
      <c r="R22" s="5">
        <f t="shared" si="10"/>
        <v>597750</v>
      </c>
      <c r="S22" s="5">
        <f t="shared" si="11"/>
        <v>19776000</v>
      </c>
      <c r="T22" s="5">
        <v>0.3</v>
      </c>
      <c r="U22" s="14">
        <f>(C22*F22 + D22*G22)*E22</f>
        <v>4964.3817002725018</v>
      </c>
      <c r="V22" s="14">
        <f t="shared" si="3"/>
        <v>0</v>
      </c>
      <c r="W22" s="5">
        <f t="shared" si="19"/>
        <v>14266589.381700272</v>
      </c>
      <c r="X22" s="5">
        <f t="shared" si="20"/>
        <v>161071.94956066631</v>
      </c>
      <c r="Y22" s="5">
        <f t="shared" si="21"/>
        <v>10355344.195125258</v>
      </c>
      <c r="Z22" s="4">
        <f t="shared" si="22"/>
        <v>0.26946373828635101</v>
      </c>
      <c r="AA22" s="4">
        <f t="shared" si="23"/>
        <v>0.52363188688942441</v>
      </c>
      <c r="AB22" s="6">
        <v>19</v>
      </c>
      <c r="AC22" s="4">
        <v>100</v>
      </c>
      <c r="AD22" s="4">
        <v>100</v>
      </c>
      <c r="AE22" s="10">
        <v>130</v>
      </c>
      <c r="AF22" s="4">
        <v>200</v>
      </c>
      <c r="AG22" s="4">
        <v>200</v>
      </c>
      <c r="AH22" s="4">
        <v>200</v>
      </c>
      <c r="AI22" s="4">
        <f t="shared" si="12"/>
        <v>8185.9999999999982</v>
      </c>
      <c r="AJ22" s="4">
        <f t="shared" si="13"/>
        <v>8185.9999999999982</v>
      </c>
      <c r="AK22" s="4">
        <f t="shared" si="14"/>
        <v>10641.799999999997</v>
      </c>
      <c r="AL22" s="4">
        <f t="shared" si="15"/>
        <v>16371.999999999996</v>
      </c>
      <c r="AM22" s="4">
        <f t="shared" si="16"/>
        <v>16371.999999999996</v>
      </c>
      <c r="AN22" s="4">
        <f t="shared" si="24"/>
        <v>16371.999999999996</v>
      </c>
      <c r="AP22">
        <v>0.18</v>
      </c>
      <c r="AQ22">
        <f>SUM(AP$2:AP22)</f>
        <v>82.24</v>
      </c>
      <c r="AR22">
        <v>20</v>
      </c>
      <c r="AW22" s="7">
        <v>5948720</v>
      </c>
      <c r="AX22">
        <f t="shared" si="5"/>
        <v>1487180</v>
      </c>
    </row>
    <row r="23" spans="3:50" x14ac:dyDescent="0.2">
      <c r="C23" s="5">
        <v>20</v>
      </c>
      <c r="D23" s="5">
        <v>120</v>
      </c>
      <c r="E23" s="5">
        <v>0.7</v>
      </c>
      <c r="F23" s="4">
        <f t="shared" si="17"/>
        <v>41.23270919909293</v>
      </c>
      <c r="G23" s="4">
        <f t="shared" si="6"/>
        <v>54.36329081427418</v>
      </c>
      <c r="H23" s="5">
        <v>5000</v>
      </c>
      <c r="I23" s="5">
        <v>50000</v>
      </c>
      <c r="J23" s="4">
        <f t="shared" si="7"/>
        <v>0.27488472799395286</v>
      </c>
      <c r="K23" s="4">
        <f t="shared" si="8"/>
        <v>1.6308987244282254</v>
      </c>
      <c r="L23" s="6">
        <f t="shared" si="18"/>
        <v>8965</v>
      </c>
      <c r="M23" s="6">
        <f t="shared" si="9"/>
        <v>247640</v>
      </c>
      <c r="N23" s="7">
        <v>1516923</v>
      </c>
      <c r="O23" s="7">
        <f t="shared" si="0"/>
        <v>0</v>
      </c>
      <c r="P23" s="7">
        <f t="shared" si="25"/>
        <v>0</v>
      </c>
      <c r="Q23" s="7">
        <f t="shared" si="26"/>
        <v>0</v>
      </c>
      <c r="R23" s="5">
        <f t="shared" si="10"/>
        <v>594750</v>
      </c>
      <c r="S23" s="5">
        <f t="shared" si="11"/>
        <v>19764000</v>
      </c>
      <c r="T23" s="5">
        <v>0.3</v>
      </c>
      <c r="U23" s="14">
        <f>(C23*F23 + D23*G23)*E23</f>
        <v>5143.7743571863321</v>
      </c>
      <c r="V23" s="14">
        <f t="shared" si="3"/>
        <v>0</v>
      </c>
      <c r="W23" s="5">
        <f t="shared" si="19"/>
        <v>14256268.774357187</v>
      </c>
      <c r="X23" s="5">
        <f t="shared" si="20"/>
        <v>163487.69197440345</v>
      </c>
      <c r="Y23" s="5">
        <f t="shared" si="21"/>
        <v>10744360.796533149</v>
      </c>
      <c r="Z23" s="4">
        <f t="shared" si="22"/>
        <v>0.27488472799395286</v>
      </c>
      <c r="AA23" s="4">
        <f t="shared" si="23"/>
        <v>0.54363290814274179</v>
      </c>
      <c r="AB23" s="6">
        <v>20</v>
      </c>
      <c r="AC23" s="4">
        <v>100</v>
      </c>
      <c r="AD23" s="4">
        <v>100</v>
      </c>
      <c r="AE23" s="10">
        <v>130</v>
      </c>
      <c r="AF23" s="4">
        <v>200</v>
      </c>
      <c r="AG23" s="4">
        <v>200</v>
      </c>
      <c r="AH23" s="4">
        <v>200</v>
      </c>
      <c r="AI23" s="4">
        <f t="shared" si="12"/>
        <v>8205.9999999999982</v>
      </c>
      <c r="AJ23" s="4">
        <f t="shared" si="13"/>
        <v>8205.9999999999982</v>
      </c>
      <c r="AK23" s="4">
        <f t="shared" si="14"/>
        <v>10667.8</v>
      </c>
      <c r="AL23" s="4">
        <f t="shared" si="15"/>
        <v>16411.999999999996</v>
      </c>
      <c r="AM23" s="4">
        <f t="shared" si="16"/>
        <v>16411.999999999996</v>
      </c>
      <c r="AN23" s="4">
        <f t="shared" si="24"/>
        <v>16411.999999999996</v>
      </c>
      <c r="AP23">
        <v>0.17</v>
      </c>
      <c r="AQ23">
        <f>SUM(AP$2:AP23)</f>
        <v>82.41</v>
      </c>
      <c r="AR23">
        <v>20</v>
      </c>
      <c r="AW23" s="7">
        <v>6067690</v>
      </c>
      <c r="AX23">
        <f t="shared" si="5"/>
        <v>1516923</v>
      </c>
    </row>
    <row r="24" spans="3:50" x14ac:dyDescent="0.2">
      <c r="C24" s="5">
        <v>20</v>
      </c>
      <c r="D24" s="5">
        <v>120</v>
      </c>
      <c r="E24" s="5">
        <v>0.7</v>
      </c>
      <c r="F24" s="4">
        <f t="shared" si="17"/>
        <v>42.065028102993502</v>
      </c>
      <c r="G24" s="4">
        <f t="shared" si="6"/>
        <v>56.440061000423356</v>
      </c>
      <c r="H24" s="5">
        <v>5000</v>
      </c>
      <c r="I24" s="5">
        <v>50000</v>
      </c>
      <c r="J24" s="4">
        <f t="shared" si="7"/>
        <v>0.28043352068662336</v>
      </c>
      <c r="K24" s="4">
        <f t="shared" si="8"/>
        <v>1.6932018300127007</v>
      </c>
      <c r="L24" s="6">
        <f t="shared" si="18"/>
        <v>8945</v>
      </c>
      <c r="M24" s="6">
        <f t="shared" si="9"/>
        <v>247520</v>
      </c>
      <c r="N24" s="7">
        <v>1547260</v>
      </c>
      <c r="O24" s="7">
        <f t="shared" si="0"/>
        <v>0</v>
      </c>
      <c r="P24" s="7">
        <f t="shared" si="25"/>
        <v>0</v>
      </c>
      <c r="Q24" s="7">
        <f t="shared" si="26"/>
        <v>0</v>
      </c>
      <c r="R24" s="5">
        <f t="shared" si="10"/>
        <v>591750</v>
      </c>
      <c r="S24" s="5">
        <f t="shared" si="11"/>
        <v>19752000</v>
      </c>
      <c r="T24" s="5">
        <v>0.3</v>
      </c>
      <c r="U24" s="14">
        <f>(C24*F24 + D24*G24)*E24</f>
        <v>5329.8755174774706</v>
      </c>
      <c r="V24" s="14">
        <f t="shared" si="3"/>
        <v>8224</v>
      </c>
      <c r="W24" s="5">
        <f t="shared" si="19"/>
        <v>14245954.875517478</v>
      </c>
      <c r="X24" s="5">
        <f t="shared" si="20"/>
        <v>165946.53586630936</v>
      </c>
      <c r="Y24" s="5">
        <f t="shared" si="21"/>
        <v>11148040.848803623</v>
      </c>
      <c r="Z24" s="4">
        <f t="shared" si="22"/>
        <v>0.28043352068662336</v>
      </c>
      <c r="AA24" s="4">
        <f t="shared" si="23"/>
        <v>0.56440061000423358</v>
      </c>
      <c r="AB24" s="5">
        <v>21</v>
      </c>
      <c r="AC24" s="4">
        <v>100</v>
      </c>
      <c r="AD24" s="4">
        <v>100</v>
      </c>
      <c r="AE24" s="10">
        <v>130</v>
      </c>
      <c r="AF24" s="4">
        <v>200</v>
      </c>
      <c r="AG24" s="4">
        <v>200</v>
      </c>
      <c r="AH24" s="4">
        <v>200</v>
      </c>
      <c r="AI24" s="4">
        <f t="shared" si="12"/>
        <v>8224</v>
      </c>
      <c r="AJ24" s="4">
        <f t="shared" si="13"/>
        <v>8224</v>
      </c>
      <c r="AK24" s="4">
        <f t="shared" si="14"/>
        <v>10691.199999999999</v>
      </c>
      <c r="AL24" s="4">
        <f t="shared" si="15"/>
        <v>16448</v>
      </c>
      <c r="AM24" s="4">
        <f t="shared" si="16"/>
        <v>16448</v>
      </c>
      <c r="AN24" s="4">
        <f t="shared" si="24"/>
        <v>16448</v>
      </c>
      <c r="AP24">
        <v>0.16</v>
      </c>
      <c r="AQ24">
        <f>SUM(AP$2:AP24)</f>
        <v>82.57</v>
      </c>
      <c r="AR24">
        <v>20</v>
      </c>
      <c r="AW24" s="7">
        <v>6189040</v>
      </c>
      <c r="AX24">
        <f t="shared" si="5"/>
        <v>1547260</v>
      </c>
    </row>
    <row r="25" spans="3:50" x14ac:dyDescent="0.2">
      <c r="C25" s="5">
        <v>20</v>
      </c>
      <c r="D25" s="5">
        <v>120</v>
      </c>
      <c r="E25" s="5">
        <v>0.7</v>
      </c>
      <c r="F25" s="4">
        <f t="shared" si="17"/>
        <v>42.9170458696656</v>
      </c>
      <c r="G25" s="4">
        <f t="shared" si="6"/>
        <v>58.596448741381792</v>
      </c>
      <c r="H25" s="5">
        <v>5000</v>
      </c>
      <c r="I25" s="5">
        <v>50000</v>
      </c>
      <c r="J25" s="4">
        <f t="shared" si="7"/>
        <v>0.28611363913110399</v>
      </c>
      <c r="K25" s="4">
        <f t="shared" si="8"/>
        <v>1.7578934622414537</v>
      </c>
      <c r="L25" s="6">
        <f t="shared" si="18"/>
        <v>8925</v>
      </c>
      <c r="M25" s="6">
        <f t="shared" si="9"/>
        <v>247400</v>
      </c>
      <c r="N25" s="7">
        <v>1578205</v>
      </c>
      <c r="O25" s="7">
        <f t="shared" si="0"/>
        <v>0</v>
      </c>
      <c r="P25" s="7">
        <f t="shared" si="25"/>
        <v>0</v>
      </c>
      <c r="Q25" s="7">
        <f t="shared" si="26"/>
        <v>0</v>
      </c>
      <c r="R25" s="5">
        <f t="shared" si="10"/>
        <v>588750</v>
      </c>
      <c r="S25" s="5">
        <f t="shared" si="11"/>
        <v>19740000</v>
      </c>
      <c r="T25" s="5">
        <v>0.3</v>
      </c>
      <c r="U25" s="14">
        <f>(C25*F25 + D25*G25)*E25</f>
        <v>5522.9403364513892</v>
      </c>
      <c r="V25" s="14">
        <f t="shared" si="3"/>
        <v>16482</v>
      </c>
      <c r="W25" s="5">
        <f t="shared" si="19"/>
        <v>14235647.940336451</v>
      </c>
      <c r="X25" s="5">
        <f t="shared" si="20"/>
        <v>168449.40503843749</v>
      </c>
      <c r="Y25" s="5">
        <f t="shared" si="21"/>
        <v>11566938.981548766</v>
      </c>
      <c r="Z25" s="4">
        <f t="shared" si="22"/>
        <v>0.28611363913110399</v>
      </c>
      <c r="AA25" s="4">
        <f t="shared" si="23"/>
        <v>0.5859644874138179</v>
      </c>
      <c r="AB25" s="6">
        <v>22</v>
      </c>
      <c r="AC25" s="4">
        <v>100</v>
      </c>
      <c r="AD25" s="4">
        <v>100</v>
      </c>
      <c r="AE25" s="10">
        <v>130</v>
      </c>
      <c r="AF25" s="4">
        <v>200</v>
      </c>
      <c r="AG25" s="4">
        <v>200</v>
      </c>
      <c r="AH25" s="4">
        <v>200</v>
      </c>
      <c r="AI25" s="4">
        <f t="shared" si="12"/>
        <v>8241</v>
      </c>
      <c r="AJ25" s="4">
        <f t="shared" si="13"/>
        <v>8241</v>
      </c>
      <c r="AK25" s="4">
        <f t="shared" si="14"/>
        <v>10713.3</v>
      </c>
      <c r="AL25" s="4">
        <f t="shared" si="15"/>
        <v>16482</v>
      </c>
      <c r="AM25" s="4">
        <f t="shared" si="16"/>
        <v>16482</v>
      </c>
      <c r="AN25" s="4">
        <f t="shared" si="24"/>
        <v>16482</v>
      </c>
      <c r="AP25">
        <v>0.15</v>
      </c>
      <c r="AQ25">
        <f>SUM(AP$2:AP25)</f>
        <v>82.72</v>
      </c>
      <c r="AR25">
        <v>20</v>
      </c>
      <c r="AW25" s="7">
        <v>6312820</v>
      </c>
      <c r="AX25">
        <f t="shared" si="5"/>
        <v>1578205</v>
      </c>
    </row>
    <row r="26" spans="3:50" x14ac:dyDescent="0.2">
      <c r="C26" s="5">
        <v>20</v>
      </c>
      <c r="D26" s="5">
        <v>120</v>
      </c>
      <c r="E26" s="5">
        <v>0.7</v>
      </c>
      <c r="F26" s="4">
        <f t="shared" si="17"/>
        <v>43.789307809193332</v>
      </c>
      <c r="G26" s="4">
        <f t="shared" si="6"/>
        <v>60.835517421390072</v>
      </c>
      <c r="H26" s="5">
        <v>5000</v>
      </c>
      <c r="I26" s="5">
        <v>50000</v>
      </c>
      <c r="J26" s="4">
        <f t="shared" si="7"/>
        <v>0.29192871872795556</v>
      </c>
      <c r="K26" s="4">
        <f t="shared" si="8"/>
        <v>1.8250655226417023</v>
      </c>
      <c r="L26" s="6">
        <f t="shared" si="18"/>
        <v>8905</v>
      </c>
      <c r="M26" s="6">
        <f t="shared" si="9"/>
        <v>247280</v>
      </c>
      <c r="N26" s="7">
        <v>1609770</v>
      </c>
      <c r="O26" s="7">
        <f t="shared" si="0"/>
        <v>0</v>
      </c>
      <c r="P26" s="7">
        <f t="shared" si="25"/>
        <v>0</v>
      </c>
      <c r="Q26" s="7">
        <f t="shared" si="26"/>
        <v>0</v>
      </c>
      <c r="R26" s="5">
        <f t="shared" si="10"/>
        <v>585750</v>
      </c>
      <c r="S26" s="5">
        <f t="shared" si="11"/>
        <v>19728000</v>
      </c>
      <c r="T26" s="5">
        <v>0.3</v>
      </c>
      <c r="U26" s="14">
        <f>(C26*F26 + D26*G26)*E26</f>
        <v>5723.2337727254726</v>
      </c>
      <c r="V26" s="14">
        <f t="shared" si="3"/>
        <v>27248.1</v>
      </c>
      <c r="W26" s="5">
        <f t="shared" si="19"/>
        <v>14225348.233772725</v>
      </c>
      <c r="X26" s="5">
        <f t="shared" si="20"/>
        <v>170997.24699489996</v>
      </c>
      <c r="Y26" s="5">
        <f t="shared" si="21"/>
        <v>12001630.876891833</v>
      </c>
      <c r="Z26" s="4">
        <f t="shared" si="22"/>
        <v>0.29192871872795556</v>
      </c>
      <c r="AA26" s="4">
        <f t="shared" si="23"/>
        <v>0.60835517421390073</v>
      </c>
      <c r="AB26" s="6">
        <v>23</v>
      </c>
      <c r="AC26" s="4">
        <v>100</v>
      </c>
      <c r="AD26" s="4">
        <v>100</v>
      </c>
      <c r="AE26" s="10">
        <v>130</v>
      </c>
      <c r="AF26" s="4">
        <v>200</v>
      </c>
      <c r="AG26" s="4">
        <v>200</v>
      </c>
      <c r="AH26" s="4">
        <v>200</v>
      </c>
      <c r="AI26" s="4">
        <f t="shared" si="12"/>
        <v>8257</v>
      </c>
      <c r="AJ26" s="4">
        <f t="shared" si="13"/>
        <v>8257</v>
      </c>
      <c r="AK26" s="4">
        <f t="shared" si="14"/>
        <v>10734.099999999999</v>
      </c>
      <c r="AL26" s="4">
        <f t="shared" si="15"/>
        <v>16514</v>
      </c>
      <c r="AM26" s="4">
        <f t="shared" si="16"/>
        <v>16514</v>
      </c>
      <c r="AN26" s="4">
        <f t="shared" si="24"/>
        <v>16514</v>
      </c>
      <c r="AP26">
        <v>0.14000000000000001</v>
      </c>
      <c r="AQ26">
        <f>SUM(AP$2:AP26)</f>
        <v>82.86</v>
      </c>
      <c r="AR26">
        <v>20</v>
      </c>
      <c r="AW26" s="7">
        <v>6439080</v>
      </c>
      <c r="AX26">
        <f t="shared" si="5"/>
        <v>1609770</v>
      </c>
    </row>
    <row r="27" spans="3:50" x14ac:dyDescent="0.2">
      <c r="C27" s="5">
        <v>10</v>
      </c>
      <c r="D27" s="5">
        <v>120</v>
      </c>
      <c r="E27" s="5">
        <v>0.7</v>
      </c>
      <c r="F27" s="4">
        <f t="shared" si="17"/>
        <v>44.682376746666108</v>
      </c>
      <c r="G27" s="4">
        <f t="shared" si="6"/>
        <v>63.16044872929578</v>
      </c>
      <c r="H27" s="5">
        <v>5000</v>
      </c>
      <c r="I27" s="5">
        <v>50000</v>
      </c>
      <c r="J27" s="4">
        <f t="shared" si="7"/>
        <v>0.29788251164444074</v>
      </c>
      <c r="K27" s="4">
        <f t="shared" si="8"/>
        <v>1.8948134618788735</v>
      </c>
      <c r="L27" s="6">
        <f t="shared" si="18"/>
        <v>8885</v>
      </c>
      <c r="M27" s="6">
        <f t="shared" si="9"/>
        <v>247160</v>
      </c>
      <c r="N27" s="7">
        <v>1641965</v>
      </c>
      <c r="O27" s="7">
        <f t="shared" si="0"/>
        <v>0</v>
      </c>
      <c r="P27" s="7">
        <f t="shared" si="25"/>
        <v>0</v>
      </c>
      <c r="Q27" s="7">
        <f t="shared" si="26"/>
        <v>0</v>
      </c>
      <c r="R27" s="5">
        <f t="shared" si="10"/>
        <v>582750</v>
      </c>
      <c r="S27" s="5">
        <f t="shared" si="11"/>
        <v>19716000</v>
      </c>
      <c r="T27" s="5">
        <v>0.3</v>
      </c>
      <c r="U27" s="14">
        <f>(C27*F27 + D27*G27)*E27</f>
        <v>5618.2543304875071</v>
      </c>
      <c r="V27" s="14">
        <f t="shared" si="3"/>
        <v>43841.599999999999</v>
      </c>
      <c r="W27" s="5">
        <f t="shared" si="19"/>
        <v>14214743.254330488</v>
      </c>
      <c r="X27" s="5">
        <f t="shared" si="20"/>
        <v>173591.03366079784</v>
      </c>
      <c r="Y27" s="5">
        <f t="shared" si="21"/>
        <v>12452714.071467957</v>
      </c>
      <c r="Z27" s="4">
        <f t="shared" si="22"/>
        <v>0.29788251164444074</v>
      </c>
      <c r="AA27" s="4">
        <f t="shared" si="23"/>
        <v>0.63160448729295782</v>
      </c>
      <c r="AB27" s="5">
        <v>24</v>
      </c>
      <c r="AC27" s="4">
        <v>100</v>
      </c>
      <c r="AD27" s="4">
        <v>100</v>
      </c>
      <c r="AE27" s="10">
        <v>130</v>
      </c>
      <c r="AF27" s="4">
        <v>200</v>
      </c>
      <c r="AG27" s="4">
        <v>200</v>
      </c>
      <c r="AH27" s="4">
        <v>200</v>
      </c>
      <c r="AI27" s="4">
        <f t="shared" si="12"/>
        <v>8272</v>
      </c>
      <c r="AJ27" s="4">
        <f t="shared" si="13"/>
        <v>8272</v>
      </c>
      <c r="AK27" s="4">
        <f t="shared" si="14"/>
        <v>10753.6</v>
      </c>
      <c r="AL27" s="4">
        <f t="shared" si="15"/>
        <v>16544</v>
      </c>
      <c r="AM27" s="4">
        <f t="shared" si="16"/>
        <v>16544</v>
      </c>
      <c r="AN27" s="4">
        <f t="shared" si="24"/>
        <v>16544</v>
      </c>
      <c r="AP27">
        <v>0.13</v>
      </c>
      <c r="AQ27">
        <f>SUM(AP$2:AP27)</f>
        <v>82.99</v>
      </c>
      <c r="AR27">
        <v>20</v>
      </c>
      <c r="AW27" s="7">
        <v>6567860</v>
      </c>
      <c r="AX27">
        <f t="shared" si="5"/>
        <v>1641965</v>
      </c>
    </row>
    <row r="28" spans="3:50" x14ac:dyDescent="0.2">
      <c r="C28" s="5">
        <v>10</v>
      </c>
      <c r="D28" s="5">
        <v>120</v>
      </c>
      <c r="E28" s="5">
        <v>0.7</v>
      </c>
      <c r="F28" s="4">
        <f t="shared" si="17"/>
        <v>45.4799331488109</v>
      </c>
      <c r="G28" s="4">
        <f t="shared" si="6"/>
        <v>65.574547244673738</v>
      </c>
      <c r="H28" s="5">
        <v>5000</v>
      </c>
      <c r="I28" s="5">
        <v>50000</v>
      </c>
      <c r="J28" s="4">
        <f t="shared" si="7"/>
        <v>0.30319955432540602</v>
      </c>
      <c r="K28" s="4">
        <f t="shared" si="8"/>
        <v>1.9672364173402124</v>
      </c>
      <c r="L28" s="6">
        <f t="shared" si="18"/>
        <v>8875</v>
      </c>
      <c r="M28" s="6">
        <f t="shared" si="9"/>
        <v>247040</v>
      </c>
      <c r="N28" s="7">
        <v>1674805</v>
      </c>
      <c r="O28" s="7">
        <f t="shared" si="0"/>
        <v>1674805</v>
      </c>
      <c r="P28" s="7">
        <f t="shared" si="25"/>
        <v>47989.569083447335</v>
      </c>
      <c r="Q28" s="7">
        <f t="shared" si="26"/>
        <v>1626815.4309165527</v>
      </c>
      <c r="R28" s="5">
        <f t="shared" si="10"/>
        <v>581250</v>
      </c>
      <c r="S28" s="5">
        <f t="shared" si="11"/>
        <v>19704000</v>
      </c>
      <c r="T28" s="5">
        <v>0.3</v>
      </c>
      <c r="U28" s="14">
        <f>(C28*F28 + D28*G28)*E28</f>
        <v>5826.6215005942704</v>
      </c>
      <c r="V28" s="14">
        <f t="shared" si="3"/>
        <v>60487.8</v>
      </c>
      <c r="W28" s="5">
        <f t="shared" si="19"/>
        <v>14205501.621500595</v>
      </c>
      <c r="X28" s="5">
        <f t="shared" si="20"/>
        <v>176234.74095164225</v>
      </c>
      <c r="Y28" s="5">
        <f t="shared" si="21"/>
        <v>12920808.789090514</v>
      </c>
      <c r="Z28" s="4">
        <f t="shared" si="22"/>
        <v>0.30319955432540602</v>
      </c>
      <c r="AA28" s="4">
        <f t="shared" si="23"/>
        <v>0.65574547244673742</v>
      </c>
      <c r="AB28" s="6">
        <v>25</v>
      </c>
      <c r="AC28" s="4">
        <v>100</v>
      </c>
      <c r="AD28" s="4">
        <v>100</v>
      </c>
      <c r="AE28" s="10">
        <v>130</v>
      </c>
      <c r="AF28" s="4">
        <v>200</v>
      </c>
      <c r="AG28" s="4">
        <v>200</v>
      </c>
      <c r="AH28" s="4">
        <v>200</v>
      </c>
      <c r="AI28" s="4">
        <f t="shared" si="12"/>
        <v>8286</v>
      </c>
      <c r="AJ28" s="4">
        <f t="shared" si="13"/>
        <v>8286</v>
      </c>
      <c r="AK28" s="4">
        <f t="shared" si="14"/>
        <v>10771.8</v>
      </c>
      <c r="AL28" s="4">
        <f t="shared" si="15"/>
        <v>16572</v>
      </c>
      <c r="AM28" s="4">
        <f t="shared" si="16"/>
        <v>16572</v>
      </c>
      <c r="AN28" s="4">
        <f t="shared" si="24"/>
        <v>16572</v>
      </c>
      <c r="AP28">
        <v>0.125</v>
      </c>
      <c r="AQ28">
        <f>SUM(AP$2:AP28)</f>
        <v>83.114999999999995</v>
      </c>
      <c r="AR28">
        <v>20</v>
      </c>
      <c r="AW28" s="7">
        <v>6699220</v>
      </c>
      <c r="AX28">
        <f t="shared" si="5"/>
        <v>1674805</v>
      </c>
    </row>
    <row r="29" spans="3:50" x14ac:dyDescent="0.2">
      <c r="C29" s="5">
        <v>5</v>
      </c>
      <c r="D29" s="5">
        <v>120</v>
      </c>
      <c r="E29" s="5">
        <v>0.7</v>
      </c>
      <c r="F29" s="4">
        <f t="shared" si="17"/>
        <v>33.876594027759289</v>
      </c>
      <c r="G29" s="4">
        <f t="shared" si="6"/>
        <v>59.819944009463768</v>
      </c>
      <c r="H29" s="5">
        <v>5000</v>
      </c>
      <c r="I29" s="5">
        <v>50000</v>
      </c>
      <c r="J29" s="4">
        <f t="shared" si="7"/>
        <v>0.22584396018506192</v>
      </c>
      <c r="K29" s="4">
        <f t="shared" si="8"/>
        <v>1.7945983202839129</v>
      </c>
      <c r="L29" s="6">
        <f t="shared" si="18"/>
        <v>8865</v>
      </c>
      <c r="M29" s="6">
        <f t="shared" si="9"/>
        <v>246920</v>
      </c>
      <c r="N29" s="7">
        <v>1708300</v>
      </c>
      <c r="O29" s="7">
        <f t="shared" si="0"/>
        <v>0</v>
      </c>
      <c r="P29" s="7">
        <f t="shared" si="25"/>
        <v>0</v>
      </c>
      <c r="Q29" s="7">
        <f t="shared" si="26"/>
        <v>0</v>
      </c>
      <c r="R29" s="5">
        <f t="shared" si="10"/>
        <v>579750</v>
      </c>
      <c r="S29" s="5">
        <f t="shared" si="11"/>
        <v>19692000</v>
      </c>
      <c r="T29" s="5">
        <v>0.3</v>
      </c>
      <c r="U29" s="14">
        <f>(C29*F29 + D29*G29)*E29</f>
        <v>5143.4433758921132</v>
      </c>
      <c r="V29" s="14">
        <f t="shared" si="3"/>
        <v>60582.7</v>
      </c>
      <c r="W29" s="5">
        <f t="shared" si="19"/>
        <v>14195368.443375893</v>
      </c>
      <c r="X29" s="5">
        <f t="shared" si="20"/>
        <v>130933.03591728964</v>
      </c>
      <c r="Y29" s="5">
        <f t="shared" si="21"/>
        <v>11779743.374343606</v>
      </c>
      <c r="Z29" s="4">
        <f t="shared" si="22"/>
        <v>0.22584396018506192</v>
      </c>
      <c r="AA29" s="4">
        <f t="shared" si="23"/>
        <v>0.59819944009463766</v>
      </c>
      <c r="AB29" s="6">
        <v>26</v>
      </c>
      <c r="AC29" s="4">
        <v>100</v>
      </c>
      <c r="AD29" s="4">
        <v>100</v>
      </c>
      <c r="AE29" s="10">
        <v>130</v>
      </c>
      <c r="AF29" s="4">
        <v>200</v>
      </c>
      <c r="AG29" s="4">
        <v>200</v>
      </c>
      <c r="AH29" s="4">
        <v>200</v>
      </c>
      <c r="AI29" s="4">
        <f t="shared" si="12"/>
        <v>8299</v>
      </c>
      <c r="AJ29" s="4">
        <f t="shared" si="13"/>
        <v>8299</v>
      </c>
      <c r="AK29" s="4">
        <f t="shared" si="14"/>
        <v>10788.699999999999</v>
      </c>
      <c r="AL29" s="4">
        <f t="shared" si="15"/>
        <v>16598</v>
      </c>
      <c r="AM29" s="4">
        <f t="shared" si="16"/>
        <v>16598</v>
      </c>
      <c r="AN29" s="4">
        <f t="shared" si="24"/>
        <v>16598</v>
      </c>
      <c r="AP29">
        <v>0.1225</v>
      </c>
      <c r="AQ29">
        <f>SUM(AP$2:AP29)</f>
        <v>83.237499999999997</v>
      </c>
      <c r="AR29">
        <v>20</v>
      </c>
      <c r="AW29" s="7">
        <v>6833200</v>
      </c>
      <c r="AX29">
        <f t="shared" si="5"/>
        <v>1708300</v>
      </c>
    </row>
    <row r="30" spans="3:50" x14ac:dyDescent="0.2">
      <c r="C30" s="5">
        <v>5</v>
      </c>
      <c r="D30" s="5">
        <v>120</v>
      </c>
      <c r="E30" s="5">
        <v>0.7</v>
      </c>
      <c r="F30" s="4">
        <f t="shared" si="17"/>
        <v>34.438863576302921</v>
      </c>
      <c r="G30" s="4">
        <f t="shared" si="6"/>
        <v>62.106962600557289</v>
      </c>
      <c r="H30" s="5">
        <v>5000</v>
      </c>
      <c r="I30" s="5">
        <v>50000</v>
      </c>
      <c r="J30" s="4">
        <f t="shared" si="7"/>
        <v>0.22959242384201947</v>
      </c>
      <c r="K30" s="4">
        <f t="shared" si="8"/>
        <v>1.8632088780167186</v>
      </c>
      <c r="L30" s="6">
        <f t="shared" si="18"/>
        <v>8860</v>
      </c>
      <c r="M30" s="6">
        <f t="shared" si="9"/>
        <v>246800</v>
      </c>
      <c r="N30" s="7">
        <v>1742465</v>
      </c>
      <c r="O30" s="7">
        <f t="shared" si="0"/>
        <v>0</v>
      </c>
      <c r="P30" s="7">
        <f t="shared" si="25"/>
        <v>0</v>
      </c>
      <c r="Q30" s="7">
        <f t="shared" si="26"/>
        <v>0</v>
      </c>
      <c r="R30" s="5">
        <f t="shared" si="10"/>
        <v>579000</v>
      </c>
      <c r="S30" s="5">
        <f t="shared" si="11"/>
        <v>19680000</v>
      </c>
      <c r="T30" s="5">
        <v>0.3</v>
      </c>
      <c r="U30" s="14">
        <f>(C30*F30 + D30*G30)*E30</f>
        <v>5337.5208809638725</v>
      </c>
      <c r="V30" s="14">
        <f t="shared" si="3"/>
        <v>60673.95</v>
      </c>
      <c r="W30" s="5">
        <f t="shared" si="19"/>
        <v>14186637.520880964</v>
      </c>
      <c r="X30" s="5">
        <f t="shared" si="20"/>
        <v>132934.01340452928</v>
      </c>
      <c r="Y30" s="5">
        <f t="shared" si="21"/>
        <v>12222650.239789676</v>
      </c>
      <c r="Z30" s="4">
        <f t="shared" si="22"/>
        <v>0.22959242384201947</v>
      </c>
      <c r="AA30" s="4">
        <f t="shared" si="23"/>
        <v>0.62106962600557292</v>
      </c>
      <c r="AB30" s="5">
        <v>27</v>
      </c>
      <c r="AC30" s="4">
        <v>100</v>
      </c>
      <c r="AD30" s="4">
        <v>100</v>
      </c>
      <c r="AE30" s="10">
        <v>130</v>
      </c>
      <c r="AF30" s="4">
        <v>200</v>
      </c>
      <c r="AG30" s="4">
        <v>200</v>
      </c>
      <c r="AH30" s="4">
        <v>200</v>
      </c>
      <c r="AI30" s="4">
        <f t="shared" si="12"/>
        <v>8311.5</v>
      </c>
      <c r="AJ30" s="4">
        <f t="shared" si="13"/>
        <v>8311.5</v>
      </c>
      <c r="AK30" s="4">
        <f t="shared" si="14"/>
        <v>10804.949999999999</v>
      </c>
      <c r="AL30" s="4">
        <f t="shared" si="15"/>
        <v>16623</v>
      </c>
      <c r="AM30" s="4">
        <f t="shared" si="16"/>
        <v>16623</v>
      </c>
      <c r="AN30" s="4">
        <f t="shared" si="24"/>
        <v>16623</v>
      </c>
      <c r="AP30">
        <v>0.12239999999999999</v>
      </c>
      <c r="AQ30">
        <f>SUM(AP$2:AP30)</f>
        <v>83.359899999999996</v>
      </c>
      <c r="AR30">
        <v>20</v>
      </c>
      <c r="AW30" s="7">
        <v>6969860</v>
      </c>
      <c r="AX30">
        <f t="shared" si="5"/>
        <v>1742465</v>
      </c>
    </row>
    <row r="31" spans="3:50" x14ac:dyDescent="0.2">
      <c r="AP31">
        <v>0.12230000000000001</v>
      </c>
      <c r="AQ31">
        <f>SUM(AP$2:AP31)</f>
        <v>83.482199999999992</v>
      </c>
      <c r="AR31">
        <v>20</v>
      </c>
    </row>
  </sheetData>
  <mergeCells count="10">
    <mergeCell ref="AC1:AH1"/>
    <mergeCell ref="C1:E1"/>
    <mergeCell ref="L1:M1"/>
    <mergeCell ref="U1:V1"/>
    <mergeCell ref="R1:T1"/>
    <mergeCell ref="A1:B1"/>
    <mergeCell ref="F1:G1"/>
    <mergeCell ref="H1:I1"/>
    <mergeCell ref="J1:K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Coburn Syme</dc:creator>
  <cp:lastModifiedBy>James Coburn Syme</cp:lastModifiedBy>
  <dcterms:created xsi:type="dcterms:W3CDTF">2025-10-11T19:34:45Z</dcterms:created>
  <dcterms:modified xsi:type="dcterms:W3CDTF">2025-10-16T08:43:59Z</dcterms:modified>
</cp:coreProperties>
</file>