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Zoho WorkDrive (COBI)\My Folders\Work in Progress\Costeo\Cuanto cuesta mi reserva marina\"/>
    </mc:Choice>
  </mc:AlternateContent>
  <bookViews>
    <workbookView xWindow="0" yWindow="0" windowWidth="19395" windowHeight="9630" tabRatio="882" activeTab="3"/>
  </bookViews>
  <sheets>
    <sheet name="Notas" sheetId="3" r:id="rId1"/>
    <sheet name="Resumen" sheetId="2" r:id="rId2"/>
    <sheet name="Detallado" sheetId="14" r:id="rId3"/>
    <sheet name="Sheet2" sheetId="16" r:id="rId4"/>
    <sheet name="El Rosario" sheetId="1" r:id="rId5"/>
    <sheet name="Isla Natividad" sheetId="10" r:id="rId6"/>
    <sheet name="La Bocana" sheetId="11" r:id="rId7"/>
    <sheet name="Puerto Libertad" sheetId="12" r:id="rId8"/>
    <sheet name="ISPN" sheetId="13" r:id="rId9"/>
    <sheet name="Punta Allen" sheetId="8" r:id="rId10"/>
    <sheet name="María Elena" sheetId="4" r:id="rId11"/>
    <sheet name="Punta Herrero" sheetId="6" r:id="rId12"/>
    <sheet name="Banco Chinchorro" sheetId="7" r:id="rId13"/>
    <sheet name="Red Oceanografica" sheetId="9" r:id="rId1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6" l="1"/>
  <c r="V4" i="2"/>
  <c r="V5" i="2"/>
  <c r="V6" i="2"/>
  <c r="V7" i="2"/>
  <c r="V8" i="2"/>
  <c r="V9" i="2"/>
  <c r="V10" i="2"/>
  <c r="V11" i="2"/>
  <c r="V3" i="2"/>
  <c r="H6" i="16"/>
  <c r="P13" i="2"/>
  <c r="U12" i="2"/>
  <c r="Q12" i="2"/>
  <c r="P12" i="2"/>
  <c r="C22" i="16"/>
  <c r="D22" i="16"/>
  <c r="B21" i="16"/>
  <c r="B22" i="16"/>
  <c r="S3" i="2"/>
  <c r="S4" i="2"/>
  <c r="S5" i="2"/>
  <c r="S6" i="2"/>
  <c r="S7" i="2"/>
  <c r="S8" i="2"/>
  <c r="S9" i="2"/>
  <c r="S10" i="2"/>
  <c r="S11" i="2"/>
  <c r="R4" i="2"/>
  <c r="R5" i="2"/>
  <c r="R6" i="2"/>
  <c r="R7" i="2"/>
  <c r="R8" i="2"/>
  <c r="R9" i="2"/>
  <c r="R10" i="2"/>
  <c r="R11" i="2"/>
  <c r="R3" i="2"/>
  <c r="B4" i="2"/>
  <c r="C4" i="2"/>
  <c r="D4" i="2"/>
  <c r="B17" i="2"/>
  <c r="C17" i="2"/>
  <c r="D17" i="2"/>
  <c r="F4" i="2"/>
  <c r="P4" i="2"/>
  <c r="B5" i="2"/>
  <c r="C5" i="2"/>
  <c r="D5" i="2"/>
  <c r="B18" i="2"/>
  <c r="C18" i="2"/>
  <c r="D18" i="2"/>
  <c r="F5" i="2"/>
  <c r="P5" i="2"/>
  <c r="B6" i="2"/>
  <c r="C6" i="2"/>
  <c r="D6" i="2"/>
  <c r="B19" i="2"/>
  <c r="C19" i="2"/>
  <c r="D19" i="2"/>
  <c r="F6" i="2"/>
  <c r="P6" i="2"/>
  <c r="B7" i="2"/>
  <c r="C7" i="2"/>
  <c r="D7" i="2"/>
  <c r="B20" i="2"/>
  <c r="C20" i="2"/>
  <c r="D20" i="2"/>
  <c r="F7" i="2"/>
  <c r="P7" i="2"/>
  <c r="B8" i="2"/>
  <c r="C8" i="2"/>
  <c r="D8" i="2"/>
  <c r="B21" i="2"/>
  <c r="C21" i="2"/>
  <c r="D21" i="2"/>
  <c r="F8" i="2"/>
  <c r="P8" i="2"/>
  <c r="B9" i="2"/>
  <c r="C9" i="2"/>
  <c r="D9" i="2"/>
  <c r="B22" i="2"/>
  <c r="C22" i="2"/>
  <c r="D22" i="2"/>
  <c r="F9" i="2"/>
  <c r="P9" i="2"/>
  <c r="B10" i="2"/>
  <c r="C10" i="2"/>
  <c r="D10" i="2"/>
  <c r="B23" i="2"/>
  <c r="C23" i="2"/>
  <c r="D23" i="2"/>
  <c r="F10" i="2"/>
  <c r="P10" i="2"/>
  <c r="B11" i="2"/>
  <c r="C11" i="2"/>
  <c r="D11" i="2"/>
  <c r="B24" i="2"/>
  <c r="C24" i="2"/>
  <c r="D24" i="2"/>
  <c r="F11" i="2"/>
  <c r="P11" i="2"/>
  <c r="B3" i="2"/>
  <c r="C3" i="2"/>
  <c r="D3" i="2"/>
  <c r="B16" i="2"/>
  <c r="C16" i="2"/>
  <c r="D16" i="2"/>
  <c r="F3" i="2"/>
  <c r="P3" i="2"/>
  <c r="H4" i="2"/>
  <c r="Q4" i="2"/>
  <c r="H5" i="2"/>
  <c r="Q5" i="2"/>
  <c r="H6" i="2"/>
  <c r="Q6" i="2"/>
  <c r="H7" i="2"/>
  <c r="Q7" i="2"/>
  <c r="H8" i="2"/>
  <c r="Q8" i="2"/>
  <c r="H9" i="2"/>
  <c r="Q9" i="2"/>
  <c r="H10" i="2"/>
  <c r="Q10" i="2"/>
  <c r="H11" i="2"/>
  <c r="Q11" i="2"/>
  <c r="H3" i="2"/>
  <c r="Q3" i="2"/>
  <c r="J3" i="2"/>
  <c r="J4" i="2"/>
  <c r="J5" i="2"/>
  <c r="J6" i="2"/>
  <c r="J7" i="2"/>
  <c r="J8" i="2"/>
  <c r="J9" i="2"/>
  <c r="J10" i="2"/>
  <c r="J11" i="2"/>
  <c r="K3" i="2"/>
  <c r="K4" i="2"/>
  <c r="K5" i="2"/>
  <c r="K6" i="2"/>
  <c r="K7" i="2"/>
  <c r="K8" i="2"/>
  <c r="K9" i="2"/>
  <c r="K10" i="2"/>
  <c r="K11" i="2"/>
  <c r="D51" i="14"/>
  <c r="B51" i="14"/>
  <c r="H47" i="14"/>
  <c r="H46" i="14"/>
  <c r="H45" i="14"/>
  <c r="H44" i="14"/>
  <c r="G47" i="14"/>
  <c r="G46" i="14"/>
  <c r="G45" i="14"/>
  <c r="G44" i="14"/>
  <c r="F47" i="14"/>
  <c r="F46" i="14"/>
  <c r="F45" i="14"/>
  <c r="F44" i="14"/>
  <c r="E47" i="14"/>
  <c r="E46" i="14"/>
  <c r="E45" i="14"/>
  <c r="E44" i="14"/>
  <c r="D47" i="14"/>
  <c r="D46" i="14"/>
  <c r="D45" i="14"/>
  <c r="D44" i="14"/>
  <c r="C47" i="14"/>
  <c r="C46" i="14"/>
  <c r="C45" i="14"/>
  <c r="C44" i="14"/>
  <c r="B45" i="14"/>
  <c r="B47" i="14"/>
  <c r="B46" i="14"/>
  <c r="B44" i="14"/>
  <c r="B29" i="14"/>
  <c r="C29" i="14"/>
  <c r="D29" i="14"/>
  <c r="E29" i="14"/>
  <c r="F29" i="14"/>
  <c r="G29" i="14"/>
  <c r="H29" i="14"/>
  <c r="I29" i="14"/>
  <c r="B30" i="14"/>
  <c r="C30" i="14"/>
  <c r="D30" i="14"/>
  <c r="E30" i="14"/>
  <c r="F30" i="14"/>
  <c r="G30" i="14"/>
  <c r="H30" i="14"/>
  <c r="I30" i="14"/>
  <c r="B31" i="14"/>
  <c r="C31" i="14"/>
  <c r="D31" i="14"/>
  <c r="E31" i="14"/>
  <c r="F31" i="14"/>
  <c r="G31" i="14"/>
  <c r="H31" i="14"/>
  <c r="I31" i="14"/>
  <c r="B32" i="14"/>
  <c r="C32" i="14"/>
  <c r="D32" i="14"/>
  <c r="E32" i="14"/>
  <c r="F32" i="14"/>
  <c r="G32" i="14"/>
  <c r="H32" i="14"/>
  <c r="I32" i="14"/>
  <c r="B33" i="14"/>
  <c r="C33" i="14"/>
  <c r="D33" i="14"/>
  <c r="E33" i="14"/>
  <c r="I33" i="14"/>
  <c r="F33" i="14"/>
  <c r="G33" i="14"/>
  <c r="H33" i="14"/>
  <c r="B34" i="14"/>
  <c r="C34" i="14"/>
  <c r="D34" i="14"/>
  <c r="E34" i="14"/>
  <c r="F34" i="14"/>
  <c r="G34" i="14"/>
  <c r="H34" i="14"/>
  <c r="I34" i="14"/>
  <c r="B35" i="14"/>
  <c r="C35" i="14"/>
  <c r="D35" i="14"/>
  <c r="E35" i="14"/>
  <c r="F35" i="14"/>
  <c r="G35" i="14"/>
  <c r="H35" i="14"/>
  <c r="I35" i="14"/>
  <c r="B36" i="14"/>
  <c r="C36" i="14"/>
  <c r="D36" i="14"/>
  <c r="E36" i="14"/>
  <c r="F36" i="14"/>
  <c r="G36" i="14"/>
  <c r="H36" i="14"/>
  <c r="I36" i="14"/>
  <c r="E28" i="14"/>
  <c r="B28" i="14"/>
  <c r="H28" i="14"/>
  <c r="G28" i="14"/>
  <c r="F28" i="14"/>
  <c r="D28" i="14"/>
  <c r="C28" i="14"/>
  <c r="Q4" i="14"/>
  <c r="Q5" i="14"/>
  <c r="Q6" i="14"/>
  <c r="Q7" i="14"/>
  <c r="Q8" i="14"/>
  <c r="Q9" i="14"/>
  <c r="Q10" i="14"/>
  <c r="Q11" i="14"/>
  <c r="Q3" i="14"/>
  <c r="I28" i="14"/>
  <c r="P4" i="14"/>
  <c r="P5" i="14"/>
  <c r="P6" i="14"/>
  <c r="P7" i="14"/>
  <c r="P8" i="14"/>
  <c r="P9" i="14"/>
  <c r="P10" i="14"/>
  <c r="P11" i="14"/>
  <c r="P3" i="14"/>
  <c r="G16" i="8"/>
  <c r="N4" i="2"/>
  <c r="N5" i="2"/>
  <c r="N6" i="2"/>
  <c r="N7" i="2"/>
  <c r="N10" i="2"/>
  <c r="N11" i="2"/>
  <c r="N3" i="2"/>
  <c r="K20" i="1"/>
  <c r="H11" i="7"/>
  <c r="H11" i="6"/>
  <c r="I23" i="14"/>
  <c r="H23" i="14"/>
  <c r="G23" i="14"/>
  <c r="F23" i="14"/>
  <c r="D23" i="14"/>
  <c r="C23" i="14"/>
  <c r="B23" i="14"/>
  <c r="I22" i="14"/>
  <c r="H22" i="14"/>
  <c r="G22" i="14"/>
  <c r="F22" i="14"/>
  <c r="D22" i="14"/>
  <c r="C22" i="14"/>
  <c r="B22" i="14"/>
  <c r="I21" i="14"/>
  <c r="H21" i="14"/>
  <c r="G21" i="14"/>
  <c r="F21" i="14"/>
  <c r="D21" i="14"/>
  <c r="C21" i="14"/>
  <c r="B21" i="14"/>
  <c r="I20" i="14"/>
  <c r="H20" i="14"/>
  <c r="G20" i="14"/>
  <c r="F20" i="14"/>
  <c r="D20" i="14"/>
  <c r="C20" i="14"/>
  <c r="B20" i="14"/>
  <c r="I19" i="14"/>
  <c r="H19" i="14"/>
  <c r="G19" i="14"/>
  <c r="F19" i="14"/>
  <c r="D19" i="14"/>
  <c r="C19" i="14"/>
  <c r="B19" i="14"/>
  <c r="I18" i="14"/>
  <c r="H18" i="14"/>
  <c r="G18" i="14"/>
  <c r="F18" i="14"/>
  <c r="D18" i="14"/>
  <c r="C18" i="14"/>
  <c r="B18" i="14"/>
  <c r="I17" i="14"/>
  <c r="H17" i="14"/>
  <c r="G17" i="14"/>
  <c r="F17" i="14"/>
  <c r="D17" i="14"/>
  <c r="C17" i="14"/>
  <c r="B17" i="14"/>
  <c r="J17" i="14"/>
  <c r="I16" i="14"/>
  <c r="H16" i="14"/>
  <c r="G16" i="14"/>
  <c r="F16" i="14"/>
  <c r="D16" i="14"/>
  <c r="C16" i="14"/>
  <c r="B16" i="14"/>
  <c r="J16" i="14"/>
  <c r="B15" i="14"/>
  <c r="I15" i="14"/>
  <c r="H15" i="14"/>
  <c r="G15" i="14"/>
  <c r="F15" i="14"/>
  <c r="D15" i="14"/>
  <c r="C15" i="14"/>
  <c r="M11" i="14"/>
  <c r="L11" i="14"/>
  <c r="K11" i="14"/>
  <c r="J11" i="14"/>
  <c r="H11" i="14"/>
  <c r="G11" i="14"/>
  <c r="F11" i="14"/>
  <c r="E11" i="14"/>
  <c r="D11" i="14"/>
  <c r="C11" i="14"/>
  <c r="B11" i="14"/>
  <c r="M10" i="14"/>
  <c r="M4" i="14"/>
  <c r="L4" i="14"/>
  <c r="K4" i="14"/>
  <c r="J4" i="14"/>
  <c r="I4" i="14"/>
  <c r="H4" i="14"/>
  <c r="G4" i="14"/>
  <c r="F4" i="14"/>
  <c r="E4" i="14"/>
  <c r="D4" i="14"/>
  <c r="C4" i="14"/>
  <c r="B4" i="14"/>
  <c r="L10" i="14"/>
  <c r="K10" i="14"/>
  <c r="J10" i="14"/>
  <c r="I10" i="14"/>
  <c r="H10" i="14"/>
  <c r="G10" i="14"/>
  <c r="F10" i="14"/>
  <c r="E10" i="14"/>
  <c r="D10" i="14"/>
  <c r="C10" i="14"/>
  <c r="B10" i="14"/>
  <c r="M9" i="14"/>
  <c r="L9" i="14"/>
  <c r="K9" i="14"/>
  <c r="J9" i="14"/>
  <c r="I9" i="14"/>
  <c r="H9" i="14"/>
  <c r="G9" i="14"/>
  <c r="F9" i="14"/>
  <c r="E9" i="14"/>
  <c r="D9" i="14"/>
  <c r="C9" i="14"/>
  <c r="B9" i="14"/>
  <c r="M8" i="14"/>
  <c r="L8" i="14"/>
  <c r="K8" i="14"/>
  <c r="J8" i="14"/>
  <c r="I8" i="14"/>
  <c r="H8" i="14"/>
  <c r="G8" i="14"/>
  <c r="F8" i="14"/>
  <c r="E8" i="14"/>
  <c r="D8" i="14"/>
  <c r="C8" i="14"/>
  <c r="B8" i="14"/>
  <c r="M7" i="14"/>
  <c r="L7" i="14"/>
  <c r="K7" i="14"/>
  <c r="J7" i="14"/>
  <c r="I7" i="14"/>
  <c r="H7" i="14"/>
  <c r="G7" i="14"/>
  <c r="F7" i="14"/>
  <c r="E7" i="14"/>
  <c r="D7" i="14"/>
  <c r="C7" i="14"/>
  <c r="B7" i="14"/>
  <c r="M6" i="14"/>
  <c r="L6" i="14"/>
  <c r="K6" i="14"/>
  <c r="J6" i="14"/>
  <c r="I6" i="14"/>
  <c r="H6" i="14"/>
  <c r="G6" i="14"/>
  <c r="F6" i="14"/>
  <c r="E6" i="14"/>
  <c r="D6" i="14"/>
  <c r="C6" i="14"/>
  <c r="B6" i="14"/>
  <c r="M5" i="14"/>
  <c r="L5" i="14"/>
  <c r="K5" i="14"/>
  <c r="J5" i="14"/>
  <c r="I5" i="14"/>
  <c r="H5" i="14"/>
  <c r="G5" i="14"/>
  <c r="F5" i="14"/>
  <c r="E5" i="14"/>
  <c r="D5" i="14"/>
  <c r="C5" i="14"/>
  <c r="B5" i="14"/>
  <c r="M3" i="14"/>
  <c r="L3" i="14"/>
  <c r="K3" i="14"/>
  <c r="J3" i="14"/>
  <c r="I3" i="14"/>
  <c r="H3" i="14"/>
  <c r="G3" i="14"/>
  <c r="F3" i="14"/>
  <c r="E3" i="14"/>
  <c r="D3" i="14"/>
  <c r="C3" i="14"/>
  <c r="B3" i="14"/>
  <c r="J15" i="14"/>
  <c r="J18" i="14"/>
  <c r="J19" i="14"/>
  <c r="J20" i="14"/>
  <c r="J21" i="14"/>
  <c r="J22" i="14"/>
  <c r="J23" i="14"/>
  <c r="N3" i="14"/>
  <c r="N6" i="14"/>
  <c r="N7" i="14"/>
  <c r="N9" i="14"/>
  <c r="N10" i="14"/>
  <c r="N8" i="14"/>
  <c r="N4" i="14"/>
  <c r="N5" i="14"/>
  <c r="K14" i="7"/>
  <c r="K5" i="7"/>
  <c r="K4" i="7"/>
  <c r="K18" i="7"/>
  <c r="K17" i="7"/>
  <c r="K16" i="7"/>
  <c r="L10" i="7"/>
  <c r="K10" i="7"/>
  <c r="L9" i="7"/>
  <c r="K9" i="7"/>
  <c r="L8" i="7"/>
  <c r="K8" i="7"/>
  <c r="L7" i="7"/>
  <c r="L6" i="7"/>
  <c r="K6" i="7"/>
  <c r="L5" i="7"/>
  <c r="L4" i="7"/>
  <c r="K18" i="8"/>
  <c r="K17" i="8"/>
  <c r="K16" i="8"/>
  <c r="K14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K18" i="6"/>
  <c r="K17" i="6"/>
  <c r="K16" i="6"/>
  <c r="K14" i="6"/>
  <c r="K19" i="6"/>
  <c r="K20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K18" i="4"/>
  <c r="K17" i="4"/>
  <c r="K16" i="4"/>
  <c r="K14" i="4"/>
  <c r="K19" i="4"/>
  <c r="K20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K18" i="13"/>
  <c r="K17" i="13"/>
  <c r="K16" i="13"/>
  <c r="K15" i="13"/>
  <c r="K19" i="13"/>
  <c r="K20" i="13"/>
  <c r="K14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K18" i="12"/>
  <c r="K17" i="12"/>
  <c r="K16" i="12"/>
  <c r="K19" i="12"/>
  <c r="K20" i="12"/>
  <c r="K14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K18" i="11"/>
  <c r="K17" i="11"/>
  <c r="K16" i="11"/>
  <c r="K14" i="11"/>
  <c r="K7" i="11"/>
  <c r="L5" i="11"/>
  <c r="K4" i="11"/>
  <c r="K19" i="11"/>
  <c r="K20" i="11"/>
  <c r="L10" i="11"/>
  <c r="K10" i="11"/>
  <c r="L9" i="11"/>
  <c r="K9" i="11"/>
  <c r="L8" i="11"/>
  <c r="K8" i="11"/>
  <c r="L7" i="11"/>
  <c r="L6" i="11"/>
  <c r="K6" i="11"/>
  <c r="K5" i="11"/>
  <c r="L4" i="11"/>
  <c r="K18" i="10"/>
  <c r="K17" i="10"/>
  <c r="K16" i="10"/>
  <c r="K14" i="10"/>
  <c r="K18" i="1"/>
  <c r="K17" i="1"/>
  <c r="K16" i="1"/>
  <c r="K19" i="1"/>
  <c r="K14" i="1"/>
  <c r="L10" i="1"/>
  <c r="L9" i="1"/>
  <c r="K8" i="1"/>
  <c r="K7" i="1"/>
  <c r="K6" i="1"/>
  <c r="L4" i="1"/>
  <c r="K4" i="1"/>
  <c r="K10" i="1"/>
  <c r="K9" i="1"/>
  <c r="L8" i="1"/>
  <c r="L7" i="1"/>
  <c r="L6" i="1"/>
  <c r="L5" i="1"/>
  <c r="K5" i="1"/>
  <c r="G11" i="13"/>
  <c r="G12" i="13"/>
  <c r="K19" i="8"/>
  <c r="K20" i="8"/>
  <c r="K19" i="7"/>
  <c r="K20" i="7"/>
  <c r="K19" i="10"/>
  <c r="K20" i="10"/>
  <c r="G6" i="7"/>
  <c r="G7" i="7"/>
  <c r="L4" i="10"/>
  <c r="L10" i="10"/>
  <c r="K10" i="10"/>
  <c r="L9" i="10"/>
  <c r="K9" i="10"/>
  <c r="L8" i="10"/>
  <c r="K8" i="10"/>
  <c r="L7" i="10"/>
  <c r="K7" i="10"/>
  <c r="L6" i="10"/>
  <c r="K6" i="10"/>
  <c r="L5" i="10"/>
  <c r="K5" i="10"/>
  <c r="K4" i="10"/>
  <c r="G7" i="9"/>
  <c r="G8" i="6"/>
  <c r="G8" i="4"/>
  <c r="H8" i="11"/>
  <c r="G8" i="11"/>
  <c r="G8" i="10"/>
  <c r="G8" i="1"/>
  <c r="G6" i="6"/>
  <c r="G4" i="10"/>
  <c r="G4" i="11"/>
  <c r="G11" i="11"/>
  <c r="D29" i="2"/>
  <c r="C29" i="2"/>
  <c r="B29" i="2"/>
  <c r="I12" i="2"/>
  <c r="D25" i="2"/>
  <c r="C25" i="2"/>
  <c r="B25" i="2"/>
  <c r="B53" i="13"/>
  <c r="B25" i="13"/>
  <c r="G15" i="13"/>
  <c r="B40" i="13"/>
  <c r="B24" i="13"/>
  <c r="G14" i="13"/>
  <c r="H17" i="13"/>
  <c r="G16" i="13"/>
  <c r="H13" i="13"/>
  <c r="G10" i="13"/>
  <c r="G9" i="13"/>
  <c r="H8" i="13"/>
  <c r="G7" i="13"/>
  <c r="G6" i="13"/>
  <c r="G5" i="13"/>
  <c r="G4" i="13"/>
  <c r="G3" i="13"/>
  <c r="B53" i="12"/>
  <c r="B25" i="12"/>
  <c r="G15" i="12"/>
  <c r="B40" i="12"/>
  <c r="B24" i="12"/>
  <c r="G14" i="12"/>
  <c r="H17" i="12"/>
  <c r="G16" i="12"/>
  <c r="H13" i="12"/>
  <c r="G12" i="12"/>
  <c r="G11" i="12"/>
  <c r="G10" i="12"/>
  <c r="G9" i="12"/>
  <c r="H8" i="12"/>
  <c r="G7" i="12"/>
  <c r="G6" i="12"/>
  <c r="G8" i="12"/>
  <c r="G5" i="12"/>
  <c r="G4" i="12"/>
  <c r="G3" i="12"/>
  <c r="G15" i="11"/>
  <c r="B43" i="11"/>
  <c r="B35" i="11"/>
  <c r="B25" i="11"/>
  <c r="B24" i="11"/>
  <c r="H17" i="11"/>
  <c r="G16" i="11"/>
  <c r="G14" i="11"/>
  <c r="G12" i="11"/>
  <c r="H10" i="11"/>
  <c r="H13" i="11"/>
  <c r="G9" i="11"/>
  <c r="H7" i="11"/>
  <c r="G6" i="11"/>
  <c r="H5" i="11"/>
  <c r="G5" i="11"/>
  <c r="G3" i="11"/>
  <c r="B43" i="10"/>
  <c r="B35" i="10"/>
  <c r="B25" i="10"/>
  <c r="B24" i="10"/>
  <c r="H17" i="10"/>
  <c r="G16" i="10"/>
  <c r="G14" i="10"/>
  <c r="G17" i="10"/>
  <c r="G12" i="10"/>
  <c r="G11" i="10"/>
  <c r="H10" i="10"/>
  <c r="H13" i="10"/>
  <c r="G9" i="10"/>
  <c r="G13" i="10"/>
  <c r="H7" i="10"/>
  <c r="G6" i="10"/>
  <c r="H5" i="10"/>
  <c r="G5" i="10"/>
  <c r="G3" i="10"/>
  <c r="G8" i="13"/>
  <c r="G17" i="13"/>
  <c r="G13" i="13"/>
  <c r="G13" i="12"/>
  <c r="G13" i="11"/>
  <c r="H8" i="10"/>
  <c r="G17" i="12"/>
  <c r="G17" i="11"/>
  <c r="I7" i="9"/>
  <c r="H7" i="9"/>
  <c r="H9" i="9"/>
  <c r="H6" i="9"/>
  <c r="H5" i="9"/>
  <c r="H4" i="9"/>
  <c r="I11" i="9"/>
  <c r="G11" i="9"/>
  <c r="I12" i="9"/>
  <c r="I16" i="9"/>
  <c r="G14" i="9"/>
  <c r="I10" i="9"/>
  <c r="G10" i="9"/>
  <c r="I3" i="9"/>
  <c r="G16" i="9"/>
  <c r="I17" i="9"/>
  <c r="B34" i="9"/>
  <c r="B36" i="9"/>
  <c r="B26" i="9"/>
  <c r="G13" i="9"/>
  <c r="G17" i="9"/>
  <c r="B44" i="9"/>
  <c r="B27" i="9"/>
  <c r="H17" i="9"/>
  <c r="H12" i="9"/>
  <c r="G8" i="9"/>
  <c r="G3" i="9"/>
  <c r="H7" i="1"/>
  <c r="G5" i="1"/>
  <c r="H5" i="1"/>
  <c r="H4" i="1"/>
  <c r="G4" i="1"/>
  <c r="G12" i="9"/>
  <c r="B53" i="8"/>
  <c r="B40" i="8"/>
  <c r="B24" i="8"/>
  <c r="G14" i="8"/>
  <c r="B25" i="8"/>
  <c r="G15" i="8"/>
  <c r="H17" i="8"/>
  <c r="H13" i="8"/>
  <c r="G12" i="8"/>
  <c r="G11" i="8"/>
  <c r="G10" i="8"/>
  <c r="G9" i="8"/>
  <c r="H8" i="8"/>
  <c r="G7" i="8"/>
  <c r="G6" i="8"/>
  <c r="G5" i="8"/>
  <c r="G4" i="8"/>
  <c r="G3" i="8"/>
  <c r="B53" i="7"/>
  <c r="B40" i="7"/>
  <c r="B25" i="7"/>
  <c r="B24" i="7"/>
  <c r="G14" i="7"/>
  <c r="G17" i="7"/>
  <c r="H17" i="7"/>
  <c r="G16" i="7"/>
  <c r="G15" i="7"/>
  <c r="H13" i="7"/>
  <c r="G12" i="7"/>
  <c r="G10" i="7"/>
  <c r="G9" i="7"/>
  <c r="H8" i="7"/>
  <c r="G5" i="7"/>
  <c r="G4" i="7"/>
  <c r="G3" i="7"/>
  <c r="B53" i="6"/>
  <c r="B40" i="6"/>
  <c r="B25" i="6"/>
  <c r="B24" i="6"/>
  <c r="G14" i="6"/>
  <c r="G17" i="6"/>
  <c r="H17" i="6"/>
  <c r="G16" i="6"/>
  <c r="G15" i="6"/>
  <c r="H13" i="6"/>
  <c r="G12" i="6"/>
  <c r="G10" i="6"/>
  <c r="G9" i="6"/>
  <c r="H8" i="6"/>
  <c r="G7" i="6"/>
  <c r="G5" i="6"/>
  <c r="G4" i="6"/>
  <c r="G3" i="6"/>
  <c r="G3" i="1"/>
  <c r="I11" i="14"/>
  <c r="N11" i="14"/>
  <c r="K7" i="7"/>
  <c r="G8" i="8"/>
  <c r="G8" i="7"/>
  <c r="G17" i="8"/>
  <c r="G13" i="7"/>
  <c r="G13" i="8"/>
  <c r="G13" i="6"/>
  <c r="G10" i="2"/>
  <c r="G11" i="2"/>
  <c r="G4" i="2"/>
  <c r="G5" i="2"/>
  <c r="G6" i="2"/>
  <c r="G7" i="2"/>
  <c r="N8" i="2"/>
  <c r="G8" i="2"/>
  <c r="G10" i="4"/>
  <c r="G7" i="4"/>
  <c r="H17" i="1"/>
  <c r="G16" i="1"/>
  <c r="H17" i="4"/>
  <c r="G16" i="4"/>
  <c r="B53" i="4"/>
  <c r="B25" i="4"/>
  <c r="G15" i="4"/>
  <c r="B40" i="4"/>
  <c r="B24" i="4"/>
  <c r="G14" i="4"/>
  <c r="G12" i="4"/>
  <c r="G11" i="4"/>
  <c r="H13" i="4"/>
  <c r="G9" i="4"/>
  <c r="H8" i="4"/>
  <c r="G6" i="4"/>
  <c r="G5" i="4"/>
  <c r="G4" i="4"/>
  <c r="G3" i="4"/>
  <c r="H10" i="1"/>
  <c r="G6" i="1"/>
  <c r="G12" i="1"/>
  <c r="G11" i="1"/>
  <c r="B35" i="1"/>
  <c r="B24" i="1"/>
  <c r="G14" i="1"/>
  <c r="B43" i="1"/>
  <c r="B25" i="1"/>
  <c r="G17" i="1"/>
  <c r="G17" i="4"/>
  <c r="G13" i="4"/>
  <c r="G9" i="2"/>
  <c r="N9" i="2"/>
  <c r="G9" i="1"/>
  <c r="H13" i="1"/>
  <c r="H8" i="1"/>
  <c r="H12" i="2"/>
  <c r="G13" i="1"/>
  <c r="F12" i="2"/>
  <c r="G3" i="2"/>
  <c r="G12" i="2"/>
</calcChain>
</file>

<file path=xl/sharedStrings.xml><?xml version="1.0" encoding="utf-8"?>
<sst xmlns="http://schemas.openxmlformats.org/spreadsheetml/2006/main" count="1235" uniqueCount="184">
  <si>
    <t>Comunidad</t>
  </si>
  <si>
    <t># reservas</t>
  </si>
  <si>
    <t># ha</t>
  </si>
  <si>
    <t>Equipo</t>
  </si>
  <si>
    <t>COBI</t>
  </si>
  <si>
    <t>Buzos</t>
  </si>
  <si>
    <t>Gasolina COBI</t>
  </si>
  <si>
    <t>Gasolina embarcaciones</t>
  </si>
  <si>
    <t>Hospedaje COBI</t>
  </si>
  <si>
    <t>Alimentos COBI</t>
  </si>
  <si>
    <t>El Rosario</t>
  </si>
  <si>
    <t>Servicio compresor</t>
  </si>
  <si>
    <t>Salarios y embarcaciones</t>
  </si>
  <si>
    <t>Subtotal</t>
  </si>
  <si>
    <t># de buzos monitores</t>
  </si>
  <si>
    <t># de capitanes</t>
  </si>
  <si>
    <t>$ pago buzo</t>
  </si>
  <si>
    <t>$ gasolina</t>
  </si>
  <si>
    <t># litros gasolina para camioneta</t>
  </si>
  <si>
    <t># de embarcaciones utilizadas</t>
  </si>
  <si>
    <t># personas de apoyo</t>
  </si>
  <si>
    <t>$ personas de apoyo</t>
  </si>
  <si>
    <t>Notas</t>
  </si>
  <si>
    <t>Numero de reservas en la comunidad</t>
  </si>
  <si>
    <t>Numero de buzos monitoreos</t>
  </si>
  <si>
    <t>Numero de capitanes</t>
  </si>
  <si>
    <t>Numero de embarcaciones</t>
  </si>
  <si>
    <t>Numero de personas que apoyen las actividades, ej. llenando tanques o entrando datos</t>
  </si>
  <si>
    <t>Litros de gasolina para la camioneta de COBI, en total</t>
  </si>
  <si>
    <t>$ promedio de la comida para COBI</t>
  </si>
  <si>
    <t>Costo promedio de la comida para COBI</t>
  </si>
  <si>
    <t>Pago a personas de apoyo</t>
  </si>
  <si>
    <t>Precio de la gasolina</t>
  </si>
  <si>
    <t>Pago al buzo monitor</t>
  </si>
  <si>
    <t>Salario diario de jefe de proyecto</t>
  </si>
  <si>
    <t>Costo de seguro DAN World</t>
  </si>
  <si>
    <t>$ seguro de buceo buzos monitores</t>
  </si>
  <si>
    <t>Filtro de compresor</t>
  </si>
  <si>
    <t>Hojas de monitoreo</t>
  </si>
  <si>
    <t>Isla Natividad</t>
  </si>
  <si>
    <t>La Bocana</t>
  </si>
  <si>
    <t>Puerto Libertad</t>
  </si>
  <si>
    <t>Isla San Pedro Nolasco</t>
  </si>
  <si>
    <t>Punta Allen</t>
  </si>
  <si>
    <t>María Elena</t>
  </si>
  <si>
    <t>Punta Herrero</t>
  </si>
  <si>
    <t>Banco Chinchorro</t>
  </si>
  <si>
    <t>Servicio a tanques</t>
  </si>
  <si>
    <t>Servicio equipo de buceo</t>
  </si>
  <si>
    <t>Costo anual por comunidad</t>
  </si>
  <si>
    <t># staff de COBI</t>
  </si>
  <si>
    <t>Numero de staff de COBI coordinando actividades</t>
  </si>
  <si>
    <t>Salarios COBI</t>
  </si>
  <si>
    <t>Personas de apoyo</t>
  </si>
  <si>
    <t>Insumos para el monitoreo</t>
  </si>
  <si>
    <t>$ equipo (insumos) de monitoreo</t>
  </si>
  <si>
    <t>Insumos de monitoreo</t>
  </si>
  <si>
    <t>Notas. Leer primero</t>
  </si>
  <si>
    <t xml:space="preserve">Si hay costos compartidos entre COBI y la comunidad, se pueden dividir en la tabla. </t>
  </si>
  <si>
    <t>$/reserva</t>
  </si>
  <si>
    <t>$/ha</t>
  </si>
  <si>
    <t>No se consideran los costos administrativos o indirectos de COBI o la cooperativa.</t>
  </si>
  <si>
    <t>Seguros</t>
  </si>
  <si>
    <t>Servicio camioneta</t>
  </si>
  <si>
    <t>Impresiones</t>
  </si>
  <si>
    <t>Transectos</t>
  </si>
  <si>
    <t># Cooperativas</t>
  </si>
  <si>
    <t># sitios con sensor</t>
  </si>
  <si>
    <t>Consumibles sensores</t>
  </si>
  <si>
    <t>Compra sensores</t>
  </si>
  <si>
    <t>Comprar de MiniDot</t>
  </si>
  <si>
    <t>Salarios COBI/Stanford</t>
  </si>
  <si>
    <t>cuanto gana Fio/sus asistentes</t>
  </si>
  <si>
    <t>Hospedaje</t>
  </si>
  <si>
    <t>Seguros de buceo</t>
  </si>
  <si>
    <t>Universidades</t>
  </si>
  <si>
    <t>$ compra de sensores MiniDot</t>
  </si>
  <si>
    <t>$ compra de sensores CTD</t>
  </si>
  <si>
    <t>Comprar de CTD</t>
  </si>
  <si>
    <t>ISPN</t>
  </si>
  <si>
    <t>Esta herramienta se usa para calcular costos de inversión en el monitoreo de reservas marinas por parte de COBI y la comunidad</t>
  </si>
  <si>
    <t>Se debe considerar que calcular el costo por reserva o costo por hectárea no es lo mas adecuado ya que la relación costo: área o costo: reserva no es lineal</t>
  </si>
  <si>
    <r>
      <t xml:space="preserve">En cada ficha por comunidad, se debe modificar la información en la </t>
    </r>
    <r>
      <rPr>
        <b/>
        <sz val="11"/>
        <color theme="1"/>
        <rFont val="Calibri"/>
        <family val="2"/>
        <scheme val="minor"/>
      </rPr>
      <t>columna B</t>
    </r>
    <r>
      <rPr>
        <sz val="11"/>
        <color theme="1"/>
        <rFont val="Calibri"/>
        <family val="2"/>
        <scheme val="minor"/>
      </rPr>
      <t>.</t>
    </r>
  </si>
  <si>
    <t>Los insumos de monitoreo y costos de mantenimiento de equipo se deben estimar por comunidad. Ojo: es importante estimar los costos de solo esa comunidad, por ejemplo, si hay un compresor que se usa en tres comunidades, se debe dividir el costo de mantenimiento en tres.</t>
  </si>
  <si>
    <t>Por el momento, solo estamos considerando los costos de monitoreo. No están incluidos los costos de establecimiento, ni análisis de datos.</t>
  </si>
  <si>
    <t>Todos los costos están en pesos mexicano, con IVA</t>
  </si>
  <si>
    <t>Viáticos</t>
  </si>
  <si>
    <t>Red Oceanográfica</t>
  </si>
  <si>
    <t>Inversión Terceros</t>
  </si>
  <si>
    <t>Inversión COBI</t>
  </si>
  <si>
    <t>Inversión total para monitoreo</t>
  </si>
  <si>
    <t>Inversión Comunidad</t>
  </si>
  <si>
    <t>$/día jefe de proyecto COBI</t>
  </si>
  <si>
    <t>$/día asistente de proyecto COBI</t>
  </si>
  <si>
    <t>Salario diario de asistente de proyecto</t>
  </si>
  <si>
    <t>Total de equipo de monitoreo comprado para la salida, desglosar abajo</t>
  </si>
  <si>
    <t>$ mantenimiento de equipo</t>
  </si>
  <si>
    <t>Total de costos de mantenimiento de equipo para el monitoreo, desglosar abajo</t>
  </si>
  <si>
    <t>Aceite compresor</t>
  </si>
  <si>
    <t>Mantenimiento de equipo</t>
  </si>
  <si>
    <t>Inversión</t>
  </si>
  <si>
    <t>Numero de hectáreas en total</t>
  </si>
  <si>
    <t># días de monitoreo</t>
  </si>
  <si>
    <t>Numero de días con actividades para los cuales los pescadores reciben un pago</t>
  </si>
  <si>
    <t># días de staff COBI en campo</t>
  </si>
  <si>
    <t>Numero de días que COBI este fuera de la oficina</t>
  </si>
  <si>
    <t>Capitán</t>
  </si>
  <si>
    <t>Renta embarcación</t>
  </si>
  <si>
    <t># litros gasolina para embarcación por día</t>
  </si>
  <si>
    <t>Litros de gasolina por embarcación por día</t>
  </si>
  <si>
    <t># comidas por día staff</t>
  </si>
  <si>
    <t>Numero de comidas al día para el staff de COBI</t>
  </si>
  <si>
    <t>$ pago capitán</t>
  </si>
  <si>
    <t>Pago al capitán</t>
  </si>
  <si>
    <t>$ pago embarcación</t>
  </si>
  <si>
    <t>Pago de renta de embarcación. Sin capitán/gas</t>
  </si>
  <si>
    <t>$ acomodación</t>
  </si>
  <si>
    <t>Costo de acomodación para staff de COBI</t>
  </si>
  <si>
    <t>Pago de renta de embarcación.</t>
  </si>
  <si>
    <t>$/día Stanford</t>
  </si>
  <si>
    <t>Salario diario promedio de técnico de Stanford</t>
  </si>
  <si>
    <t># días de staff Stanford en campo</t>
  </si>
  <si>
    <t>Numero de días que Stanford este fuera de la oficina</t>
  </si>
  <si>
    <t>Salarios</t>
  </si>
  <si>
    <t>Gasolina</t>
  </si>
  <si>
    <t>Alimentos</t>
  </si>
  <si>
    <t>Personas de apoyo (barco)</t>
  </si>
  <si>
    <t>100% comunidad</t>
  </si>
  <si>
    <t>Total</t>
  </si>
  <si>
    <t>Total USD</t>
  </si>
  <si>
    <t>USD =</t>
  </si>
  <si>
    <t>Renta tanques</t>
  </si>
  <si>
    <t xml:space="preserve">$ promedio de la comida </t>
  </si>
  <si>
    <t>Costo promedio de la comida para COBI y buzos</t>
  </si>
  <si>
    <t>Costo de acomodación para staff de COBI y buzos</t>
  </si>
  <si>
    <t>Embarcaciones</t>
  </si>
  <si>
    <t>Desglose situación actual</t>
  </si>
  <si>
    <t>Costo de acomodación para staff de COBI y mantenimiento de estación de campo</t>
  </si>
  <si>
    <t>Hoja de costos totales, con participacion de COBI</t>
  </si>
  <si>
    <t>Hoja de costos totales si la comunidad estuveria 100% responsable de financiar la actividad</t>
  </si>
  <si>
    <t>% inversion</t>
  </si>
  <si>
    <t>Con COBI</t>
  </si>
  <si>
    <t>Sin COBI</t>
  </si>
  <si>
    <t>Dias</t>
  </si>
  <si>
    <t>Costo por dia</t>
  </si>
  <si>
    <t>Embarcacion</t>
  </si>
  <si>
    <t>Viaticos</t>
  </si>
  <si>
    <t>Insumos</t>
  </si>
  <si>
    <t>Mantenimiento</t>
  </si>
  <si>
    <t>$/res</t>
  </si>
  <si>
    <t>NGO</t>
  </si>
  <si>
    <t>Community</t>
  </si>
  <si>
    <t>Salaries</t>
  </si>
  <si>
    <t>Boats</t>
  </si>
  <si>
    <t>Fuel</t>
  </si>
  <si>
    <t>Travel</t>
  </si>
  <si>
    <t>Material</t>
  </si>
  <si>
    <t>Insurance</t>
  </si>
  <si>
    <t>Maintenance</t>
  </si>
  <si>
    <t>With NGO</t>
  </si>
  <si>
    <t>Without NGO</t>
  </si>
  <si>
    <t>Day costs USD</t>
  </si>
  <si>
    <t>Calcs</t>
  </si>
  <si>
    <t>Average day cost</t>
  </si>
  <si>
    <t>Rosario</t>
  </si>
  <si>
    <t>Natividad</t>
  </si>
  <si>
    <t>Days</t>
  </si>
  <si>
    <t>Corredor San Cosme</t>
  </si>
  <si>
    <t>Golfo Ulloa</t>
  </si>
  <si>
    <t>Akumal</t>
  </si>
  <si>
    <t>Sinaloa</t>
  </si>
  <si>
    <t>Bahia SIN</t>
  </si>
  <si>
    <t>Total days</t>
  </si>
  <si>
    <t>Total cost</t>
  </si>
  <si>
    <t>Yucatan</t>
  </si>
  <si>
    <t>Cancun</t>
  </si>
  <si>
    <t>Average</t>
  </si>
  <si>
    <t>High</t>
  </si>
  <si>
    <t>Low</t>
  </si>
  <si>
    <t>CONAPESCA</t>
  </si>
  <si>
    <t>subsidios CONAPESCA 2013-2018</t>
  </si>
  <si>
    <t>p/year</t>
  </si>
  <si>
    <t>USD</t>
  </si>
  <si>
    <t>$/day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</si>
</sst>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4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0" fillId="3" borderId="0" xfId="0" applyFill="1"/>
    <xf numFmtId="164" fontId="0" fillId="3" borderId="0" xfId="1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/>
    <xf numFmtId="164" fontId="0" fillId="3" borderId="1" xfId="1" applyNumberFormat="1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2" borderId="0" xfId="0" applyFill="1" applyBorder="1"/>
    <xf numFmtId="0" fontId="2" fillId="2" borderId="3" xfId="0" applyFont="1" applyFill="1" applyBorder="1"/>
    <xf numFmtId="0" fontId="0" fillId="2" borderId="4" xfId="0" applyFill="1" applyBorder="1"/>
    <xf numFmtId="0" fontId="2" fillId="2" borderId="5" xfId="0" applyFont="1" applyFill="1" applyBorder="1"/>
    <xf numFmtId="0" fontId="0" fillId="2" borderId="2" xfId="0" applyFill="1" applyBorder="1"/>
    <xf numFmtId="44" fontId="0" fillId="2" borderId="2" xfId="1" applyFont="1" applyFill="1" applyBorder="1"/>
    <xf numFmtId="44" fontId="0" fillId="2" borderId="6" xfId="1" applyFont="1" applyFill="1" applyBorder="1"/>
    <xf numFmtId="0" fontId="0" fillId="2" borderId="6" xfId="0" applyFill="1" applyBorder="1"/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164" fontId="0" fillId="2" borderId="2" xfId="1" applyNumberFormat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164" fontId="0" fillId="0" borderId="2" xfId="1" applyNumberFormat="1" applyFont="1" applyFill="1" applyBorder="1" applyAlignment="1">
      <alignment horizontal="center"/>
    </xf>
    <xf numFmtId="0" fontId="0" fillId="2" borderId="17" xfId="0" applyFill="1" applyBorder="1"/>
    <xf numFmtId="0" fontId="2" fillId="5" borderId="2" xfId="0" applyFont="1" applyFill="1" applyBorder="1"/>
    <xf numFmtId="44" fontId="2" fillId="5" borderId="2" xfId="1" applyFont="1" applyFill="1" applyBorder="1"/>
    <xf numFmtId="44" fontId="2" fillId="5" borderId="6" xfId="1" applyFont="1" applyFill="1" applyBorder="1"/>
    <xf numFmtId="0" fontId="2" fillId="5" borderId="7" xfId="0" applyFont="1" applyFill="1" applyBorder="1"/>
    <xf numFmtId="164" fontId="2" fillId="5" borderId="7" xfId="1" applyNumberFormat="1" applyFont="1" applyFill="1" applyBorder="1" applyAlignment="1">
      <alignment horizontal="center"/>
    </xf>
    <xf numFmtId="44" fontId="2" fillId="5" borderId="8" xfId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164" fontId="2" fillId="5" borderId="7" xfId="1" applyNumberFormat="1" applyFont="1" applyFill="1" applyBorder="1"/>
    <xf numFmtId="44" fontId="2" fillId="5" borderId="8" xfId="1" applyFont="1" applyFill="1" applyBorder="1"/>
    <xf numFmtId="44" fontId="0" fillId="3" borderId="2" xfId="0" applyNumberFormat="1" applyFill="1" applyBorder="1"/>
    <xf numFmtId="0" fontId="0" fillId="0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wrapText="1"/>
    </xf>
    <xf numFmtId="44" fontId="0" fillId="2" borderId="18" xfId="1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44" fontId="0" fillId="2" borderId="21" xfId="1" applyFont="1" applyFill="1" applyBorder="1"/>
    <xf numFmtId="44" fontId="0" fillId="2" borderId="22" xfId="1" applyFont="1" applyFill="1" applyBorder="1"/>
    <xf numFmtId="44" fontId="2" fillId="5" borderId="22" xfId="1" applyFont="1" applyFill="1" applyBorder="1"/>
    <xf numFmtId="44" fontId="0" fillId="2" borderId="22" xfId="1" applyFont="1" applyFill="1" applyBorder="1" applyAlignment="1">
      <alignment horizontal="center"/>
    </xf>
    <xf numFmtId="164" fontId="0" fillId="2" borderId="21" xfId="0" applyNumberFormat="1" applyFill="1" applyBorder="1" applyAlignment="1">
      <alignment horizontal="center"/>
    </xf>
    <xf numFmtId="44" fontId="2" fillId="5" borderId="23" xfId="1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44" fontId="0" fillId="2" borderId="2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4" fontId="2" fillId="5" borderId="7" xfId="1" applyFont="1" applyFill="1" applyBorder="1"/>
    <xf numFmtId="0" fontId="0" fillId="6" borderId="0" xfId="0" applyFill="1"/>
    <xf numFmtId="44" fontId="0" fillId="2" borderId="26" xfId="1" applyFont="1" applyFill="1" applyBorder="1" applyAlignment="1">
      <alignment horizontal="center"/>
    </xf>
    <xf numFmtId="44" fontId="5" fillId="2" borderId="2" xfId="1" applyFont="1" applyFill="1" applyBorder="1"/>
    <xf numFmtId="44" fontId="6" fillId="5" borderId="2" xfId="1" applyFont="1" applyFill="1" applyBorder="1"/>
    <xf numFmtId="0" fontId="4" fillId="0" borderId="0" xfId="0" applyFont="1" applyFill="1" applyAlignment="1">
      <alignment wrapText="1"/>
    </xf>
    <xf numFmtId="164" fontId="0" fillId="6" borderId="2" xfId="1" applyNumberFormat="1" applyFont="1" applyFill="1" applyBorder="1" applyAlignment="1">
      <alignment horizontal="center"/>
    </xf>
    <xf numFmtId="44" fontId="2" fillId="0" borderId="0" xfId="0" applyNumberFormat="1" applyFont="1"/>
    <xf numFmtId="0" fontId="7" fillId="7" borderId="0" xfId="0" applyFont="1" applyFill="1"/>
    <xf numFmtId="0" fontId="3" fillId="7" borderId="0" xfId="0" applyFont="1" applyFill="1"/>
    <xf numFmtId="44" fontId="7" fillId="7" borderId="0" xfId="0" applyNumberFormat="1" applyFont="1" applyFill="1"/>
    <xf numFmtId="164" fontId="7" fillId="7" borderId="0" xfId="0" applyNumberFormat="1" applyFont="1" applyFill="1"/>
    <xf numFmtId="164" fontId="3" fillId="7" borderId="0" xfId="0" applyNumberFormat="1" applyFont="1" applyFill="1"/>
    <xf numFmtId="164" fontId="0" fillId="2" borderId="2" xfId="1" applyNumberFormat="1" applyFont="1" applyFill="1" applyBorder="1"/>
    <xf numFmtId="44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Border="1" applyAlignment="1">
      <alignment wrapText="1"/>
    </xf>
    <xf numFmtId="9" fontId="0" fillId="0" borderId="0" xfId="2" applyFont="1"/>
    <xf numFmtId="44" fontId="0" fillId="0" borderId="0" xfId="1" applyFont="1" applyAlignment="1">
      <alignment wrapText="1"/>
    </xf>
    <xf numFmtId="6" fontId="0" fillId="0" borderId="0" xfId="0" applyNumberFormat="1"/>
    <xf numFmtId="6" fontId="2" fillId="0" borderId="0" xfId="0" applyNumberFormat="1" applyFont="1"/>
    <xf numFmtId="43" fontId="0" fillId="0" borderId="0" xfId="3" applyFont="1"/>
    <xf numFmtId="43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Reservas</a:t>
            </a:r>
            <a:r>
              <a:rPr lang="es-MX" baseline="0"/>
              <a:t> Marinas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Resumen!$P$2</c:f>
              <c:strCache>
                <c:ptCount val="1"/>
                <c:pt idx="0">
                  <c:v>NGO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Resumen!$A$3:$A$11</c:f>
              <c:strCache>
                <c:ptCount val="9"/>
                <c:pt idx="0">
                  <c:v>El Rosario</c:v>
                </c:pt>
                <c:pt idx="1">
                  <c:v>Isla Natividad</c:v>
                </c:pt>
                <c:pt idx="2">
                  <c:v>La Bocana</c:v>
                </c:pt>
                <c:pt idx="3">
                  <c:v>Puerto Libertad</c:v>
                </c:pt>
                <c:pt idx="4">
                  <c:v>Isla San Pedro Nolasco</c:v>
                </c:pt>
                <c:pt idx="5">
                  <c:v>Punta Allen</c:v>
                </c:pt>
                <c:pt idx="6">
                  <c:v>María Elena</c:v>
                </c:pt>
                <c:pt idx="7">
                  <c:v>Punta Herrero</c:v>
                </c:pt>
                <c:pt idx="8">
                  <c:v>Banco Chinchorro</c:v>
                </c:pt>
              </c:strCache>
            </c:strRef>
          </c:cat>
          <c:val>
            <c:numRef>
              <c:f>Resumen!$P$3:$P$11</c:f>
              <c:numCache>
                <c:formatCode>_("$"* #,##0.00_);_("$"* \(#,##0.00\);_("$"* "-"??_);_(@_)</c:formatCode>
                <c:ptCount val="9"/>
                <c:pt idx="0">
                  <c:v>24130.21052631579</c:v>
                </c:pt>
                <c:pt idx="1">
                  <c:v>16099.684210526315</c:v>
                </c:pt>
                <c:pt idx="2">
                  <c:v>11202.842105263158</c:v>
                </c:pt>
                <c:pt idx="3">
                  <c:v>5564.3263157894735</c:v>
                </c:pt>
                <c:pt idx="4">
                  <c:v>8208</c:v>
                </c:pt>
                <c:pt idx="5">
                  <c:v>19043.052631578947</c:v>
                </c:pt>
                <c:pt idx="6">
                  <c:v>7674.7368421052633</c:v>
                </c:pt>
                <c:pt idx="7">
                  <c:v>12145.578947368422</c:v>
                </c:pt>
                <c:pt idx="8">
                  <c:v>14913.684210526315</c:v>
                </c:pt>
              </c:numCache>
            </c:numRef>
          </c:val>
        </c:ser>
        <c:ser>
          <c:idx val="1"/>
          <c:order val="1"/>
          <c:tx>
            <c:strRef>
              <c:f>Resumen!$Q$2</c:f>
              <c:strCache>
                <c:ptCount val="1"/>
                <c:pt idx="0">
                  <c:v>Community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Resumen!$A$3:$A$11</c:f>
              <c:strCache>
                <c:ptCount val="9"/>
                <c:pt idx="0">
                  <c:v>El Rosario</c:v>
                </c:pt>
                <c:pt idx="1">
                  <c:v>Isla Natividad</c:v>
                </c:pt>
                <c:pt idx="2">
                  <c:v>La Bocana</c:v>
                </c:pt>
                <c:pt idx="3">
                  <c:v>Puerto Libertad</c:v>
                </c:pt>
                <c:pt idx="4">
                  <c:v>Isla San Pedro Nolasco</c:v>
                </c:pt>
                <c:pt idx="5">
                  <c:v>Punta Allen</c:v>
                </c:pt>
                <c:pt idx="6">
                  <c:v>María Elena</c:v>
                </c:pt>
                <c:pt idx="7">
                  <c:v>Punta Herrero</c:v>
                </c:pt>
                <c:pt idx="8">
                  <c:v>Banco Chinchorro</c:v>
                </c:pt>
              </c:strCache>
            </c:strRef>
          </c:cat>
          <c:val>
            <c:numRef>
              <c:f>Resumen!$Q$3:$Q$11</c:f>
              <c:numCache>
                <c:formatCode>_("$"* #,##0.00_);_("$"* \(#,##0.00\);_("$"* "-"??_);_(@_)</c:formatCode>
                <c:ptCount val="9"/>
                <c:pt idx="0">
                  <c:v>10885.684210526315</c:v>
                </c:pt>
                <c:pt idx="1">
                  <c:v>5083.0526315789475</c:v>
                </c:pt>
                <c:pt idx="2">
                  <c:v>2580.7368421052633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505.26315789473682</c:v>
                </c:pt>
                <c:pt idx="8">
                  <c:v>410.5263157894737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433840"/>
        <c:axId val="290433296"/>
      </c:barChart>
      <c:catAx>
        <c:axId val="2904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433296"/>
        <c:crosses val="autoZero"/>
        <c:auto val="1"/>
        <c:lblAlgn val="ctr"/>
        <c:lblOffset val="100"/>
        <c:noMultiLvlLbl val="0"/>
      </c:catAx>
      <c:valAx>
        <c:axId val="2904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4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Costos de Operación</a:t>
            </a:r>
          </a:p>
          <a:p>
            <a:pPr>
              <a:defRPr/>
            </a:pPr>
            <a:r>
              <a:rPr lang="es-MX" sz="1100" b="1"/>
              <a:t>Punta 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 Bocana'!$K$3</c:f>
              <c:strCache>
                <c:ptCount val="1"/>
                <c:pt idx="0">
                  <c:v>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 Bocana'!$J$4:$J$10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'La Bocana'!$K$4:$K$10</c:f>
              <c:numCache>
                <c:formatCode>_("$"* #,##0.00_);_("$"* \(#,##0.00\);_("$"* "-"??_);_(@_)</c:formatCode>
                <c:ptCount val="7"/>
                <c:pt idx="0">
                  <c:v>59165</c:v>
                </c:pt>
                <c:pt idx="1">
                  <c:v>0</c:v>
                </c:pt>
                <c:pt idx="2">
                  <c:v>12675</c:v>
                </c:pt>
                <c:pt idx="3">
                  <c:v>19600</c:v>
                </c:pt>
                <c:pt idx="4">
                  <c:v>8400</c:v>
                </c:pt>
                <c:pt idx="5" formatCode="&quot;$&quot;#,##0.00">
                  <c:v>51800</c:v>
                </c:pt>
                <c:pt idx="6" formatCode="&quot;$&quot;#,##0.00">
                  <c:v>12180</c:v>
                </c:pt>
              </c:numCache>
            </c:numRef>
          </c:val>
        </c:ser>
        <c:ser>
          <c:idx val="1"/>
          <c:order val="1"/>
          <c:tx>
            <c:strRef>
              <c:f>'La Bocana'!$L$3</c:f>
              <c:strCache>
                <c:ptCount val="1"/>
                <c:pt idx="0">
                  <c:v>Comunidad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 Bocana'!$J$4:$J$10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'La Bocana'!$L$4:$L$10</c:f>
              <c:numCache>
                <c:formatCode>_("$"* #,##0.00_);_("$"* \(#,##0.00\);_("$"* "-"??_);_(@_)</c:formatCode>
                <c:ptCount val="7"/>
                <c:pt idx="0">
                  <c:v>4284</c:v>
                </c:pt>
                <c:pt idx="1">
                  <c:v>35000</c:v>
                </c:pt>
                <c:pt idx="2">
                  <c:v>9750</c:v>
                </c:pt>
                <c:pt idx="3">
                  <c:v>0</c:v>
                </c:pt>
                <c:pt idx="4">
                  <c:v>0</c:v>
                </c:pt>
                <c:pt idx="5" formatCode="&quot;$&quot;#,##0.00">
                  <c:v>0</c:v>
                </c:pt>
                <c:pt idx="6" formatCode="&quot;$&quot;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62128"/>
        <c:axId val="292269744"/>
      </c:barChart>
      <c:catAx>
        <c:axId val="2922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9744"/>
        <c:crosses val="autoZero"/>
        <c:auto val="1"/>
        <c:lblAlgn val="ctr"/>
        <c:lblOffset val="100"/>
        <c:noMultiLvlLbl val="0"/>
      </c:catAx>
      <c:valAx>
        <c:axId val="292269744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2128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Costos de Operación</a:t>
            </a:r>
          </a:p>
          <a:p>
            <a:pPr>
              <a:defRPr/>
            </a:pPr>
            <a:r>
              <a:rPr lang="es-MX" sz="1100" b="1"/>
              <a:t>La Bocana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 Bocana'!$K$3</c:f>
              <c:strCache>
                <c:ptCount val="1"/>
                <c:pt idx="0">
                  <c:v>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 Bocana'!$J$4:$J$10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'La Bocana'!$K$4:$K$10</c:f>
              <c:numCache>
                <c:formatCode>_("$"* #,##0.00_);_("$"* \(#,##0.00\);_("$"* "-"??_);_(@_)</c:formatCode>
                <c:ptCount val="7"/>
                <c:pt idx="0">
                  <c:v>59165</c:v>
                </c:pt>
                <c:pt idx="1">
                  <c:v>0</c:v>
                </c:pt>
                <c:pt idx="2">
                  <c:v>12675</c:v>
                </c:pt>
                <c:pt idx="3">
                  <c:v>19600</c:v>
                </c:pt>
                <c:pt idx="4">
                  <c:v>8400</c:v>
                </c:pt>
                <c:pt idx="5" formatCode="&quot;$&quot;#,##0.00">
                  <c:v>51800</c:v>
                </c:pt>
                <c:pt idx="6" formatCode="&quot;$&quot;#,##0.00">
                  <c:v>12180</c:v>
                </c:pt>
              </c:numCache>
            </c:numRef>
          </c:val>
        </c:ser>
        <c:ser>
          <c:idx val="1"/>
          <c:order val="1"/>
          <c:tx>
            <c:strRef>
              <c:f>'La Bocana'!$L$3</c:f>
              <c:strCache>
                <c:ptCount val="1"/>
                <c:pt idx="0">
                  <c:v>Comunidad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 Bocana'!$J$4:$J$10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'La Bocana'!$L$4:$L$10</c:f>
              <c:numCache>
                <c:formatCode>_("$"* #,##0.00_);_("$"* \(#,##0.00\);_("$"* "-"??_);_(@_)</c:formatCode>
                <c:ptCount val="7"/>
                <c:pt idx="0">
                  <c:v>4284</c:v>
                </c:pt>
                <c:pt idx="1">
                  <c:v>35000</c:v>
                </c:pt>
                <c:pt idx="2">
                  <c:v>9750</c:v>
                </c:pt>
                <c:pt idx="3">
                  <c:v>0</c:v>
                </c:pt>
                <c:pt idx="4">
                  <c:v>0</c:v>
                </c:pt>
                <c:pt idx="5" formatCode="&quot;$&quot;#,##0.00">
                  <c:v>0</c:v>
                </c:pt>
                <c:pt idx="6" formatCode="&quot;$&quot;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68112"/>
        <c:axId val="292273008"/>
      </c:barChart>
      <c:catAx>
        <c:axId val="2922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3008"/>
        <c:crosses val="autoZero"/>
        <c:auto val="1"/>
        <c:lblAlgn val="ctr"/>
        <c:lblOffset val="100"/>
        <c:noMultiLvlLbl val="0"/>
      </c:catAx>
      <c:valAx>
        <c:axId val="2922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Costos de Operación</a:t>
            </a:r>
          </a:p>
          <a:p>
            <a:pPr>
              <a:defRPr/>
            </a:pPr>
            <a:r>
              <a:rPr lang="es-MX" sz="1100" b="1"/>
              <a:t>Puerto Libertad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'Puerto Libertad'!$K$3</c:f>
              <c:strCache>
                <c:ptCount val="1"/>
                <c:pt idx="0">
                  <c:v>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'Puerto Libertad'!$J$4:$J$10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'Puerto Libertad'!$K$4:$K$10</c:f>
              <c:numCache>
                <c:formatCode>_("$"* #,##0.00_);_("$"* \(#,##0.00\);_("$"* "-"??_);_(@_)</c:formatCode>
                <c:ptCount val="7"/>
                <c:pt idx="0">
                  <c:v>43950</c:v>
                </c:pt>
                <c:pt idx="1">
                  <c:v>6800</c:v>
                </c:pt>
                <c:pt idx="2">
                  <c:v>9232.2000000000007</c:v>
                </c:pt>
                <c:pt idx="3">
                  <c:v>6000</c:v>
                </c:pt>
                <c:pt idx="4">
                  <c:v>7200</c:v>
                </c:pt>
                <c:pt idx="5" formatCode="&quot;$&quot;#,##0.00">
                  <c:v>22100</c:v>
                </c:pt>
                <c:pt idx="6" formatCode="&quot;$&quot;#,##0.00">
                  <c:v>10440</c:v>
                </c:pt>
              </c:numCache>
            </c:numRef>
          </c:val>
        </c:ser>
        <c:ser>
          <c:idx val="1"/>
          <c:order val="1"/>
          <c:tx>
            <c:strRef>
              <c:f>'Puerto Libertad'!$L$3</c:f>
              <c:strCache>
                <c:ptCount val="1"/>
                <c:pt idx="0">
                  <c:v>Comunidad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'Puerto Libertad'!$J$4:$J$10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'Puerto Libertad'!$L$4:$L$10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&quot;$&quot;#,##0.00">
                  <c:v>0</c:v>
                </c:pt>
                <c:pt idx="6" formatCode="&quot;$&quot;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63760"/>
        <c:axId val="292264304"/>
      </c:barChart>
      <c:catAx>
        <c:axId val="2922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4304"/>
        <c:crosses val="autoZero"/>
        <c:auto val="1"/>
        <c:lblAlgn val="ctr"/>
        <c:lblOffset val="100"/>
        <c:noMultiLvlLbl val="0"/>
      </c:catAx>
      <c:valAx>
        <c:axId val="2922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Costos de Operación</a:t>
            </a:r>
          </a:p>
          <a:p>
            <a:pPr>
              <a:defRPr/>
            </a:pPr>
            <a:r>
              <a:rPr lang="es-MX" sz="1100" b="1"/>
              <a:t>Isla San Pedro Nolasco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ISPN!$K$3</c:f>
              <c:strCache>
                <c:ptCount val="1"/>
                <c:pt idx="0">
                  <c:v>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ISPN!$J$4:$J$10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ISPN!$K$4:$K$10</c:f>
              <c:numCache>
                <c:formatCode>_("$"* #,##0.00_);_("$"* \(#,##0.00\);_("$"* "-"??_);_(@_)</c:formatCode>
                <c:ptCount val="7"/>
                <c:pt idx="0">
                  <c:v>53750</c:v>
                </c:pt>
                <c:pt idx="1">
                  <c:v>10200</c:v>
                </c:pt>
                <c:pt idx="2">
                  <c:v>20070</c:v>
                </c:pt>
                <c:pt idx="3">
                  <c:v>15312</c:v>
                </c:pt>
                <c:pt idx="4">
                  <c:v>20200</c:v>
                </c:pt>
                <c:pt idx="5" formatCode="&quot;$&quot;#,##0.00">
                  <c:v>22500</c:v>
                </c:pt>
                <c:pt idx="6" formatCode="&quot;$&quot;#,##0.00">
                  <c:v>13920</c:v>
                </c:pt>
              </c:numCache>
            </c:numRef>
          </c:val>
        </c:ser>
        <c:ser>
          <c:idx val="1"/>
          <c:order val="1"/>
          <c:tx>
            <c:strRef>
              <c:f>ISPN!$L$3</c:f>
              <c:strCache>
                <c:ptCount val="1"/>
                <c:pt idx="0">
                  <c:v>Comunidad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ISPN!$J$4:$J$10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ISPN!$L$4:$L$10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&quot;$&quot;#,##0.00">
                  <c:v>0</c:v>
                </c:pt>
                <c:pt idx="6" formatCode="&quot;$&quot;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72464"/>
        <c:axId val="292274096"/>
      </c:barChart>
      <c:catAx>
        <c:axId val="2922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4096"/>
        <c:crosses val="autoZero"/>
        <c:auto val="1"/>
        <c:lblAlgn val="ctr"/>
        <c:lblOffset val="100"/>
        <c:noMultiLvlLbl val="0"/>
      </c:catAx>
      <c:valAx>
        <c:axId val="2922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Costos de Operación</a:t>
            </a:r>
          </a:p>
          <a:p>
            <a:pPr>
              <a:defRPr/>
            </a:pPr>
            <a:r>
              <a:rPr lang="es-MX" sz="1100" b="1"/>
              <a:t>Punta 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'Punta Allen'!$K$3</c:f>
              <c:strCache>
                <c:ptCount val="1"/>
                <c:pt idx="0">
                  <c:v>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'Punta Allen'!$J$4:$J$10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'Punta Allen'!$K$4:$K$10</c:f>
              <c:numCache>
                <c:formatCode>_("$"* #,##0.00_);_("$"* \(#,##0.00\);_("$"* "-"??_);_(@_)</c:formatCode>
                <c:ptCount val="7"/>
                <c:pt idx="0">
                  <c:v>159692</c:v>
                </c:pt>
                <c:pt idx="1">
                  <c:v>24128</c:v>
                </c:pt>
                <c:pt idx="2">
                  <c:v>26910</c:v>
                </c:pt>
                <c:pt idx="3">
                  <c:v>84448</c:v>
                </c:pt>
                <c:pt idx="4">
                  <c:v>33600</c:v>
                </c:pt>
                <c:pt idx="5" formatCode="&quot;$&quot;#,##0.00">
                  <c:v>22600</c:v>
                </c:pt>
                <c:pt idx="6" formatCode="&quot;$&quot;#,##0.00">
                  <c:v>10440</c:v>
                </c:pt>
              </c:numCache>
            </c:numRef>
          </c:val>
        </c:ser>
        <c:ser>
          <c:idx val="1"/>
          <c:order val="1"/>
          <c:tx>
            <c:strRef>
              <c:f>'Punta Allen'!$L$3</c:f>
              <c:strCache>
                <c:ptCount val="1"/>
                <c:pt idx="0">
                  <c:v>Comunidad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'Punta Allen'!$J$4:$J$10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'Punta Allen'!$L$4:$L$10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&quot;$&quot;#,##0.00">
                  <c:v>0</c:v>
                </c:pt>
                <c:pt idx="6" formatCode="&quot;$&quot;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67024"/>
        <c:axId val="292265392"/>
      </c:barChart>
      <c:catAx>
        <c:axId val="2922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5392"/>
        <c:crosses val="autoZero"/>
        <c:auto val="1"/>
        <c:lblAlgn val="ctr"/>
        <c:lblOffset val="100"/>
        <c:noMultiLvlLbl val="0"/>
      </c:catAx>
      <c:valAx>
        <c:axId val="292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7024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Costos de Operación</a:t>
            </a:r>
          </a:p>
          <a:p>
            <a:pPr>
              <a:defRPr/>
            </a:pPr>
            <a:r>
              <a:rPr lang="es-MX" sz="1100" b="1"/>
              <a:t>Punta 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'Punta Allen'!$K$3</c:f>
              <c:strCache>
                <c:ptCount val="1"/>
                <c:pt idx="0">
                  <c:v>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'Punta Allen'!$J$4:$J$10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'Punta Allen'!$K$4:$K$10</c:f>
              <c:numCache>
                <c:formatCode>_("$"* #,##0.00_);_("$"* \(#,##0.00\);_("$"* "-"??_);_(@_)</c:formatCode>
                <c:ptCount val="7"/>
                <c:pt idx="0">
                  <c:v>159692</c:v>
                </c:pt>
                <c:pt idx="1">
                  <c:v>24128</c:v>
                </c:pt>
                <c:pt idx="2">
                  <c:v>26910</c:v>
                </c:pt>
                <c:pt idx="3">
                  <c:v>84448</c:v>
                </c:pt>
                <c:pt idx="4">
                  <c:v>33600</c:v>
                </c:pt>
                <c:pt idx="5" formatCode="&quot;$&quot;#,##0.00">
                  <c:v>22600</c:v>
                </c:pt>
                <c:pt idx="6" formatCode="&quot;$&quot;#,##0.00">
                  <c:v>10440</c:v>
                </c:pt>
              </c:numCache>
            </c:numRef>
          </c:val>
        </c:ser>
        <c:ser>
          <c:idx val="1"/>
          <c:order val="1"/>
          <c:tx>
            <c:strRef>
              <c:f>'Punta Allen'!$L$3</c:f>
              <c:strCache>
                <c:ptCount val="1"/>
                <c:pt idx="0">
                  <c:v>Comunidad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'Punta Allen'!$J$4:$J$10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'Punta Allen'!$L$4:$L$10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&quot;$&quot;#,##0.00">
                  <c:v>0</c:v>
                </c:pt>
                <c:pt idx="6" formatCode="&quot;$&quot;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62672"/>
        <c:axId val="292268656"/>
      </c:barChart>
      <c:catAx>
        <c:axId val="2922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8656"/>
        <c:crosses val="autoZero"/>
        <c:auto val="1"/>
        <c:lblAlgn val="ctr"/>
        <c:lblOffset val="100"/>
        <c:noMultiLvlLbl val="0"/>
      </c:catAx>
      <c:valAx>
        <c:axId val="2922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Costos de Operación</a:t>
            </a:r>
          </a:p>
          <a:p>
            <a:pPr>
              <a:defRPr/>
            </a:pPr>
            <a:r>
              <a:rPr lang="es-MX" sz="1100" b="1"/>
              <a:t>María 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'María Elena'!$K$3</c:f>
              <c:strCache>
                <c:ptCount val="1"/>
                <c:pt idx="0">
                  <c:v>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'María Elena'!$J$4:$J$10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'María Elena'!$K$4:$K$10</c:f>
              <c:numCache>
                <c:formatCode>_("$"* #,##0.00_);_("$"* \(#,##0.00\);_("$"* "-"??_);_(@_)</c:formatCode>
                <c:ptCount val="7"/>
                <c:pt idx="0">
                  <c:v>67506</c:v>
                </c:pt>
                <c:pt idx="1">
                  <c:v>12064</c:v>
                </c:pt>
                <c:pt idx="2">
                  <c:v>15210</c:v>
                </c:pt>
                <c:pt idx="3">
                  <c:v>6000</c:v>
                </c:pt>
                <c:pt idx="4">
                  <c:v>12000</c:v>
                </c:pt>
                <c:pt idx="5" formatCode="&quot;$&quot;#,##0.00">
                  <c:v>22600</c:v>
                </c:pt>
                <c:pt idx="6" formatCode="&quot;$&quot;#,##0.00">
                  <c:v>10440</c:v>
                </c:pt>
              </c:numCache>
            </c:numRef>
          </c:val>
        </c:ser>
        <c:ser>
          <c:idx val="1"/>
          <c:order val="1"/>
          <c:tx>
            <c:strRef>
              <c:f>'María Elena'!$L$3</c:f>
              <c:strCache>
                <c:ptCount val="1"/>
                <c:pt idx="0">
                  <c:v>Comunidad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'María Elena'!$J$4:$J$10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'María Elena'!$L$4:$L$10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&quot;$&quot;#,##0.00">
                  <c:v>0</c:v>
                </c:pt>
                <c:pt idx="6" formatCode="&quot;$&quot;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71376"/>
        <c:axId val="292271920"/>
      </c:barChart>
      <c:catAx>
        <c:axId val="2922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1920"/>
        <c:crosses val="autoZero"/>
        <c:auto val="1"/>
        <c:lblAlgn val="ctr"/>
        <c:lblOffset val="100"/>
        <c:noMultiLvlLbl val="0"/>
      </c:catAx>
      <c:valAx>
        <c:axId val="2922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Costos de Operación</a:t>
            </a:r>
          </a:p>
          <a:p>
            <a:pPr>
              <a:defRPr/>
            </a:pPr>
            <a:r>
              <a:rPr lang="es-MX" sz="1100" b="1"/>
              <a:t>María 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'María Elena'!$P$13</c:f>
              <c:strCache>
                <c:ptCount val="1"/>
                <c:pt idx="0">
                  <c:v>Con 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'María Elena'!$O$14:$O$20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'María Elena'!$P$14:$P$20</c:f>
              <c:numCache>
                <c:formatCode>General</c:formatCode>
                <c:ptCount val="7"/>
                <c:pt idx="0">
                  <c:v>67506</c:v>
                </c:pt>
                <c:pt idx="1">
                  <c:v>12064</c:v>
                </c:pt>
                <c:pt idx="2">
                  <c:v>15210</c:v>
                </c:pt>
                <c:pt idx="3">
                  <c:v>6000</c:v>
                </c:pt>
                <c:pt idx="4">
                  <c:v>12000</c:v>
                </c:pt>
                <c:pt idx="5">
                  <c:v>22600</c:v>
                </c:pt>
                <c:pt idx="6">
                  <c:v>10440</c:v>
                </c:pt>
              </c:numCache>
            </c:numRef>
          </c:val>
        </c:ser>
        <c:ser>
          <c:idx val="1"/>
          <c:order val="1"/>
          <c:tx>
            <c:strRef>
              <c:f>'María Elena'!$Q$13</c:f>
              <c:strCache>
                <c:ptCount val="1"/>
                <c:pt idx="0">
                  <c:v>Sin COBI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'María Elena'!$O$14:$O$20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'María Elena'!$Q$14:$Q$20</c:f>
              <c:numCache>
                <c:formatCode>General</c:formatCode>
                <c:ptCount val="7"/>
                <c:pt idx="0">
                  <c:v>48256</c:v>
                </c:pt>
                <c:pt idx="1">
                  <c:v>0</c:v>
                </c:pt>
                <c:pt idx="2">
                  <c:v>12480</c:v>
                </c:pt>
                <c:pt idx="3">
                  <c:v>0</c:v>
                </c:pt>
                <c:pt idx="4">
                  <c:v>0</c:v>
                </c:pt>
                <c:pt idx="5">
                  <c:v>22600</c:v>
                </c:pt>
                <c:pt idx="6">
                  <c:v>10440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273552"/>
        <c:axId val="292274640"/>
      </c:barChart>
      <c:catAx>
        <c:axId val="2922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4640"/>
        <c:crosses val="autoZero"/>
        <c:auto val="1"/>
        <c:lblAlgn val="ctr"/>
        <c:lblOffset val="100"/>
        <c:noMultiLvlLbl val="0"/>
      </c:catAx>
      <c:valAx>
        <c:axId val="2922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Costos de Operación</a:t>
            </a:r>
          </a:p>
          <a:p>
            <a:pPr>
              <a:defRPr/>
            </a:pPr>
            <a:r>
              <a:rPr lang="es-MX" sz="1100" b="1"/>
              <a:t>Punta Herrero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'Punta Herrero'!$K$3</c:f>
              <c:strCache>
                <c:ptCount val="1"/>
                <c:pt idx="0">
                  <c:v>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'Punta Herrero'!$J$4:$J$10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'Punta Herrero'!$K$4:$K$10</c:f>
              <c:numCache>
                <c:formatCode>_("$"* #,##0.00_);_("$"* \(#,##0.00\);_("$"* "-"??_);_(@_)</c:formatCode>
                <c:ptCount val="7"/>
                <c:pt idx="0">
                  <c:v>128240</c:v>
                </c:pt>
                <c:pt idx="1">
                  <c:v>18096</c:v>
                </c:pt>
                <c:pt idx="2">
                  <c:v>19110</c:v>
                </c:pt>
                <c:pt idx="3">
                  <c:v>0</c:v>
                </c:pt>
                <c:pt idx="4">
                  <c:v>19200</c:v>
                </c:pt>
                <c:pt idx="5" formatCode="&quot;$&quot;#,##0.00">
                  <c:v>22600</c:v>
                </c:pt>
                <c:pt idx="6" formatCode="&quot;$&quot;#,##0.00">
                  <c:v>13920</c:v>
                </c:pt>
              </c:numCache>
            </c:numRef>
          </c:val>
        </c:ser>
        <c:ser>
          <c:idx val="1"/>
          <c:order val="1"/>
          <c:tx>
            <c:strRef>
              <c:f>'Punta Herrero'!$L$3</c:f>
              <c:strCache>
                <c:ptCount val="1"/>
                <c:pt idx="0">
                  <c:v>Comunidad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'Punta Herrero'!$J$4:$J$10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'Punta Herrero'!$L$4:$L$10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9600</c:v>
                </c:pt>
                <c:pt idx="4">
                  <c:v>0</c:v>
                </c:pt>
                <c:pt idx="5" formatCode="&quot;$&quot;#,##0.00">
                  <c:v>0</c:v>
                </c:pt>
                <c:pt idx="6" formatCode="&quot;$&quot;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75184"/>
        <c:axId val="292276272"/>
      </c:barChart>
      <c:catAx>
        <c:axId val="2922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6272"/>
        <c:crosses val="autoZero"/>
        <c:auto val="1"/>
        <c:lblAlgn val="ctr"/>
        <c:lblOffset val="100"/>
        <c:noMultiLvlLbl val="0"/>
      </c:catAx>
      <c:valAx>
        <c:axId val="2922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Costos de Operación</a:t>
            </a:r>
          </a:p>
          <a:p>
            <a:pPr>
              <a:defRPr/>
            </a:pPr>
            <a:r>
              <a:rPr lang="es-MX" sz="1100" b="1"/>
              <a:t>Banco</a:t>
            </a:r>
            <a:r>
              <a:rPr lang="es-MX" sz="1100" b="1" baseline="0"/>
              <a:t> Chinchorro</a:t>
            </a:r>
            <a:endParaRPr lang="es-MX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'Banco Chinchorro'!$K$3</c:f>
              <c:strCache>
                <c:ptCount val="1"/>
                <c:pt idx="0">
                  <c:v>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'Banco Chinchorro'!$J$4:$J$10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'Banco Chinchorro'!$K$4:$K$10</c:f>
              <c:numCache>
                <c:formatCode>_("$"* #,##0.00_);_("$"* \(#,##0.00\);_("$"* "-"??_);_(@_)</c:formatCode>
                <c:ptCount val="7"/>
                <c:pt idx="0">
                  <c:v>138125</c:v>
                </c:pt>
                <c:pt idx="1">
                  <c:v>49300</c:v>
                </c:pt>
                <c:pt idx="2">
                  <c:v>29055</c:v>
                </c:pt>
                <c:pt idx="3">
                  <c:v>0</c:v>
                </c:pt>
                <c:pt idx="4">
                  <c:v>15600</c:v>
                </c:pt>
                <c:pt idx="5" formatCode="&quot;$&quot;#,##0.00">
                  <c:v>22600</c:v>
                </c:pt>
                <c:pt idx="6" formatCode="&quot;$&quot;#,##0.00">
                  <c:v>20880</c:v>
                </c:pt>
              </c:numCache>
            </c:numRef>
          </c:val>
        </c:ser>
        <c:ser>
          <c:idx val="1"/>
          <c:order val="1"/>
          <c:tx>
            <c:strRef>
              <c:f>'Banco Chinchorro'!$L$3</c:f>
              <c:strCache>
                <c:ptCount val="1"/>
                <c:pt idx="0">
                  <c:v>Comunidad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'Banco Chinchorro'!$J$4:$J$10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'Banco Chinchorro'!$L$4:$L$10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7800</c:v>
                </c:pt>
                <c:pt idx="4">
                  <c:v>0</c:v>
                </c:pt>
                <c:pt idx="5" formatCode="&quot;$&quot;#,##0.00">
                  <c:v>0</c:v>
                </c:pt>
                <c:pt idx="6" formatCode="&quot;$&quot;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76816"/>
        <c:axId val="292261584"/>
      </c:barChart>
      <c:catAx>
        <c:axId val="2922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1584"/>
        <c:crosses val="autoZero"/>
        <c:auto val="1"/>
        <c:lblAlgn val="ctr"/>
        <c:lblOffset val="100"/>
        <c:noMultiLvlLbl val="0"/>
      </c:catAx>
      <c:valAx>
        <c:axId val="2922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Costos</a:t>
            </a:r>
            <a:r>
              <a:rPr lang="es-MX" baseline="0"/>
              <a:t> por reserva y hectárea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Resumen!$R$2</c:f>
              <c:strCache>
                <c:ptCount val="1"/>
                <c:pt idx="0">
                  <c:v>$/res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Resumen!$A$3:$A$11</c:f>
              <c:strCache>
                <c:ptCount val="9"/>
                <c:pt idx="0">
                  <c:v>El Rosario</c:v>
                </c:pt>
                <c:pt idx="1">
                  <c:v>Isla Natividad</c:v>
                </c:pt>
                <c:pt idx="2">
                  <c:v>La Bocana</c:v>
                </c:pt>
                <c:pt idx="3">
                  <c:v>Puerto Libertad</c:v>
                </c:pt>
                <c:pt idx="4">
                  <c:v>Isla San Pedro Nolasco</c:v>
                </c:pt>
                <c:pt idx="5">
                  <c:v>Punta Allen</c:v>
                </c:pt>
                <c:pt idx="6">
                  <c:v>María Elena</c:v>
                </c:pt>
                <c:pt idx="7">
                  <c:v>Punta Herrero</c:v>
                </c:pt>
                <c:pt idx="8">
                  <c:v>Banco Chinchorro</c:v>
                </c:pt>
              </c:strCache>
            </c:strRef>
          </c:cat>
          <c:val>
            <c:numRef>
              <c:f>Resumen!$R$3:$R$11</c:f>
              <c:numCache>
                <c:formatCode>_("$"* #,##0.00_);_("$"* \(#,##0.00\);_("$"* "-"??_);_(@_)</c:formatCode>
                <c:ptCount val="9"/>
                <c:pt idx="0">
                  <c:v>6032.5526315789475</c:v>
                </c:pt>
                <c:pt idx="1">
                  <c:v>8049.8421052631575</c:v>
                </c:pt>
                <c:pt idx="2">
                  <c:v>3734.2807017543855</c:v>
                </c:pt>
                <c:pt idx="3">
                  <c:v>5564.3263157894735</c:v>
                </c:pt>
                <c:pt idx="4">
                  <c:v>2736</c:v>
                </c:pt>
                <c:pt idx="5">
                  <c:v>9521.5263157894733</c:v>
                </c:pt>
                <c:pt idx="6">
                  <c:v>959.34210526315792</c:v>
                </c:pt>
                <c:pt idx="7">
                  <c:v>12145.578947368422</c:v>
                </c:pt>
                <c:pt idx="8">
                  <c:v>14913.684210526315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26768"/>
        <c:axId val="290429488"/>
      </c:lineChart>
      <c:lineChart>
        <c:grouping val="standard"/>
        <c:varyColors val="0"/>
        <c:ser>
          <c:idx val="1"/>
          <c:order val="1"/>
          <c:tx>
            <c:strRef>
              <c:f>Resumen!$S$2</c:f>
              <c:strCache>
                <c:ptCount val="1"/>
                <c:pt idx="0">
                  <c:v>$/ha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Resumen!$A$3:$A$11</c:f>
              <c:strCache>
                <c:ptCount val="9"/>
                <c:pt idx="0">
                  <c:v>El Rosario</c:v>
                </c:pt>
                <c:pt idx="1">
                  <c:v>Isla Natividad</c:v>
                </c:pt>
                <c:pt idx="2">
                  <c:v>La Bocana</c:v>
                </c:pt>
                <c:pt idx="3">
                  <c:v>Puerto Libertad</c:v>
                </c:pt>
                <c:pt idx="4">
                  <c:v>Isla San Pedro Nolasco</c:v>
                </c:pt>
                <c:pt idx="5">
                  <c:v>Punta Allen</c:v>
                </c:pt>
                <c:pt idx="6">
                  <c:v>María Elena</c:v>
                </c:pt>
                <c:pt idx="7">
                  <c:v>Punta Herrero</c:v>
                </c:pt>
                <c:pt idx="8">
                  <c:v>Banco Chinchorro</c:v>
                </c:pt>
              </c:strCache>
            </c:strRef>
          </c:cat>
          <c:val>
            <c:numRef>
              <c:f>Resumen!$S$3:$S$11</c:f>
              <c:numCache>
                <c:formatCode>_("$"* #,##0.00_);_("$"* \(#,##0.00\);_("$"* "-"??_);_(@_)</c:formatCode>
                <c:ptCount val="9"/>
                <c:pt idx="0">
                  <c:v>17.88748000468183</c:v>
                </c:pt>
                <c:pt idx="1">
                  <c:v>80.498421052631585</c:v>
                </c:pt>
                <c:pt idx="2">
                  <c:v>187.46389065032059</c:v>
                </c:pt>
                <c:pt idx="3">
                  <c:v>74.42919095491537</c:v>
                </c:pt>
                <c:pt idx="4">
                  <c:v>59.478260869565226</c:v>
                </c:pt>
                <c:pt idx="5">
                  <c:v>5.9300689856595517</c:v>
                </c:pt>
                <c:pt idx="6">
                  <c:v>6.4493586908447584</c:v>
                </c:pt>
                <c:pt idx="7">
                  <c:v>74.357652426646382</c:v>
                </c:pt>
                <c:pt idx="8">
                  <c:v>1.2167036545550922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28944"/>
        <c:axId val="290430032"/>
      </c:lineChart>
      <c:catAx>
        <c:axId val="2904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429488"/>
        <c:crosses val="autoZero"/>
        <c:auto val="1"/>
        <c:lblAlgn val="ctr"/>
        <c:lblOffset val="100"/>
        <c:noMultiLvlLbl val="0"/>
      </c:catAx>
      <c:valAx>
        <c:axId val="2904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426768"/>
        <c:crosses val="autoZero"/>
        <c:crossBetween val="between"/>
      </c:valAx>
      <c:valAx>
        <c:axId val="290430032"/>
        <c:scaling>
          <c:orientation val="minMax"/>
        </c:scaling>
        <c:delete val="0"/>
        <c:axPos val="r"/>
        <c:numFmt formatCode="_(&quot;$&quot;* #,##0_);_(&quot;$&quot;* \(#,##0\);_(&quot;$&quot;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428944"/>
        <c:crosses val="max"/>
        <c:crossBetween val="between"/>
      </c:valAx>
      <c:catAx>
        <c:axId val="29042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43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Gastos</a:t>
            </a:r>
            <a:r>
              <a:rPr lang="es-MX" baseline="0"/>
              <a:t> por rubro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81492567757388"/>
          <c:y val="0.13809240558170732"/>
          <c:w val="0.86198512863220078"/>
          <c:h val="0.51603294097367081"/>
        </c:manualLayout>
      </c:layout>
      <c:lineChart>
        <c:grouping val="standard"/>
        <c:varyColors val="0"/>
        <c:ser>
          <c:idx val="0"/>
          <c:order val="0"/>
          <c:tx>
            <c:strRef>
              <c:f>Detallado!$A$3</c:f>
              <c:strCache>
                <c:ptCount val="1"/>
                <c:pt idx="0">
                  <c:v>El Rosario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Detallado!$B$2:$M$2</c:f>
              <c:strCache>
                <c:ptCount val="12"/>
                <c:pt idx="0">
                  <c:v>Salarios COBI</c:v>
                </c:pt>
                <c:pt idx="1">
                  <c:v>Buzos</c:v>
                </c:pt>
                <c:pt idx="2">
                  <c:v>Capitán</c:v>
                </c:pt>
                <c:pt idx="3">
                  <c:v>Personas de apoyo</c:v>
                </c:pt>
                <c:pt idx="4">
                  <c:v>Renta embarcación</c:v>
                </c:pt>
                <c:pt idx="5">
                  <c:v>Gasolina COBI</c:v>
                </c:pt>
                <c:pt idx="6">
                  <c:v>Gasolina embarcaciones</c:v>
                </c:pt>
                <c:pt idx="7">
                  <c:v>Hospedaje COBI</c:v>
                </c:pt>
                <c:pt idx="8">
                  <c:v>Alimentos COBI</c:v>
                </c:pt>
                <c:pt idx="9">
                  <c:v>Insumos para el monitoreo</c:v>
                </c:pt>
                <c:pt idx="10">
                  <c:v>Mantenimiento de equipo</c:v>
                </c:pt>
                <c:pt idx="11">
                  <c:v>Seguros</c:v>
                </c:pt>
              </c:strCache>
            </c:strRef>
          </c:cat>
          <c:val>
            <c:numRef>
              <c:f>Detallado!$B$3:$M$3</c:f>
              <c:numCache>
                <c:formatCode>_("$"* #,##0.00_);_("$"* \(#,##0.00\);_("$"* "-"??_);_(@_)</c:formatCode>
                <c:ptCount val="12"/>
                <c:pt idx="0">
                  <c:v>28875</c:v>
                </c:pt>
                <c:pt idx="1">
                  <c:v>115200</c:v>
                </c:pt>
                <c:pt idx="2">
                  <c:v>28644</c:v>
                </c:pt>
                <c:pt idx="3">
                  <c:v>22800</c:v>
                </c:pt>
                <c:pt idx="4">
                  <c:v>84000</c:v>
                </c:pt>
                <c:pt idx="5">
                  <c:v>15795</c:v>
                </c:pt>
                <c:pt idx="6">
                  <c:v>37440</c:v>
                </c:pt>
                <c:pt idx="7">
                  <c:v>42000</c:v>
                </c:pt>
                <c:pt idx="8">
                  <c:v>18000</c:v>
                </c:pt>
                <c:pt idx="9">
                  <c:v>6800</c:v>
                </c:pt>
                <c:pt idx="10">
                  <c:v>45000</c:v>
                </c:pt>
                <c:pt idx="11">
                  <c:v>13920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Detallado!$A$4</c:f>
              <c:strCache>
                <c:ptCount val="1"/>
                <c:pt idx="0">
                  <c:v>Isla Natividad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Detallado!$B$2:$M$2</c:f>
              <c:strCache>
                <c:ptCount val="12"/>
                <c:pt idx="0">
                  <c:v>Salarios COBI</c:v>
                </c:pt>
                <c:pt idx="1">
                  <c:v>Buzos</c:v>
                </c:pt>
                <c:pt idx="2">
                  <c:v>Capitán</c:v>
                </c:pt>
                <c:pt idx="3">
                  <c:v>Personas de apoyo</c:v>
                </c:pt>
                <c:pt idx="4">
                  <c:v>Renta embarcación</c:v>
                </c:pt>
                <c:pt idx="5">
                  <c:v>Gasolina COBI</c:v>
                </c:pt>
                <c:pt idx="6">
                  <c:v>Gasolina embarcaciones</c:v>
                </c:pt>
                <c:pt idx="7">
                  <c:v>Hospedaje COBI</c:v>
                </c:pt>
                <c:pt idx="8">
                  <c:v>Alimentos COBI</c:v>
                </c:pt>
                <c:pt idx="9">
                  <c:v>Insumos para el monitoreo</c:v>
                </c:pt>
                <c:pt idx="10">
                  <c:v>Mantenimiento de equipo</c:v>
                </c:pt>
                <c:pt idx="11">
                  <c:v>Seguros</c:v>
                </c:pt>
              </c:strCache>
            </c:strRef>
          </c:cat>
          <c:val>
            <c:numRef>
              <c:f>Detallado!$B$4:$M$4</c:f>
              <c:numCache>
                <c:formatCode>_("$"* #,##0.00_);_("$"* \(#,##0.00\);_("$"* "-"??_);_(@_)</c:formatCode>
                <c:ptCount val="12"/>
                <c:pt idx="0">
                  <c:v>17325</c:v>
                </c:pt>
                <c:pt idx="1">
                  <c:v>70000</c:v>
                </c:pt>
                <c:pt idx="2">
                  <c:v>13824</c:v>
                </c:pt>
                <c:pt idx="3">
                  <c:v>13300</c:v>
                </c:pt>
                <c:pt idx="4">
                  <c:v>49000</c:v>
                </c:pt>
                <c:pt idx="5">
                  <c:v>12675</c:v>
                </c:pt>
                <c:pt idx="6">
                  <c:v>24570</c:v>
                </c:pt>
                <c:pt idx="7">
                  <c:v>25200</c:v>
                </c:pt>
                <c:pt idx="8">
                  <c:v>10800</c:v>
                </c:pt>
                <c:pt idx="9">
                  <c:v>6800</c:v>
                </c:pt>
                <c:pt idx="10">
                  <c:v>45000</c:v>
                </c:pt>
                <c:pt idx="11">
                  <c:v>17400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Detallado!$A$5</c:f>
              <c:strCache>
                <c:ptCount val="1"/>
                <c:pt idx="0">
                  <c:v>La Bocana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Detallado!$B$2:$M$2</c:f>
              <c:strCache>
                <c:ptCount val="12"/>
                <c:pt idx="0">
                  <c:v>Salarios COBI</c:v>
                </c:pt>
                <c:pt idx="1">
                  <c:v>Buzos</c:v>
                </c:pt>
                <c:pt idx="2">
                  <c:v>Capitán</c:v>
                </c:pt>
                <c:pt idx="3">
                  <c:v>Personas de apoyo</c:v>
                </c:pt>
                <c:pt idx="4">
                  <c:v>Renta embarcación</c:v>
                </c:pt>
                <c:pt idx="5">
                  <c:v>Gasolina COBI</c:v>
                </c:pt>
                <c:pt idx="6">
                  <c:v>Gasolina embarcaciones</c:v>
                </c:pt>
                <c:pt idx="7">
                  <c:v>Hospedaje COBI</c:v>
                </c:pt>
                <c:pt idx="8">
                  <c:v>Alimentos COBI</c:v>
                </c:pt>
                <c:pt idx="9">
                  <c:v>Insumos para el monitoreo</c:v>
                </c:pt>
                <c:pt idx="10">
                  <c:v>Mantenimiento de equipo</c:v>
                </c:pt>
                <c:pt idx="11">
                  <c:v>Seguros</c:v>
                </c:pt>
              </c:strCache>
            </c:strRef>
          </c:cat>
          <c:val>
            <c:numRef>
              <c:f>Detallado!$B$5:$M$5</c:f>
              <c:numCache>
                <c:formatCode>_("$"* #,##0.00_);_("$"* \(#,##0.00\);_("$"* "-"??_);_(@_)</c:formatCode>
                <c:ptCount val="12"/>
                <c:pt idx="0">
                  <c:v>13475</c:v>
                </c:pt>
                <c:pt idx="1">
                  <c:v>35000</c:v>
                </c:pt>
                <c:pt idx="2">
                  <c:v>10224</c:v>
                </c:pt>
                <c:pt idx="3">
                  <c:v>4750</c:v>
                </c:pt>
                <c:pt idx="4">
                  <c:v>35000</c:v>
                </c:pt>
                <c:pt idx="5">
                  <c:v>12675</c:v>
                </c:pt>
                <c:pt idx="6">
                  <c:v>9750</c:v>
                </c:pt>
                <c:pt idx="7">
                  <c:v>19600</c:v>
                </c:pt>
                <c:pt idx="8">
                  <c:v>8400</c:v>
                </c:pt>
                <c:pt idx="9">
                  <c:v>6800</c:v>
                </c:pt>
                <c:pt idx="10">
                  <c:v>45000</c:v>
                </c:pt>
                <c:pt idx="11">
                  <c:v>12180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Detallado!$A$6</c:f>
              <c:strCache>
                <c:ptCount val="1"/>
                <c:pt idx="0">
                  <c:v>Puerto Libertad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Detallado!$B$2:$M$2</c:f>
              <c:strCache>
                <c:ptCount val="12"/>
                <c:pt idx="0">
                  <c:v>Salarios COBI</c:v>
                </c:pt>
                <c:pt idx="1">
                  <c:v>Buzos</c:v>
                </c:pt>
                <c:pt idx="2">
                  <c:v>Capitán</c:v>
                </c:pt>
                <c:pt idx="3">
                  <c:v>Personas de apoyo</c:v>
                </c:pt>
                <c:pt idx="4">
                  <c:v>Renta embarcación</c:v>
                </c:pt>
                <c:pt idx="5">
                  <c:v>Gasolina COBI</c:v>
                </c:pt>
                <c:pt idx="6">
                  <c:v>Gasolina embarcaciones</c:v>
                </c:pt>
                <c:pt idx="7">
                  <c:v>Hospedaje COBI</c:v>
                </c:pt>
                <c:pt idx="8">
                  <c:v>Alimentos COBI</c:v>
                </c:pt>
                <c:pt idx="9">
                  <c:v>Insumos para el monitoreo</c:v>
                </c:pt>
                <c:pt idx="10">
                  <c:v>Mantenimiento de equipo</c:v>
                </c:pt>
                <c:pt idx="11">
                  <c:v>Seguros</c:v>
                </c:pt>
              </c:strCache>
            </c:strRef>
          </c:cat>
          <c:val>
            <c:numRef>
              <c:f>Detallado!$B$6:$M$6</c:f>
              <c:numCache>
                <c:formatCode>_("$"* #,##0.00_);_("$"* \(#,##0.00\);_("$"* "-"??_);_(@_)</c:formatCode>
                <c:ptCount val="12"/>
                <c:pt idx="0">
                  <c:v>11550</c:v>
                </c:pt>
                <c:pt idx="1">
                  <c:v>24000</c:v>
                </c:pt>
                <c:pt idx="2">
                  <c:v>6800</c:v>
                </c:pt>
                <c:pt idx="3">
                  <c:v>1600</c:v>
                </c:pt>
                <c:pt idx="4">
                  <c:v>6800</c:v>
                </c:pt>
                <c:pt idx="5">
                  <c:v>3612.6</c:v>
                </c:pt>
                <c:pt idx="6">
                  <c:v>5619.6</c:v>
                </c:pt>
                <c:pt idx="7">
                  <c:v>6000</c:v>
                </c:pt>
                <c:pt idx="8">
                  <c:v>7200</c:v>
                </c:pt>
                <c:pt idx="9">
                  <c:v>7100</c:v>
                </c:pt>
                <c:pt idx="10">
                  <c:v>15000</c:v>
                </c:pt>
                <c:pt idx="11">
                  <c:v>10440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Detallado!$A$7</c:f>
              <c:strCache>
                <c:ptCount val="1"/>
                <c:pt idx="0">
                  <c:v>Isla San Pedro Nolasco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Detallado!$B$2:$M$2</c:f>
              <c:strCache>
                <c:ptCount val="12"/>
                <c:pt idx="0">
                  <c:v>Salarios COBI</c:v>
                </c:pt>
                <c:pt idx="1">
                  <c:v>Buzos</c:v>
                </c:pt>
                <c:pt idx="2">
                  <c:v>Capitán</c:v>
                </c:pt>
                <c:pt idx="3">
                  <c:v>Personas de apoyo</c:v>
                </c:pt>
                <c:pt idx="4">
                  <c:v>Renta embarcación</c:v>
                </c:pt>
                <c:pt idx="5">
                  <c:v>Gasolina COBI</c:v>
                </c:pt>
                <c:pt idx="6">
                  <c:v>Gasolina embarcaciones</c:v>
                </c:pt>
                <c:pt idx="7">
                  <c:v>Hospedaje COBI</c:v>
                </c:pt>
                <c:pt idx="8">
                  <c:v>Alimentos COBI</c:v>
                </c:pt>
                <c:pt idx="9">
                  <c:v>Insumos para el monitoreo</c:v>
                </c:pt>
                <c:pt idx="10">
                  <c:v>Mantenimiento de equipo</c:v>
                </c:pt>
                <c:pt idx="11">
                  <c:v>Seguros</c:v>
                </c:pt>
              </c:strCache>
            </c:strRef>
          </c:cat>
          <c:val>
            <c:numRef>
              <c:f>Detallado!$B$7:$M$7</c:f>
              <c:numCache>
                <c:formatCode>_("$"* #,##0.00_);_("$"* \(#,##0.00\);_("$"* "-"??_);_(@_)</c:formatCode>
                <c:ptCount val="12"/>
                <c:pt idx="0">
                  <c:v>11550</c:v>
                </c:pt>
                <c:pt idx="1">
                  <c:v>32000</c:v>
                </c:pt>
                <c:pt idx="2">
                  <c:v>10200</c:v>
                </c:pt>
                <c:pt idx="3">
                  <c:v>0</c:v>
                </c:pt>
                <c:pt idx="4">
                  <c:v>10200</c:v>
                </c:pt>
                <c:pt idx="5">
                  <c:v>2007</c:v>
                </c:pt>
                <c:pt idx="6">
                  <c:v>18063</c:v>
                </c:pt>
                <c:pt idx="7">
                  <c:v>15312</c:v>
                </c:pt>
                <c:pt idx="8">
                  <c:v>20200</c:v>
                </c:pt>
                <c:pt idx="9">
                  <c:v>16000</c:v>
                </c:pt>
                <c:pt idx="10">
                  <c:v>6500</c:v>
                </c:pt>
                <c:pt idx="11">
                  <c:v>13920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Detallado!$A$8</c:f>
              <c:strCache>
                <c:ptCount val="1"/>
                <c:pt idx="0">
                  <c:v>Punta Allen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Detallado!$B$2:$M$2</c:f>
              <c:strCache>
                <c:ptCount val="12"/>
                <c:pt idx="0">
                  <c:v>Salarios COBI</c:v>
                </c:pt>
                <c:pt idx="1">
                  <c:v>Buzos</c:v>
                </c:pt>
                <c:pt idx="2">
                  <c:v>Capitán</c:v>
                </c:pt>
                <c:pt idx="3">
                  <c:v>Personas de apoyo</c:v>
                </c:pt>
                <c:pt idx="4">
                  <c:v>Renta embarcación</c:v>
                </c:pt>
                <c:pt idx="5">
                  <c:v>Gasolina COBI</c:v>
                </c:pt>
                <c:pt idx="6">
                  <c:v>Gasolina embarcaciones</c:v>
                </c:pt>
                <c:pt idx="7">
                  <c:v>Hospedaje COBI</c:v>
                </c:pt>
                <c:pt idx="8">
                  <c:v>Alimentos COBI</c:v>
                </c:pt>
                <c:pt idx="9">
                  <c:v>Insumos para el monitoreo</c:v>
                </c:pt>
                <c:pt idx="10">
                  <c:v>Mantenimiento de equipo</c:v>
                </c:pt>
                <c:pt idx="11">
                  <c:v>Seguros</c:v>
                </c:pt>
              </c:strCache>
            </c:strRef>
          </c:cat>
          <c:val>
            <c:numRef>
              <c:f>Detallado!$B$8:$M$8</c:f>
              <c:numCache>
                <c:formatCode>_("$"* #,##0.00_);_("$"* \(#,##0.00\);_("$"* "-"??_);_(@_)</c:formatCode>
                <c:ptCount val="12"/>
                <c:pt idx="0">
                  <c:v>53900</c:v>
                </c:pt>
                <c:pt idx="1">
                  <c:v>72384</c:v>
                </c:pt>
                <c:pt idx="2">
                  <c:v>24128</c:v>
                </c:pt>
                <c:pt idx="3">
                  <c:v>9280</c:v>
                </c:pt>
                <c:pt idx="4">
                  <c:v>24128</c:v>
                </c:pt>
                <c:pt idx="5">
                  <c:v>1950</c:v>
                </c:pt>
                <c:pt idx="6">
                  <c:v>24960</c:v>
                </c:pt>
                <c:pt idx="7">
                  <c:v>84448</c:v>
                </c:pt>
                <c:pt idx="8">
                  <c:v>33600</c:v>
                </c:pt>
                <c:pt idx="9">
                  <c:v>7100</c:v>
                </c:pt>
                <c:pt idx="10">
                  <c:v>15500</c:v>
                </c:pt>
                <c:pt idx="11">
                  <c:v>10440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Detallado!$A$9</c:f>
              <c:strCache>
                <c:ptCount val="1"/>
                <c:pt idx="0">
                  <c:v>María Elena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Detallado!$B$2:$M$2</c:f>
              <c:strCache>
                <c:ptCount val="12"/>
                <c:pt idx="0">
                  <c:v>Salarios COBI</c:v>
                </c:pt>
                <c:pt idx="1">
                  <c:v>Buzos</c:v>
                </c:pt>
                <c:pt idx="2">
                  <c:v>Capitán</c:v>
                </c:pt>
                <c:pt idx="3">
                  <c:v>Personas de apoyo</c:v>
                </c:pt>
                <c:pt idx="4">
                  <c:v>Renta embarcación</c:v>
                </c:pt>
                <c:pt idx="5">
                  <c:v>Gasolina COBI</c:v>
                </c:pt>
                <c:pt idx="6">
                  <c:v>Gasolina embarcaciones</c:v>
                </c:pt>
                <c:pt idx="7">
                  <c:v>Hospedaje COBI</c:v>
                </c:pt>
                <c:pt idx="8">
                  <c:v>Alimentos COBI</c:v>
                </c:pt>
                <c:pt idx="9">
                  <c:v>Insumos para el monitoreo</c:v>
                </c:pt>
                <c:pt idx="10">
                  <c:v>Mantenimiento de equipo</c:v>
                </c:pt>
                <c:pt idx="11">
                  <c:v>Seguros</c:v>
                </c:pt>
              </c:strCache>
            </c:strRef>
          </c:cat>
          <c:val>
            <c:numRef>
              <c:f>Detallado!$B$9:$M$9</c:f>
              <c:numCache>
                <c:formatCode>_("$"* #,##0.00_);_("$"* \(#,##0.00\);_("$"* "-"??_);_(@_)</c:formatCode>
                <c:ptCount val="12"/>
                <c:pt idx="0">
                  <c:v>19250</c:v>
                </c:pt>
                <c:pt idx="1">
                  <c:v>36192</c:v>
                </c:pt>
                <c:pt idx="2">
                  <c:v>12064</c:v>
                </c:pt>
                <c:pt idx="3">
                  <c:v>0</c:v>
                </c:pt>
                <c:pt idx="4">
                  <c:v>12064</c:v>
                </c:pt>
                <c:pt idx="5">
                  <c:v>2730</c:v>
                </c:pt>
                <c:pt idx="6">
                  <c:v>12480</c:v>
                </c:pt>
                <c:pt idx="7">
                  <c:v>6000</c:v>
                </c:pt>
                <c:pt idx="8">
                  <c:v>12000</c:v>
                </c:pt>
                <c:pt idx="9">
                  <c:v>7100</c:v>
                </c:pt>
                <c:pt idx="10">
                  <c:v>15500</c:v>
                </c:pt>
                <c:pt idx="11">
                  <c:v>10440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Detallado!$A$10</c:f>
              <c:strCache>
                <c:ptCount val="1"/>
                <c:pt idx="0">
                  <c:v>Punta Herrero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Detallado!$B$2:$M$2</c:f>
              <c:strCache>
                <c:ptCount val="12"/>
                <c:pt idx="0">
                  <c:v>Salarios COBI</c:v>
                </c:pt>
                <c:pt idx="1">
                  <c:v>Buzos</c:v>
                </c:pt>
                <c:pt idx="2">
                  <c:v>Capitán</c:v>
                </c:pt>
                <c:pt idx="3">
                  <c:v>Personas de apoyo</c:v>
                </c:pt>
                <c:pt idx="4">
                  <c:v>Renta embarcación</c:v>
                </c:pt>
                <c:pt idx="5">
                  <c:v>Gasolina COBI</c:v>
                </c:pt>
                <c:pt idx="6">
                  <c:v>Gasolina embarcaciones</c:v>
                </c:pt>
                <c:pt idx="7">
                  <c:v>Hospedaje COBI</c:v>
                </c:pt>
                <c:pt idx="8">
                  <c:v>Alimentos COBI</c:v>
                </c:pt>
                <c:pt idx="9">
                  <c:v>Insumos para el monitoreo</c:v>
                </c:pt>
                <c:pt idx="10">
                  <c:v>Mantenimiento de equipo</c:v>
                </c:pt>
                <c:pt idx="11">
                  <c:v>Seguros</c:v>
                </c:pt>
              </c:strCache>
            </c:strRef>
          </c:cat>
          <c:val>
            <c:numRef>
              <c:f>Detallado!$B$10:$M$10</c:f>
              <c:numCache>
                <c:formatCode>_("$"* #,##0.00_);_("$"* \(#,##0.00\);_("$"* "-"??_);_(@_)</c:formatCode>
                <c:ptCount val="12"/>
                <c:pt idx="0">
                  <c:v>30800</c:v>
                </c:pt>
                <c:pt idx="1">
                  <c:v>72384</c:v>
                </c:pt>
                <c:pt idx="2">
                  <c:v>18096</c:v>
                </c:pt>
                <c:pt idx="3">
                  <c:v>6960</c:v>
                </c:pt>
                <c:pt idx="4">
                  <c:v>18096</c:v>
                </c:pt>
                <c:pt idx="5">
                  <c:v>2730</c:v>
                </c:pt>
                <c:pt idx="6">
                  <c:v>16380</c:v>
                </c:pt>
                <c:pt idx="7">
                  <c:v>9600</c:v>
                </c:pt>
                <c:pt idx="8">
                  <c:v>19200</c:v>
                </c:pt>
                <c:pt idx="9">
                  <c:v>7100</c:v>
                </c:pt>
                <c:pt idx="10">
                  <c:v>15500</c:v>
                </c:pt>
                <c:pt idx="11">
                  <c:v>13920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Detallado!$A$11</c:f>
              <c:strCache>
                <c:ptCount val="1"/>
                <c:pt idx="0">
                  <c:v>Banco Chinchorro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Detallado!$B$2:$M$2</c:f>
              <c:strCache>
                <c:ptCount val="12"/>
                <c:pt idx="0">
                  <c:v>Salarios COBI</c:v>
                </c:pt>
                <c:pt idx="1">
                  <c:v>Buzos</c:v>
                </c:pt>
                <c:pt idx="2">
                  <c:v>Capitán</c:v>
                </c:pt>
                <c:pt idx="3">
                  <c:v>Personas de apoyo</c:v>
                </c:pt>
                <c:pt idx="4">
                  <c:v>Renta embarcación</c:v>
                </c:pt>
                <c:pt idx="5">
                  <c:v>Gasolina COBI</c:v>
                </c:pt>
                <c:pt idx="6">
                  <c:v>Gasolina embarcaciones</c:v>
                </c:pt>
                <c:pt idx="7">
                  <c:v>Hospedaje COBI</c:v>
                </c:pt>
                <c:pt idx="8">
                  <c:v>Alimentos COBI</c:v>
                </c:pt>
                <c:pt idx="9">
                  <c:v>Insumos para el monitoreo</c:v>
                </c:pt>
                <c:pt idx="10">
                  <c:v>Mantenimiento de equipo</c:v>
                </c:pt>
                <c:pt idx="11">
                  <c:v>Seguros</c:v>
                </c:pt>
              </c:strCache>
            </c:strRef>
          </c:cat>
          <c:val>
            <c:numRef>
              <c:f>Detallado!$B$11:$M$11</c:f>
              <c:numCache>
                <c:formatCode>_("$"* #,##0.00_);_("$"* \(#,##0.00\);_("$"* "-"??_);_(@_)</c:formatCode>
                <c:ptCount val="12"/>
                <c:pt idx="0">
                  <c:v>25025</c:v>
                </c:pt>
                <c:pt idx="1">
                  <c:v>90480</c:v>
                </c:pt>
                <c:pt idx="2">
                  <c:v>22620</c:v>
                </c:pt>
                <c:pt idx="3">
                  <c:v>26680</c:v>
                </c:pt>
                <c:pt idx="4">
                  <c:v>22620</c:v>
                </c:pt>
                <c:pt idx="5">
                  <c:v>2730</c:v>
                </c:pt>
                <c:pt idx="6">
                  <c:v>26325</c:v>
                </c:pt>
                <c:pt idx="7">
                  <c:v>7800</c:v>
                </c:pt>
                <c:pt idx="8">
                  <c:v>15600</c:v>
                </c:pt>
                <c:pt idx="9">
                  <c:v>7100</c:v>
                </c:pt>
                <c:pt idx="10">
                  <c:v>15500</c:v>
                </c:pt>
                <c:pt idx="11">
                  <c:v>20880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31664"/>
        <c:axId val="290430576"/>
      </c:lineChart>
      <c:catAx>
        <c:axId val="2904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430576"/>
        <c:crosses val="autoZero"/>
        <c:auto val="1"/>
        <c:lblAlgn val="ctr"/>
        <c:lblOffset val="100"/>
        <c:noMultiLvlLbl val="0"/>
      </c:catAx>
      <c:valAx>
        <c:axId val="290430576"/>
        <c:scaling>
          <c:orientation val="minMax"/>
        </c:scaling>
        <c:delete val="0"/>
        <c:axPos val="l"/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431664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0.34050774008142715"/>
          <c:y val="0.13575765500043827"/>
          <c:w val="0.63958780350888067"/>
          <c:h val="0.15405471074184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Cuanto necesitarían?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Detallado!$J$14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Detallado!$A$15:$A$23</c:f>
              <c:strCache>
                <c:ptCount val="9"/>
                <c:pt idx="0">
                  <c:v>El Rosario</c:v>
                </c:pt>
                <c:pt idx="1">
                  <c:v>Isla Natividad</c:v>
                </c:pt>
                <c:pt idx="2">
                  <c:v>La Bocana</c:v>
                </c:pt>
                <c:pt idx="3">
                  <c:v>Puerto Libertad</c:v>
                </c:pt>
                <c:pt idx="4">
                  <c:v>Isla San Pedro Nolasco</c:v>
                </c:pt>
                <c:pt idx="5">
                  <c:v>Punta Allen</c:v>
                </c:pt>
                <c:pt idx="6">
                  <c:v>María Elena</c:v>
                </c:pt>
                <c:pt idx="7">
                  <c:v>Punta Herrero</c:v>
                </c:pt>
                <c:pt idx="8">
                  <c:v>Banco Chinchorro</c:v>
                </c:pt>
              </c:strCache>
            </c:strRef>
          </c:cat>
          <c:val>
            <c:numRef>
              <c:f>Detallado!$J$15:$J$23</c:f>
              <c:numCache>
                <c:formatCode>_("$"* #,##0.00_);_("$"* \(#,##0.00\);_("$"* "-"??_);_(@_)</c:formatCode>
                <c:ptCount val="9"/>
                <c:pt idx="0">
                  <c:v>269804</c:v>
                </c:pt>
                <c:pt idx="1">
                  <c:v>190894</c:v>
                </c:pt>
                <c:pt idx="2">
                  <c:v>123704</c:v>
                </c:pt>
                <c:pt idx="3">
                  <c:v>70559.600000000006</c:v>
                </c:pt>
                <c:pt idx="4">
                  <c:v>96683</c:v>
                </c:pt>
                <c:pt idx="5">
                  <c:v>163792</c:v>
                </c:pt>
                <c:pt idx="6">
                  <c:v>93776</c:v>
                </c:pt>
                <c:pt idx="7">
                  <c:v>150340</c:v>
                </c:pt>
                <c:pt idx="8">
                  <c:v>209585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431120"/>
        <c:axId val="151364752"/>
      </c:barChart>
      <c:catAx>
        <c:axId val="2904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364752"/>
        <c:crosses val="autoZero"/>
        <c:auto val="1"/>
        <c:lblAlgn val="ctr"/>
        <c:lblOffset val="100"/>
        <c:noMultiLvlLbl val="0"/>
      </c:catAx>
      <c:valAx>
        <c:axId val="1513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04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</a:t>
            </a:r>
            <a:r>
              <a:rPr lang="en-US" baseline="0"/>
              <a:t> por 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Detallado!$P$2</c:f>
              <c:strCache>
                <c:ptCount val="1"/>
                <c:pt idx="0">
                  <c:v>Costo por 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Detallado!$A$15:$A$23</c:f>
              <c:strCache>
                <c:ptCount val="9"/>
                <c:pt idx="0">
                  <c:v>El Rosario</c:v>
                </c:pt>
                <c:pt idx="1">
                  <c:v>Isla Natividad</c:v>
                </c:pt>
                <c:pt idx="2">
                  <c:v>La Bocana</c:v>
                </c:pt>
                <c:pt idx="3">
                  <c:v>Puerto Libertad</c:v>
                </c:pt>
                <c:pt idx="4">
                  <c:v>Isla San Pedro Nolasco</c:v>
                </c:pt>
                <c:pt idx="5">
                  <c:v>Punta Allen</c:v>
                </c:pt>
                <c:pt idx="6">
                  <c:v>María Elena</c:v>
                </c:pt>
                <c:pt idx="7">
                  <c:v>Punta Herrero</c:v>
                </c:pt>
                <c:pt idx="8">
                  <c:v>Banco Chinchorro</c:v>
                </c:pt>
              </c:strCache>
            </c:strRef>
          </c:cat>
          <c:val>
            <c:numRef>
              <c:f>Detallado!$Q$3:$Q$11</c:f>
              <c:numCache>
                <c:formatCode>_("$"* #,##0.00_);_("$"* \(#,##0.00\);_("$"* "-"??_);_(@_)</c:formatCode>
                <c:ptCount val="9"/>
                <c:pt idx="0">
                  <c:v>1910.3083333333332</c:v>
                </c:pt>
                <c:pt idx="1">
                  <c:v>2184.9571428571426</c:v>
                </c:pt>
                <c:pt idx="2">
                  <c:v>2128.54</c:v>
                </c:pt>
                <c:pt idx="3">
                  <c:v>1321.5274999999999</c:v>
                </c:pt>
                <c:pt idx="4">
                  <c:v>1949.4</c:v>
                </c:pt>
                <c:pt idx="5">
                  <c:v>1130.6812500000001</c:v>
                </c:pt>
                <c:pt idx="6">
                  <c:v>911.375</c:v>
                </c:pt>
                <c:pt idx="7">
                  <c:v>961.52499999999998</c:v>
                </c:pt>
                <c:pt idx="8">
                  <c:v>1416.8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69104"/>
        <c:axId val="292269200"/>
      </c:barChart>
      <c:catAx>
        <c:axId val="1513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9200"/>
        <c:crosses val="autoZero"/>
        <c:auto val="1"/>
        <c:lblAlgn val="ctr"/>
        <c:lblOffset val="100"/>
        <c:noMultiLvlLbl val="0"/>
      </c:catAx>
      <c:valAx>
        <c:axId val="2922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3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Detallado!$B$38</c:f>
              <c:strCache>
                <c:ptCount val="1"/>
                <c:pt idx="0">
                  <c:v>Salaries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Detallado!$A$44:$A$47</c:f>
              <c:strCache>
                <c:ptCount val="4"/>
                <c:pt idx="0">
                  <c:v>Punta Allen</c:v>
                </c:pt>
                <c:pt idx="1">
                  <c:v>María Elena</c:v>
                </c:pt>
                <c:pt idx="2">
                  <c:v>Punta Herrero</c:v>
                </c:pt>
                <c:pt idx="3">
                  <c:v>Banco Chinchorro</c:v>
                </c:pt>
              </c:strCache>
            </c:strRef>
          </c:cat>
          <c:val>
            <c:numRef>
              <c:f>Detallado!$B$44:$B$47</c:f>
              <c:numCache>
                <c:formatCode>_("$"* #,##0.00_);_("$"* \(#,##0.00\);_("$"* "-"??_);_(@_)</c:formatCode>
                <c:ptCount val="4"/>
                <c:pt idx="0">
                  <c:v>499.03750000000002</c:v>
                </c:pt>
                <c:pt idx="1">
                  <c:v>421.91250000000002</c:v>
                </c:pt>
                <c:pt idx="2">
                  <c:v>534.33333333333337</c:v>
                </c:pt>
                <c:pt idx="3">
                  <c:v>824.02499999999998</c:v>
                </c:pt>
              </c:numCache>
            </c:numRef>
          </c:val>
        </c:ser>
        <c:ser>
          <c:idx val="1"/>
          <c:order val="1"/>
          <c:tx>
            <c:strRef>
              <c:f>Detallado!$C$38</c:f>
              <c:strCache>
                <c:ptCount val="1"/>
                <c:pt idx="0">
                  <c:v>Boats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Detallado!$A$44:$A$47</c:f>
              <c:strCache>
                <c:ptCount val="4"/>
                <c:pt idx="0">
                  <c:v>Punta Allen</c:v>
                </c:pt>
                <c:pt idx="1">
                  <c:v>María Elena</c:v>
                </c:pt>
                <c:pt idx="2">
                  <c:v>Punta Herrero</c:v>
                </c:pt>
                <c:pt idx="3">
                  <c:v>Banco Chinchorro</c:v>
                </c:pt>
              </c:strCache>
            </c:strRef>
          </c:cat>
          <c:val>
            <c:numRef>
              <c:f>Detallado!$C$44:$C$47</c:f>
              <c:numCache>
                <c:formatCode>_("$"* #,##0.00_);_("$"* \(#,##0.00\);_("$"* "-"??_);_(@_)</c:formatCode>
                <c:ptCount val="4"/>
                <c:pt idx="0">
                  <c:v>75.400000000000006</c:v>
                </c:pt>
                <c:pt idx="1">
                  <c:v>75.400000000000006</c:v>
                </c:pt>
                <c:pt idx="2">
                  <c:v>75.399999999999991</c:v>
                </c:pt>
                <c:pt idx="3">
                  <c:v>113.1</c:v>
                </c:pt>
              </c:numCache>
            </c:numRef>
          </c:val>
        </c:ser>
        <c:ser>
          <c:idx val="2"/>
          <c:order val="2"/>
          <c:tx>
            <c:strRef>
              <c:f>Detallado!$D$38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Detallado!$A$44:$A$47</c:f>
              <c:strCache>
                <c:ptCount val="4"/>
                <c:pt idx="0">
                  <c:v>Punta Allen</c:v>
                </c:pt>
                <c:pt idx="1">
                  <c:v>María Elena</c:v>
                </c:pt>
                <c:pt idx="2">
                  <c:v>Punta Herrero</c:v>
                </c:pt>
                <c:pt idx="3">
                  <c:v>Banco Chinchorro</c:v>
                </c:pt>
              </c:strCache>
            </c:strRef>
          </c:cat>
          <c:val>
            <c:numRef>
              <c:f>Detallado!$D$44:$D$47</c:f>
              <c:numCache>
                <c:formatCode>_("$"* #,##0.00_);_("$"* \(#,##0.00\);_("$"* "-"??_);_(@_)</c:formatCode>
                <c:ptCount val="4"/>
                <c:pt idx="0">
                  <c:v>84.09375</c:v>
                </c:pt>
                <c:pt idx="1">
                  <c:v>95.0625</c:v>
                </c:pt>
                <c:pt idx="2">
                  <c:v>79.625</c:v>
                </c:pt>
                <c:pt idx="3">
                  <c:v>145.27500000000001</c:v>
                </c:pt>
              </c:numCache>
            </c:numRef>
          </c:val>
        </c:ser>
        <c:ser>
          <c:idx val="3"/>
          <c:order val="3"/>
          <c:tx>
            <c:strRef>
              <c:f>Detallado!$E$38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Detallado!$A$44:$A$47</c:f>
              <c:strCache>
                <c:ptCount val="4"/>
                <c:pt idx="0">
                  <c:v>Punta Allen</c:v>
                </c:pt>
                <c:pt idx="1">
                  <c:v>María Elena</c:v>
                </c:pt>
                <c:pt idx="2">
                  <c:v>Punta Herrero</c:v>
                </c:pt>
                <c:pt idx="3">
                  <c:v>Banco Chinchorro</c:v>
                </c:pt>
              </c:strCache>
            </c:strRef>
          </c:cat>
          <c:val>
            <c:numRef>
              <c:f>Detallado!$E$44:$E$47</c:f>
              <c:numCache>
                <c:formatCode>_("$"* #,##0.00_);_("$"* \(#,##0.00\);_("$"* "-"??_);_(@_)</c:formatCode>
                <c:ptCount val="4"/>
                <c:pt idx="0">
                  <c:v>368.9</c:v>
                </c:pt>
                <c:pt idx="1">
                  <c:v>112.5</c:v>
                </c:pt>
                <c:pt idx="2">
                  <c:v>120</c:v>
                </c:pt>
                <c:pt idx="3">
                  <c:v>117</c:v>
                </c:pt>
              </c:numCache>
            </c:numRef>
          </c:val>
        </c:ser>
        <c:ser>
          <c:idx val="4"/>
          <c:order val="4"/>
          <c:tx>
            <c:strRef>
              <c:f>Detallado!$F$38</c:f>
              <c:strCache>
                <c:ptCount val="1"/>
                <c:pt idx="0">
                  <c:v>Material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Detallado!$A$44:$A$47</c:f>
              <c:strCache>
                <c:ptCount val="4"/>
                <c:pt idx="0">
                  <c:v>Punta Allen</c:v>
                </c:pt>
                <c:pt idx="1">
                  <c:v>María Elena</c:v>
                </c:pt>
                <c:pt idx="2">
                  <c:v>Punta Herrero</c:v>
                </c:pt>
                <c:pt idx="3">
                  <c:v>Banco Chinchorro</c:v>
                </c:pt>
              </c:strCache>
            </c:strRef>
          </c:cat>
          <c:val>
            <c:numRef>
              <c:f>Detallado!$F$44:$F$47</c:f>
              <c:numCache>
                <c:formatCode>_("$"* #,##0.00_);_("$"* \(#,##0.00\);_("$"* "-"??_);_(@_)</c:formatCode>
                <c:ptCount val="4"/>
                <c:pt idx="0">
                  <c:v>22.1875</c:v>
                </c:pt>
                <c:pt idx="1">
                  <c:v>44.375</c:v>
                </c:pt>
                <c:pt idx="2">
                  <c:v>29.583333333333332</c:v>
                </c:pt>
                <c:pt idx="3">
                  <c:v>35.5</c:v>
                </c:pt>
              </c:numCache>
            </c:numRef>
          </c:val>
        </c:ser>
        <c:ser>
          <c:idx val="5"/>
          <c:order val="5"/>
          <c:tx>
            <c:strRef>
              <c:f>Detallado!$G$38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Detallado!$A$44:$A$47</c:f>
              <c:strCache>
                <c:ptCount val="4"/>
                <c:pt idx="0">
                  <c:v>Punta Allen</c:v>
                </c:pt>
                <c:pt idx="1">
                  <c:v>María Elena</c:v>
                </c:pt>
                <c:pt idx="2">
                  <c:v>Punta Herrero</c:v>
                </c:pt>
                <c:pt idx="3">
                  <c:v>Banco Chinchorro</c:v>
                </c:pt>
              </c:strCache>
            </c:strRef>
          </c:cat>
          <c:val>
            <c:numRef>
              <c:f>Detallado!$G$44:$G$47</c:f>
              <c:numCache>
                <c:formatCode>_("$"* #,##0.00_);_("$"* \(#,##0.00\);_("$"* "-"??_);_(@_)</c:formatCode>
                <c:ptCount val="4"/>
                <c:pt idx="0">
                  <c:v>48.4375</c:v>
                </c:pt>
                <c:pt idx="1">
                  <c:v>96.875</c:v>
                </c:pt>
                <c:pt idx="2">
                  <c:v>64.583333333333329</c:v>
                </c:pt>
                <c:pt idx="3">
                  <c:v>77.5</c:v>
                </c:pt>
              </c:numCache>
            </c:numRef>
          </c:val>
        </c:ser>
        <c:ser>
          <c:idx val="6"/>
          <c:order val="6"/>
          <c:tx>
            <c:strRef>
              <c:f>Detallado!$H$38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Detallado!$A$44:$A$47</c:f>
              <c:strCache>
                <c:ptCount val="4"/>
                <c:pt idx="0">
                  <c:v>Punta Allen</c:v>
                </c:pt>
                <c:pt idx="1">
                  <c:v>María Elena</c:v>
                </c:pt>
                <c:pt idx="2">
                  <c:v>Punta Herrero</c:v>
                </c:pt>
                <c:pt idx="3">
                  <c:v>Banco Chinchorro</c:v>
                </c:pt>
              </c:strCache>
            </c:strRef>
          </c:cat>
          <c:val>
            <c:numRef>
              <c:f>Detallado!$H$44:$H$47</c:f>
              <c:numCache>
                <c:formatCode>_("$"* #,##0.00_);_("$"* \(#,##0.00\);_("$"* "-"??_);_(@_)</c:formatCode>
                <c:ptCount val="4"/>
                <c:pt idx="0">
                  <c:v>32.625</c:v>
                </c:pt>
                <c:pt idx="1">
                  <c:v>65.25</c:v>
                </c:pt>
                <c:pt idx="2">
                  <c:v>58</c:v>
                </c:pt>
                <c:pt idx="3">
                  <c:v>104.4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70832"/>
        <c:axId val="292266480"/>
      </c:barChart>
      <c:catAx>
        <c:axId val="29227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6480"/>
        <c:crosses val="autoZero"/>
        <c:auto val="1"/>
        <c:lblAlgn val="ctr"/>
        <c:lblOffset val="100"/>
        <c:noMultiLvlLbl val="0"/>
      </c:catAx>
      <c:valAx>
        <c:axId val="2922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Detallado!$B$38</c:f>
              <c:strCache>
                <c:ptCount val="1"/>
                <c:pt idx="0">
                  <c:v>Salaries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Detallado!$A$50:$A$51</c:f>
              <c:strCache>
                <c:ptCount val="2"/>
                <c:pt idx="0">
                  <c:v>With NGO</c:v>
                </c:pt>
                <c:pt idx="1">
                  <c:v>Without NGO</c:v>
                </c:pt>
              </c:strCache>
            </c:strRef>
          </c:cat>
          <c:val>
            <c:numRef>
              <c:f>Detallado!$B$50:$B$51</c:f>
              <c:numCache>
                <c:formatCode>_("$"* #,##0.00_);_("$"* \(#,##0.00\);_("$"* "-"??_);_(@_)</c:formatCode>
                <c:ptCount val="2"/>
                <c:pt idx="0">
                  <c:v>534.33333333333337</c:v>
                </c:pt>
                <c:pt idx="1">
                  <c:v>406</c:v>
                </c:pt>
              </c:numCache>
            </c:numRef>
          </c:val>
        </c:ser>
        <c:ser>
          <c:idx val="1"/>
          <c:order val="1"/>
          <c:tx>
            <c:strRef>
              <c:f>Detallado!$C$38</c:f>
              <c:strCache>
                <c:ptCount val="1"/>
                <c:pt idx="0">
                  <c:v>Boats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Detallado!$A$50:$A$51</c:f>
              <c:strCache>
                <c:ptCount val="2"/>
                <c:pt idx="0">
                  <c:v>With NGO</c:v>
                </c:pt>
                <c:pt idx="1">
                  <c:v>Without NGO</c:v>
                </c:pt>
              </c:strCache>
            </c:strRef>
          </c:cat>
          <c:val>
            <c:numRef>
              <c:f>Detallado!$C$50:$C$51</c:f>
              <c:numCache>
                <c:formatCode>_("$"* #,##0.00_);_("$"* \(#,##0.00\);_("$"* "-"??_);_(@_)</c:formatCode>
                <c:ptCount val="2"/>
                <c:pt idx="0">
                  <c:v>75.399999999999991</c:v>
                </c:pt>
                <c:pt idx="1">
                  <c:v>75.399999999999991</c:v>
                </c:pt>
              </c:numCache>
            </c:numRef>
          </c:val>
        </c:ser>
        <c:ser>
          <c:idx val="2"/>
          <c:order val="2"/>
          <c:tx>
            <c:strRef>
              <c:f>Detallado!$D$38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Detallado!$A$50:$A$51</c:f>
              <c:strCache>
                <c:ptCount val="2"/>
                <c:pt idx="0">
                  <c:v>With NGO</c:v>
                </c:pt>
                <c:pt idx="1">
                  <c:v>Without NGO</c:v>
                </c:pt>
              </c:strCache>
            </c:strRef>
          </c:cat>
          <c:val>
            <c:numRef>
              <c:f>Detallado!$D$50:$D$51</c:f>
              <c:numCache>
                <c:formatCode>_("$"* #,##0.00_);_("$"* \(#,##0.00\);_("$"* "-"??_);_(@_)</c:formatCode>
                <c:ptCount val="2"/>
                <c:pt idx="0">
                  <c:v>79.625</c:v>
                </c:pt>
                <c:pt idx="1">
                  <c:v>68.25</c:v>
                </c:pt>
              </c:numCache>
            </c:numRef>
          </c:val>
        </c:ser>
        <c:ser>
          <c:idx val="3"/>
          <c:order val="3"/>
          <c:tx>
            <c:strRef>
              <c:f>Detallado!$E$38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Detallado!$A$50:$A$51</c:f>
              <c:strCache>
                <c:ptCount val="2"/>
                <c:pt idx="0">
                  <c:v>With NGO</c:v>
                </c:pt>
                <c:pt idx="1">
                  <c:v>Without NGO</c:v>
                </c:pt>
              </c:strCache>
            </c:strRef>
          </c:cat>
          <c:val>
            <c:numRef>
              <c:f>Detallado!$E$50:$E$51</c:f>
              <c:numCache>
                <c:formatCode>_("$"* #,##0.00_);_("$"* \(#,##0.00\);_("$"* "-"??_);_(@_)</c:formatCode>
                <c:ptCount val="2"/>
                <c:pt idx="0">
                  <c:v>120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Detallado!$F$38</c:f>
              <c:strCache>
                <c:ptCount val="1"/>
                <c:pt idx="0">
                  <c:v>Material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Detallado!$A$50:$A$51</c:f>
              <c:strCache>
                <c:ptCount val="2"/>
                <c:pt idx="0">
                  <c:v>With NGO</c:v>
                </c:pt>
                <c:pt idx="1">
                  <c:v>Without NGO</c:v>
                </c:pt>
              </c:strCache>
            </c:strRef>
          </c:cat>
          <c:val>
            <c:numRef>
              <c:f>Detallado!$F$50:$F$51</c:f>
              <c:numCache>
                <c:formatCode>_("$"* #,##0.00_);_("$"* \(#,##0.00\);_("$"* "-"??_);_(@_)</c:formatCode>
                <c:ptCount val="2"/>
                <c:pt idx="0">
                  <c:v>29.583333333333332</c:v>
                </c:pt>
                <c:pt idx="1">
                  <c:v>29.583333333333332</c:v>
                </c:pt>
              </c:numCache>
            </c:numRef>
          </c:val>
        </c:ser>
        <c:ser>
          <c:idx val="5"/>
          <c:order val="5"/>
          <c:tx>
            <c:strRef>
              <c:f>Detallado!$G$38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Detallado!$A$50:$A$51</c:f>
              <c:strCache>
                <c:ptCount val="2"/>
                <c:pt idx="0">
                  <c:v>With NGO</c:v>
                </c:pt>
                <c:pt idx="1">
                  <c:v>Without NGO</c:v>
                </c:pt>
              </c:strCache>
            </c:strRef>
          </c:cat>
          <c:val>
            <c:numRef>
              <c:f>Detallado!$G$50:$G$51</c:f>
              <c:numCache>
                <c:formatCode>_("$"* #,##0.00_);_("$"* \(#,##0.00\);_("$"* "-"??_);_(@_)</c:formatCode>
                <c:ptCount val="2"/>
                <c:pt idx="0">
                  <c:v>64.583333333333329</c:v>
                </c:pt>
                <c:pt idx="1">
                  <c:v>64.583333333333329</c:v>
                </c:pt>
              </c:numCache>
            </c:numRef>
          </c:val>
        </c:ser>
        <c:ser>
          <c:idx val="6"/>
          <c:order val="6"/>
          <c:tx>
            <c:strRef>
              <c:f>Detallado!$H$38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Detallado!$A$50:$A$51</c:f>
              <c:strCache>
                <c:ptCount val="2"/>
                <c:pt idx="0">
                  <c:v>With NGO</c:v>
                </c:pt>
                <c:pt idx="1">
                  <c:v>Without NGO</c:v>
                </c:pt>
              </c:strCache>
            </c:strRef>
          </c:cat>
          <c:val>
            <c:numRef>
              <c:f>Detallado!$H$50:$H$51</c:f>
              <c:numCache>
                <c:formatCode>_("$"* #,##0.00_);_("$"* \(#,##0.00\);_("$"* "-"??_);_(@_)</c:formatCode>
                <c:ptCount val="2"/>
                <c:pt idx="0">
                  <c:v>58</c:v>
                </c:pt>
                <c:pt idx="1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75728"/>
        <c:axId val="292264848"/>
      </c:barChart>
      <c:catAx>
        <c:axId val="2922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4848"/>
        <c:crosses val="autoZero"/>
        <c:auto val="1"/>
        <c:lblAlgn val="ctr"/>
        <c:lblOffset val="100"/>
        <c:noMultiLvlLbl val="0"/>
      </c:catAx>
      <c:valAx>
        <c:axId val="2922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 b="1"/>
              <a:t>El</a:t>
            </a:r>
            <a:r>
              <a:rPr lang="es-MX" sz="1100" b="1" baseline="0"/>
              <a:t> Rosario</a:t>
            </a:r>
            <a:endParaRPr lang="es-MX" sz="1100" b="1"/>
          </a:p>
        </c:rich>
      </c:tx>
      <c:layout>
        <c:manualLayout>
          <c:xMode val="edge"/>
          <c:yMode val="edge"/>
          <c:x val="0.43471522309711286"/>
          <c:y val="5.2380952380952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'El Rosario'!$K$3</c:f>
              <c:strCache>
                <c:ptCount val="1"/>
                <c:pt idx="0">
                  <c:v>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 Rosario'!$J$4:$J$10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'El Rosario'!$K$4:$K$10</c:f>
              <c:numCache>
                <c:formatCode>_("$"* #,##0.00_);_("$"* \(#,##0.00\);_("$"* "-"??_);_(@_)</c:formatCode>
                <c:ptCount val="7"/>
                <c:pt idx="0">
                  <c:v>145131</c:v>
                </c:pt>
                <c:pt idx="1">
                  <c:v>0</c:v>
                </c:pt>
                <c:pt idx="2">
                  <c:v>15795</c:v>
                </c:pt>
                <c:pt idx="3">
                  <c:v>42000</c:v>
                </c:pt>
                <c:pt idx="4">
                  <c:v>18000</c:v>
                </c:pt>
                <c:pt idx="5" formatCode="&quot;$&quot;#,##0.00">
                  <c:v>16800</c:v>
                </c:pt>
                <c:pt idx="6" formatCode="&quot;$&quot;#,##0.00">
                  <c:v>13920</c:v>
                </c:pt>
              </c:numCache>
            </c:numRef>
          </c:val>
        </c:ser>
        <c:ser>
          <c:idx val="1"/>
          <c:order val="1"/>
          <c:tx>
            <c:strRef>
              <c:f>'El Rosario'!$L$3</c:f>
              <c:strCache>
                <c:ptCount val="1"/>
                <c:pt idx="0">
                  <c:v>Comunidad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 Rosario'!$J$4:$J$10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'El Rosario'!$L$4:$L$10</c:f>
              <c:numCache>
                <c:formatCode>_("$"* #,##0.00_);_("$"* \(#,##0.00\);_("$"* "-"??_);_(@_)</c:formatCode>
                <c:ptCount val="7"/>
                <c:pt idx="0">
                  <c:v>50388</c:v>
                </c:pt>
                <c:pt idx="1">
                  <c:v>84000</c:v>
                </c:pt>
                <c:pt idx="2">
                  <c:v>37440</c:v>
                </c:pt>
                <c:pt idx="3">
                  <c:v>0</c:v>
                </c:pt>
                <c:pt idx="4">
                  <c:v>0</c:v>
                </c:pt>
                <c:pt idx="5" formatCode="&quot;$&quot;#,##0.00">
                  <c:v>35000</c:v>
                </c:pt>
                <c:pt idx="6" formatCode="&quot;$&quot;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67568"/>
        <c:axId val="292263216"/>
      </c:barChart>
      <c:catAx>
        <c:axId val="2922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3216"/>
        <c:crosses val="autoZero"/>
        <c:auto val="1"/>
        <c:lblAlgn val="ctr"/>
        <c:lblOffset val="100"/>
        <c:noMultiLvlLbl val="0"/>
      </c:catAx>
      <c:valAx>
        <c:axId val="29226321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7568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Monitoreo Anual</a:t>
            </a:r>
            <a:endParaRPr lang="es-MX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4745625546806648"/>
          <c:y val="0.22637681159420289"/>
          <c:w val="0.82198818897637793"/>
          <c:h val="0.44891095134847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'Isla Natividad'!$K$3</c:f>
              <c:strCache>
                <c:ptCount val="1"/>
                <c:pt idx="0">
                  <c:v>COBI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'Isla Natividad'!$J$4:$J$10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'Isla Natividad'!$K$4:$K$10</c:f>
              <c:numCache>
                <c:formatCode>_("$"* #,##0.00_);_("$"* \(#,##0.00\);_("$"* "-"??_);_(@_)</c:formatCode>
                <c:ptCount val="7"/>
                <c:pt idx="0">
                  <c:v>108941</c:v>
                </c:pt>
                <c:pt idx="1">
                  <c:v>0</c:v>
                </c:pt>
                <c:pt idx="2">
                  <c:v>12675</c:v>
                </c:pt>
                <c:pt idx="3">
                  <c:v>25200</c:v>
                </c:pt>
                <c:pt idx="4">
                  <c:v>10800</c:v>
                </c:pt>
                <c:pt idx="5" formatCode="&quot;$&quot;#,##0.00">
                  <c:v>34300</c:v>
                </c:pt>
                <c:pt idx="6" formatCode="&quot;$&quot;#,##0.00">
                  <c:v>17400</c:v>
                </c:pt>
              </c:numCache>
            </c:numRef>
          </c:val>
        </c:ser>
        <c:ser>
          <c:idx val="1"/>
          <c:order val="1"/>
          <c:tx>
            <c:strRef>
              <c:f>'Isla Natividad'!$L$3</c:f>
              <c:strCache>
                <c:ptCount val="1"/>
                <c:pt idx="0">
                  <c:v>Comunidad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'Isla Natividad'!$J$4:$J$10</c:f>
              <c:strCache>
                <c:ptCount val="7"/>
                <c:pt idx="0">
                  <c:v>Salarios</c:v>
                </c:pt>
                <c:pt idx="1">
                  <c:v>Embarcaciones</c:v>
                </c:pt>
                <c:pt idx="2">
                  <c:v>Gasolina</c:v>
                </c:pt>
                <c:pt idx="3">
                  <c:v>Hospedaje</c:v>
                </c:pt>
                <c:pt idx="4">
                  <c:v>Alimentos</c:v>
                </c:pt>
                <c:pt idx="5">
                  <c:v>Equipo</c:v>
                </c:pt>
                <c:pt idx="6">
                  <c:v>Seguros</c:v>
                </c:pt>
              </c:strCache>
            </c:strRef>
          </c:cat>
          <c:val>
            <c:numRef>
              <c:f>'Isla Natividad'!$L$4:$L$10</c:f>
              <c:numCache>
                <c:formatCode>_("$"* #,##0.00_);_("$"* \(#,##0.00\);_("$"* "-"??_);_(@_)</c:formatCode>
                <c:ptCount val="7"/>
                <c:pt idx="0">
                  <c:v>5508</c:v>
                </c:pt>
                <c:pt idx="1">
                  <c:v>49000</c:v>
                </c:pt>
                <c:pt idx="2">
                  <c:v>24570</c:v>
                </c:pt>
                <c:pt idx="3">
                  <c:v>0</c:v>
                </c:pt>
                <c:pt idx="4">
                  <c:v>0</c:v>
                </c:pt>
                <c:pt idx="5" formatCode="&quot;$&quot;#,##0.00">
                  <c:v>17500</c:v>
                </c:pt>
                <c:pt idx="6" formatCode="&quot;$&quot;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265936"/>
        <c:axId val="292270288"/>
      </c:barChart>
      <c:catAx>
        <c:axId val="29226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70288"/>
        <c:crosses val="autoZero"/>
        <c:auto val="1"/>
        <c:lblAlgn val="ctr"/>
        <c:lblOffset val="100"/>
        <c:noMultiLvlLbl val="0"/>
      </c:catAx>
      <c:valAx>
        <c:axId val="2922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2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104494</xdr:colOff>
      <xdr:row>13</xdr:row>
      <xdr:rowOff>53789</xdr:rowOff>
    </xdr:from>
    <xdr:to>
      <xdr:col>20</xdr:col>
      <xdr:colOff>169769</xdr:colOff>
      <xdr:row>25</xdr:row>
      <xdr:rowOff>129989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387722</xdr:colOff>
      <xdr:row>26</xdr:row>
      <xdr:rowOff>79562</xdr:rowOff>
    </xdr:from>
    <xdr:to>
      <xdr:col>20</xdr:col>
      <xdr:colOff>391084</xdr:colOff>
      <xdr:row>38</xdr:row>
      <xdr:rowOff>41462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0</xdr:row>
      <xdr:rowOff>66675</xdr:rowOff>
    </xdr:from>
    <xdr:to>
      <xdr:col>19</xdr:col>
      <xdr:colOff>585787</xdr:colOff>
      <xdr:row>11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0</xdr:row>
      <xdr:rowOff>66675</xdr:rowOff>
    </xdr:from>
    <xdr:to>
      <xdr:col>19</xdr:col>
      <xdr:colOff>585787</xdr:colOff>
      <xdr:row>11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409015</xdr:colOff>
      <xdr:row>0</xdr:row>
      <xdr:rowOff>0</xdr:rowOff>
    </xdr:from>
    <xdr:to>
      <xdr:col>32</xdr:col>
      <xdr:colOff>78442</xdr:colOff>
      <xdr:row>16</xdr:row>
      <xdr:rowOff>127749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599513</xdr:colOff>
      <xdr:row>18</xdr:row>
      <xdr:rowOff>163605</xdr:rowOff>
    </xdr:from>
    <xdr:to>
      <xdr:col>20</xdr:col>
      <xdr:colOff>280146</xdr:colOff>
      <xdr:row>33</xdr:row>
      <xdr:rowOff>49305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190500</xdr:colOff>
      <xdr:row>18</xdr:row>
      <xdr:rowOff>44824</xdr:rowOff>
    </xdr:from>
    <xdr:to>
      <xdr:col>31</xdr:col>
      <xdr:colOff>72840</xdr:colOff>
      <xdr:row>32</xdr:row>
      <xdr:rowOff>121024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313764</xdr:colOff>
      <xdr:row>34</xdr:row>
      <xdr:rowOff>152399</xdr:rowOff>
    </xdr:from>
    <xdr:to>
      <xdr:col>18</xdr:col>
      <xdr:colOff>369793</xdr:colOff>
      <xdr:row>55</xdr:row>
      <xdr:rowOff>89646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582706</xdr:colOff>
      <xdr:row>55</xdr:row>
      <xdr:rowOff>78441</xdr:rowOff>
    </xdr:from>
    <xdr:to>
      <xdr:col>15</xdr:col>
      <xdr:colOff>168088</xdr:colOff>
      <xdr:row>78</xdr:row>
      <xdr:rowOff>15688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0</xdr:row>
      <xdr:rowOff>66675</xdr:rowOff>
    </xdr:from>
    <xdr:to>
      <xdr:col>19</xdr:col>
      <xdr:colOff>585787</xdr:colOff>
      <xdr:row>11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0</xdr:row>
      <xdr:rowOff>66675</xdr:rowOff>
    </xdr:from>
    <xdr:to>
      <xdr:col>19</xdr:col>
      <xdr:colOff>585787</xdr:colOff>
      <xdr:row>11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0</xdr:row>
      <xdr:rowOff>66675</xdr:rowOff>
    </xdr:from>
    <xdr:to>
      <xdr:col>19</xdr:col>
      <xdr:colOff>585787</xdr:colOff>
      <xdr:row>10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280987</xdr:colOff>
      <xdr:row>0</xdr:row>
      <xdr:rowOff>66675</xdr:rowOff>
    </xdr:from>
    <xdr:to>
      <xdr:col>19</xdr:col>
      <xdr:colOff>585787</xdr:colOff>
      <xdr:row>11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0</xdr:row>
      <xdr:rowOff>66675</xdr:rowOff>
    </xdr:from>
    <xdr:to>
      <xdr:col>19</xdr:col>
      <xdr:colOff>585787</xdr:colOff>
      <xdr:row>11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0</xdr:row>
      <xdr:rowOff>66675</xdr:rowOff>
    </xdr:from>
    <xdr:to>
      <xdr:col>19</xdr:col>
      <xdr:colOff>585787</xdr:colOff>
      <xdr:row>11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0</xdr:row>
      <xdr:rowOff>66675</xdr:rowOff>
    </xdr:from>
    <xdr:to>
      <xdr:col>19</xdr:col>
      <xdr:colOff>585787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280987</xdr:colOff>
      <xdr:row>0</xdr:row>
      <xdr:rowOff>66675</xdr:rowOff>
    </xdr:from>
    <xdr:to>
      <xdr:col>19</xdr:col>
      <xdr:colOff>585787</xdr:colOff>
      <xdr:row>11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280987</xdr:colOff>
      <xdr:row>0</xdr:row>
      <xdr:rowOff>66675</xdr:rowOff>
    </xdr:from>
    <xdr:to>
      <xdr:col>19</xdr:col>
      <xdr:colOff>585787</xdr:colOff>
      <xdr:row>11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11</xdr:row>
      <xdr:rowOff>276225</xdr:rowOff>
    </xdr:from>
    <xdr:to>
      <xdr:col>25</xdr:col>
      <xdr:colOff>285750</xdr:colOff>
      <xdr:row>24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defaultRowHeight="15" x14ac:dyDescent="0.25"/>
  <cols>
    <col min="1" max="1" width="9.140625" style="3"/>
    <col min="2" max="2" width="101.140625" customWidth="1"/>
  </cols>
  <sheetData>
    <row r="1" spans="1:3" x14ac:dyDescent="0.25">
      <c r="A1" s="95" t="s">
        <v>57</v>
      </c>
      <c r="B1" s="95"/>
    </row>
    <row r="2" spans="1:3" ht="30" x14ac:dyDescent="0.25">
      <c r="A2" s="3">
        <v>1</v>
      </c>
      <c r="B2" s="10" t="s">
        <v>80</v>
      </c>
    </row>
    <row r="3" spans="1:3" ht="30" x14ac:dyDescent="0.25">
      <c r="A3" s="3">
        <v>2</v>
      </c>
      <c r="B3" s="10" t="s">
        <v>81</v>
      </c>
    </row>
    <row r="4" spans="1:3" x14ac:dyDescent="0.25">
      <c r="A4" s="3">
        <v>3</v>
      </c>
      <c r="B4" t="s">
        <v>82</v>
      </c>
    </row>
    <row r="5" spans="1:3" ht="45" x14ac:dyDescent="0.25">
      <c r="A5" s="3">
        <v>4</v>
      </c>
      <c r="B5" s="10" t="s">
        <v>83</v>
      </c>
    </row>
    <row r="6" spans="1:3" ht="30" x14ac:dyDescent="0.25">
      <c r="A6" s="3">
        <v>5</v>
      </c>
      <c r="B6" s="10" t="s">
        <v>84</v>
      </c>
    </row>
    <row r="7" spans="1:3" x14ac:dyDescent="0.25">
      <c r="A7" s="3">
        <v>6</v>
      </c>
      <c r="B7" s="10" t="s">
        <v>58</v>
      </c>
    </row>
    <row r="8" spans="1:3" x14ac:dyDescent="0.25">
      <c r="A8" s="3">
        <v>7</v>
      </c>
      <c r="B8" s="10" t="s">
        <v>61</v>
      </c>
    </row>
    <row r="9" spans="1:3" x14ac:dyDescent="0.25">
      <c r="A9" s="3">
        <v>8</v>
      </c>
      <c r="B9" s="10" t="s">
        <v>85</v>
      </c>
    </row>
    <row r="10" spans="1:3" x14ac:dyDescent="0.25">
      <c r="A10" s="3">
        <v>9</v>
      </c>
      <c r="B10" s="10" t="s">
        <v>130</v>
      </c>
      <c r="C10">
        <v>19.2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G16" sqref="G16"/>
    </sheetView>
  </sheetViews>
  <sheetFormatPr defaultRowHeight="15" x14ac:dyDescent="0.25"/>
  <cols>
    <col min="1" max="1" width="31.140625" customWidth="1"/>
    <col min="2" max="2" width="16.85546875" customWidth="1"/>
    <col min="3" max="3" width="32.42578125" style="4" customWidth="1"/>
    <col min="4" max="4" width="5.5703125" customWidth="1"/>
    <col min="5" max="5" width="15.85546875" customWidth="1"/>
    <col min="6" max="6" width="25.7109375" customWidth="1"/>
    <col min="7" max="7" width="12.5703125" bestFit="1" customWidth="1"/>
    <col min="8" max="8" width="14.85546875" customWidth="1"/>
    <col min="11" max="12" width="12.5703125" bestFit="1" customWidth="1"/>
  </cols>
  <sheetData>
    <row r="1" spans="1:12" x14ac:dyDescent="0.25">
      <c r="A1" s="18" t="s">
        <v>0</v>
      </c>
      <c r="B1" s="16" t="s">
        <v>43</v>
      </c>
      <c r="C1" s="19" t="s">
        <v>22</v>
      </c>
      <c r="E1" s="23"/>
      <c r="F1" s="24"/>
      <c r="G1" s="40" t="s">
        <v>100</v>
      </c>
      <c r="H1" s="42" t="s">
        <v>100</v>
      </c>
    </row>
    <row r="2" spans="1:12" x14ac:dyDescent="0.25">
      <c r="A2" s="15" t="s">
        <v>1</v>
      </c>
      <c r="B2" s="12">
        <v>2</v>
      </c>
      <c r="C2" s="17" t="s">
        <v>23</v>
      </c>
      <c r="E2" s="25"/>
      <c r="F2" s="22"/>
      <c r="G2" s="41" t="s">
        <v>4</v>
      </c>
      <c r="H2" s="43" t="s">
        <v>0</v>
      </c>
      <c r="J2" s="2" t="s">
        <v>136</v>
      </c>
    </row>
    <row r="3" spans="1:12" ht="30" x14ac:dyDescent="0.25">
      <c r="A3" s="15" t="s">
        <v>2</v>
      </c>
      <c r="B3" s="12">
        <v>3211.27</v>
      </c>
      <c r="C3" s="17" t="s">
        <v>101</v>
      </c>
      <c r="E3" s="30" t="s">
        <v>12</v>
      </c>
      <c r="F3" s="26" t="s">
        <v>52</v>
      </c>
      <c r="G3" s="27">
        <f>(B5*B21)+(B5*B22)</f>
        <v>53900</v>
      </c>
      <c r="H3" s="28">
        <v>0</v>
      </c>
      <c r="J3" s="80"/>
      <c r="K3" s="81" t="s">
        <v>4</v>
      </c>
      <c r="L3" s="81" t="s">
        <v>0</v>
      </c>
    </row>
    <row r="4" spans="1:12" ht="23.25" customHeight="1" x14ac:dyDescent="0.25">
      <c r="A4" s="15" t="s">
        <v>102</v>
      </c>
      <c r="B4" s="52">
        <v>16</v>
      </c>
      <c r="C4" s="17" t="s">
        <v>103</v>
      </c>
      <c r="E4" s="31"/>
      <c r="F4" s="26" t="s">
        <v>5</v>
      </c>
      <c r="G4" s="27">
        <f>B7*B14*B4</f>
        <v>72384</v>
      </c>
      <c r="H4" s="28">
        <v>0</v>
      </c>
      <c r="J4" s="81" t="s">
        <v>123</v>
      </c>
      <c r="K4" s="82">
        <f>SUM(G3:G6)</f>
        <v>159692</v>
      </c>
      <c r="L4" s="82">
        <f>SUM(H3:H6)</f>
        <v>0</v>
      </c>
    </row>
    <row r="5" spans="1:12" ht="23.25" x14ac:dyDescent="0.25">
      <c r="A5" s="15" t="s">
        <v>104</v>
      </c>
      <c r="B5" s="52">
        <v>28</v>
      </c>
      <c r="C5" s="17" t="s">
        <v>105</v>
      </c>
      <c r="E5" s="31"/>
      <c r="F5" s="26" t="s">
        <v>106</v>
      </c>
      <c r="G5" s="27">
        <f>B8*B15*B4</f>
        <v>24128</v>
      </c>
      <c r="H5" s="28">
        <v>0</v>
      </c>
      <c r="J5" s="81" t="s">
        <v>135</v>
      </c>
      <c r="K5" s="82">
        <f>G7</f>
        <v>24128</v>
      </c>
      <c r="L5" s="82">
        <f>H7</f>
        <v>0</v>
      </c>
    </row>
    <row r="6" spans="1:12" ht="23.25" x14ac:dyDescent="0.25">
      <c r="A6" s="15" t="s">
        <v>50</v>
      </c>
      <c r="B6" s="52">
        <v>2</v>
      </c>
      <c r="C6" s="17" t="s">
        <v>51</v>
      </c>
      <c r="E6" s="31"/>
      <c r="F6" s="26" t="s">
        <v>53</v>
      </c>
      <c r="G6" s="27">
        <f>B10*B17*B4</f>
        <v>9280</v>
      </c>
      <c r="H6" s="29">
        <v>0</v>
      </c>
      <c r="J6" s="81" t="s">
        <v>124</v>
      </c>
      <c r="K6" s="82">
        <f>SUM(G9:G10)</f>
        <v>26910</v>
      </c>
      <c r="L6" s="82">
        <f>SUM(H9:H10)</f>
        <v>0</v>
      </c>
    </row>
    <row r="7" spans="1:12" x14ac:dyDescent="0.25">
      <c r="A7" s="15" t="s">
        <v>14</v>
      </c>
      <c r="B7" s="52">
        <v>6</v>
      </c>
      <c r="C7" s="17" t="s">
        <v>24</v>
      </c>
      <c r="E7" s="31"/>
      <c r="F7" s="26" t="s">
        <v>107</v>
      </c>
      <c r="G7" s="59">
        <f>B9*B16*B4</f>
        <v>24128</v>
      </c>
      <c r="H7" s="28">
        <v>0</v>
      </c>
      <c r="J7" s="81" t="s">
        <v>73</v>
      </c>
      <c r="K7" s="82">
        <f>G11</f>
        <v>84448</v>
      </c>
      <c r="L7" s="82">
        <f>H11</f>
        <v>0</v>
      </c>
    </row>
    <row r="8" spans="1:12" x14ac:dyDescent="0.25">
      <c r="A8" s="15" t="s">
        <v>15</v>
      </c>
      <c r="B8" s="52">
        <v>2</v>
      </c>
      <c r="C8" s="17" t="s">
        <v>25</v>
      </c>
      <c r="E8" s="32"/>
      <c r="F8" s="46" t="s">
        <v>13</v>
      </c>
      <c r="G8" s="47">
        <f>SUM(G3:G7)</f>
        <v>183820</v>
      </c>
      <c r="H8" s="48">
        <f>SUM(H4:H7)</f>
        <v>0</v>
      </c>
      <c r="J8" s="81" t="s">
        <v>125</v>
      </c>
      <c r="K8" s="82">
        <f>G12</f>
        <v>33600</v>
      </c>
      <c r="L8" s="82">
        <f>H12</f>
        <v>0</v>
      </c>
    </row>
    <row r="9" spans="1:12" x14ac:dyDescent="0.25">
      <c r="A9" s="15" t="s">
        <v>19</v>
      </c>
      <c r="B9" s="52">
        <v>2</v>
      </c>
      <c r="C9" s="17" t="s">
        <v>26</v>
      </c>
      <c r="E9" s="30" t="s">
        <v>86</v>
      </c>
      <c r="F9" s="26" t="s">
        <v>6</v>
      </c>
      <c r="G9" s="27">
        <f>B12*B18</f>
        <v>1950</v>
      </c>
      <c r="H9" s="28"/>
      <c r="J9" s="81" t="s">
        <v>3</v>
      </c>
      <c r="K9" s="83">
        <f>SUM(G14:G15)</f>
        <v>22600</v>
      </c>
      <c r="L9" s="83">
        <f>SUM(H14:H15)</f>
        <v>0</v>
      </c>
    </row>
    <row r="10" spans="1:12" ht="34.5" x14ac:dyDescent="0.25">
      <c r="A10" s="15" t="s">
        <v>20</v>
      </c>
      <c r="B10" s="52">
        <v>1</v>
      </c>
      <c r="C10" s="17" t="s">
        <v>27</v>
      </c>
      <c r="E10" s="31"/>
      <c r="F10" s="26" t="s">
        <v>7</v>
      </c>
      <c r="G10" s="27">
        <f>B11*B9*B18*B4</f>
        <v>24960</v>
      </c>
      <c r="H10" s="28"/>
      <c r="J10" s="81" t="s">
        <v>62</v>
      </c>
      <c r="K10" s="83">
        <f>G16</f>
        <v>10440</v>
      </c>
      <c r="L10" s="83">
        <f>H16</f>
        <v>0</v>
      </c>
    </row>
    <row r="11" spans="1:12" ht="30" x14ac:dyDescent="0.25">
      <c r="A11" s="15" t="s">
        <v>108</v>
      </c>
      <c r="B11" s="52">
        <v>40</v>
      </c>
      <c r="C11" s="17" t="s">
        <v>109</v>
      </c>
      <c r="E11" s="31"/>
      <c r="F11" s="26" t="s">
        <v>8</v>
      </c>
      <c r="G11" s="27">
        <f>B5*B19*B6</f>
        <v>84448</v>
      </c>
      <c r="H11" s="28"/>
    </row>
    <row r="12" spans="1:12" ht="23.25" x14ac:dyDescent="0.25">
      <c r="A12" s="15" t="s">
        <v>18</v>
      </c>
      <c r="B12" s="52">
        <v>100</v>
      </c>
      <c r="C12" s="17" t="s">
        <v>28</v>
      </c>
      <c r="E12" s="31"/>
      <c r="F12" s="26" t="s">
        <v>9</v>
      </c>
      <c r="G12" s="27">
        <f>B5*B6*B20*B13</f>
        <v>33600</v>
      </c>
      <c r="H12" s="28"/>
      <c r="J12" s="2" t="s">
        <v>127</v>
      </c>
    </row>
    <row r="13" spans="1:12" ht="23.25" x14ac:dyDescent="0.25">
      <c r="A13" s="15" t="s">
        <v>110</v>
      </c>
      <c r="B13" s="52">
        <v>3</v>
      </c>
      <c r="C13" s="17" t="s">
        <v>111</v>
      </c>
      <c r="E13" s="32"/>
      <c r="F13" s="46" t="s">
        <v>13</v>
      </c>
      <c r="G13" s="47">
        <f>SUM(G9:G12)</f>
        <v>144958</v>
      </c>
      <c r="H13" s="48">
        <f>SUM(H9:H12)</f>
        <v>0</v>
      </c>
      <c r="J13" s="80"/>
      <c r="K13" s="81" t="s">
        <v>0</v>
      </c>
      <c r="L13" s="81"/>
    </row>
    <row r="14" spans="1:12" x14ac:dyDescent="0.25">
      <c r="A14" s="15" t="s">
        <v>16</v>
      </c>
      <c r="B14" s="44">
        <v>754</v>
      </c>
      <c r="C14" s="17" t="s">
        <v>33</v>
      </c>
      <c r="E14" s="33" t="s">
        <v>3</v>
      </c>
      <c r="F14" s="26" t="s">
        <v>54</v>
      </c>
      <c r="G14" s="36">
        <f>B24</f>
        <v>7100</v>
      </c>
      <c r="H14" s="37"/>
      <c r="J14" s="81" t="s">
        <v>123</v>
      </c>
      <c r="K14" s="82">
        <f>SUM(G4:H6)</f>
        <v>105792</v>
      </c>
      <c r="L14" s="82"/>
    </row>
    <row r="15" spans="1:12" x14ac:dyDescent="0.25">
      <c r="A15" s="15" t="s">
        <v>112</v>
      </c>
      <c r="B15" s="44">
        <v>754</v>
      </c>
      <c r="C15" s="17" t="s">
        <v>113</v>
      </c>
      <c r="E15" s="34"/>
      <c r="F15" s="26" t="s">
        <v>99</v>
      </c>
      <c r="G15" s="38">
        <f>B25</f>
        <v>15500</v>
      </c>
      <c r="H15" s="39"/>
      <c r="J15" s="81" t="s">
        <v>135</v>
      </c>
      <c r="K15" s="82">
        <v>0</v>
      </c>
      <c r="L15" s="82"/>
    </row>
    <row r="16" spans="1:12" x14ac:dyDescent="0.25">
      <c r="A16" s="15" t="s">
        <v>114</v>
      </c>
      <c r="B16" s="44">
        <v>754</v>
      </c>
      <c r="C16" s="17" t="s">
        <v>118</v>
      </c>
      <c r="E16" s="34"/>
      <c r="F16" s="45" t="s">
        <v>62</v>
      </c>
      <c r="G16" s="38">
        <f>(B23*B7)</f>
        <v>10440</v>
      </c>
      <c r="H16" s="39"/>
      <c r="J16" s="81" t="s">
        <v>124</v>
      </c>
      <c r="K16" s="82">
        <f>SUM(G10:H10)</f>
        <v>24960</v>
      </c>
      <c r="L16" s="82"/>
    </row>
    <row r="17" spans="1:12" ht="15.75" thickBot="1" x14ac:dyDescent="0.3">
      <c r="A17" s="15" t="s">
        <v>21</v>
      </c>
      <c r="B17" s="44">
        <v>580</v>
      </c>
      <c r="C17" s="17" t="s">
        <v>31</v>
      </c>
      <c r="E17" s="35"/>
      <c r="F17" s="49" t="s">
        <v>13</v>
      </c>
      <c r="G17" s="50">
        <f>SUM(G14:G16)</f>
        <v>33040</v>
      </c>
      <c r="H17" s="51">
        <f>SUM(H14:H16)</f>
        <v>0</v>
      </c>
      <c r="J17" s="81" t="s">
        <v>3</v>
      </c>
      <c r="K17" s="83">
        <f>SUM(G14:H15)</f>
        <v>22600</v>
      </c>
      <c r="L17" s="83"/>
    </row>
    <row r="18" spans="1:12" x14ac:dyDescent="0.25">
      <c r="A18" s="15" t="s">
        <v>17</v>
      </c>
      <c r="B18" s="44">
        <v>19.5</v>
      </c>
      <c r="C18" s="17" t="s">
        <v>32</v>
      </c>
      <c r="J18" s="81" t="s">
        <v>62</v>
      </c>
      <c r="K18" s="83">
        <f>SUM(G16:H16)</f>
        <v>10440</v>
      </c>
      <c r="L18" s="83"/>
    </row>
    <row r="19" spans="1:12" x14ac:dyDescent="0.25">
      <c r="A19" s="15" t="s">
        <v>116</v>
      </c>
      <c r="B19" s="44">
        <v>1508</v>
      </c>
      <c r="C19" s="17" t="s">
        <v>117</v>
      </c>
      <c r="J19" s="81" t="s">
        <v>128</v>
      </c>
      <c r="K19" s="84">
        <f>SUM(K14:K18)</f>
        <v>163792</v>
      </c>
      <c r="L19" s="83"/>
    </row>
    <row r="20" spans="1:12" ht="30" x14ac:dyDescent="0.25">
      <c r="A20" s="15" t="s">
        <v>29</v>
      </c>
      <c r="B20" s="13">
        <v>200</v>
      </c>
      <c r="C20" s="17" t="s">
        <v>30</v>
      </c>
      <c r="J20" s="81" t="s">
        <v>129</v>
      </c>
      <c r="K20" s="83">
        <f>K19/Notas!$C$10</f>
        <v>8530.8333333333339</v>
      </c>
      <c r="L20" s="83"/>
    </row>
    <row r="21" spans="1:12" x14ac:dyDescent="0.25">
      <c r="A21" s="15" t="s">
        <v>92</v>
      </c>
      <c r="B21" s="13">
        <v>1200</v>
      </c>
      <c r="C21" s="17" t="s">
        <v>34</v>
      </c>
    </row>
    <row r="22" spans="1:12" x14ac:dyDescent="0.25">
      <c r="A22" s="15" t="s">
        <v>93</v>
      </c>
      <c r="B22" s="13">
        <v>725</v>
      </c>
      <c r="C22" s="17" t="s">
        <v>94</v>
      </c>
    </row>
    <row r="23" spans="1:12" ht="30" x14ac:dyDescent="0.25">
      <c r="A23" s="15" t="s">
        <v>36</v>
      </c>
      <c r="B23" s="13">
        <v>1740</v>
      </c>
      <c r="C23" s="17" t="s">
        <v>35</v>
      </c>
    </row>
    <row r="24" spans="1:12" ht="30" x14ac:dyDescent="0.25">
      <c r="A24" s="15" t="s">
        <v>55</v>
      </c>
      <c r="B24" s="14">
        <f>SUM(B40)</f>
        <v>7100</v>
      </c>
      <c r="C24" s="17" t="s">
        <v>95</v>
      </c>
    </row>
    <row r="25" spans="1:12" ht="23.25" x14ac:dyDescent="0.25">
      <c r="A25" s="15" t="s">
        <v>96</v>
      </c>
      <c r="B25" s="14">
        <f>SUM(B53)</f>
        <v>15500</v>
      </c>
      <c r="C25" s="17" t="s">
        <v>97</v>
      </c>
    </row>
    <row r="26" spans="1:12" x14ac:dyDescent="0.25">
      <c r="G26" s="1"/>
      <c r="H26" s="1"/>
    </row>
    <row r="28" spans="1:12" s="4" customFormat="1" ht="26.25" customHeight="1" x14ac:dyDescent="0.25">
      <c r="A28" s="21" t="s">
        <v>56</v>
      </c>
      <c r="B28" s="53" t="s">
        <v>49</v>
      </c>
      <c r="D28"/>
      <c r="E28"/>
      <c r="F28"/>
      <c r="G28"/>
      <c r="H28"/>
    </row>
    <row r="29" spans="1:12" s="4" customFormat="1" x14ac:dyDescent="0.25">
      <c r="A29" s="5" t="s">
        <v>37</v>
      </c>
      <c r="B29" s="6">
        <v>1900</v>
      </c>
      <c r="D29"/>
      <c r="E29"/>
      <c r="F29"/>
      <c r="G29"/>
      <c r="H29"/>
    </row>
    <row r="30" spans="1:12" s="4" customFormat="1" x14ac:dyDescent="0.25">
      <c r="A30" s="5" t="s">
        <v>38</v>
      </c>
      <c r="B30" s="6">
        <v>500</v>
      </c>
      <c r="D30"/>
      <c r="E30"/>
      <c r="F30"/>
      <c r="G30"/>
      <c r="H30"/>
    </row>
    <row r="31" spans="1:12" s="4" customFormat="1" x14ac:dyDescent="0.25">
      <c r="A31" s="5" t="s">
        <v>98</v>
      </c>
      <c r="B31" s="6">
        <v>2200</v>
      </c>
      <c r="D31"/>
      <c r="E31"/>
      <c r="F31"/>
      <c r="G31"/>
      <c r="H31"/>
    </row>
    <row r="32" spans="1:12" s="4" customFormat="1" x14ac:dyDescent="0.25">
      <c r="A32" s="5" t="s">
        <v>64</v>
      </c>
      <c r="B32" s="6">
        <v>1000</v>
      </c>
      <c r="D32"/>
      <c r="E32"/>
      <c r="F32"/>
      <c r="G32"/>
      <c r="H32"/>
    </row>
    <row r="33" spans="1:8" s="4" customFormat="1" x14ac:dyDescent="0.25">
      <c r="A33" s="5" t="s">
        <v>65</v>
      </c>
      <c r="B33" s="6">
        <v>1500</v>
      </c>
      <c r="D33"/>
      <c r="E33"/>
      <c r="F33"/>
      <c r="G33"/>
      <c r="H33"/>
    </row>
    <row r="34" spans="1:8" s="4" customFormat="1" x14ac:dyDescent="0.25">
      <c r="A34" s="5"/>
      <c r="B34" s="6">
        <v>0</v>
      </c>
      <c r="D34"/>
      <c r="E34"/>
      <c r="F34"/>
      <c r="G34"/>
      <c r="H34"/>
    </row>
    <row r="35" spans="1:8" s="4" customFormat="1" x14ac:dyDescent="0.25">
      <c r="A35" s="5"/>
      <c r="B35" s="6">
        <v>0</v>
      </c>
      <c r="D35"/>
      <c r="E35"/>
      <c r="F35"/>
      <c r="G35"/>
      <c r="H35"/>
    </row>
    <row r="36" spans="1:8" s="4" customFormat="1" x14ac:dyDescent="0.25">
      <c r="A36" s="5"/>
      <c r="B36" s="6">
        <v>0</v>
      </c>
      <c r="D36"/>
      <c r="E36"/>
      <c r="F36"/>
      <c r="G36"/>
      <c r="H36"/>
    </row>
    <row r="37" spans="1:8" s="4" customFormat="1" x14ac:dyDescent="0.25">
      <c r="A37" s="5"/>
      <c r="B37" s="6">
        <v>0</v>
      </c>
      <c r="D37"/>
      <c r="E37"/>
      <c r="F37"/>
      <c r="G37"/>
      <c r="H37"/>
    </row>
    <row r="38" spans="1:8" s="4" customFormat="1" x14ac:dyDescent="0.25">
      <c r="A38" s="5"/>
      <c r="B38" s="6">
        <v>0</v>
      </c>
      <c r="D38"/>
      <c r="E38"/>
      <c r="F38"/>
      <c r="G38"/>
      <c r="H38"/>
    </row>
    <row r="39" spans="1:8" s="4" customFormat="1" x14ac:dyDescent="0.25">
      <c r="A39" s="5"/>
      <c r="B39" s="6">
        <v>0</v>
      </c>
      <c r="D39"/>
      <c r="E39"/>
      <c r="F39"/>
      <c r="G39"/>
      <c r="H39"/>
    </row>
    <row r="40" spans="1:8" s="4" customFormat="1" ht="15.75" thickBot="1" x14ac:dyDescent="0.3">
      <c r="A40" s="8" t="s">
        <v>13</v>
      </c>
      <c r="B40" s="9">
        <f>SUM(B29:B39)</f>
        <v>7100</v>
      </c>
      <c r="D40"/>
      <c r="E40"/>
      <c r="F40"/>
      <c r="G40"/>
      <c r="H40"/>
    </row>
    <row r="41" spans="1:8" s="4" customFormat="1" ht="15.75" thickTop="1" x14ac:dyDescent="0.25">
      <c r="A41"/>
      <c r="B41"/>
      <c r="D41"/>
      <c r="E41"/>
      <c r="F41"/>
      <c r="G41"/>
      <c r="H41"/>
    </row>
    <row r="42" spans="1:8" s="4" customFormat="1" ht="30" x14ac:dyDescent="0.25">
      <c r="A42" s="21" t="s">
        <v>99</v>
      </c>
      <c r="B42" s="53" t="s">
        <v>49</v>
      </c>
      <c r="D42"/>
      <c r="E42"/>
      <c r="F42"/>
      <c r="G42"/>
      <c r="H42"/>
    </row>
    <row r="43" spans="1:8" s="4" customFormat="1" x14ac:dyDescent="0.25">
      <c r="A43" s="5" t="s">
        <v>47</v>
      </c>
      <c r="B43" s="6">
        <v>1500</v>
      </c>
      <c r="D43"/>
      <c r="E43"/>
      <c r="F43"/>
      <c r="G43"/>
      <c r="H43"/>
    </row>
    <row r="44" spans="1:8" s="4" customFormat="1" x14ac:dyDescent="0.25">
      <c r="A44" s="5" t="s">
        <v>11</v>
      </c>
      <c r="B44" s="6">
        <v>7500</v>
      </c>
      <c r="D44"/>
      <c r="E44"/>
      <c r="F44"/>
      <c r="G44"/>
      <c r="H44"/>
    </row>
    <row r="45" spans="1:8" s="4" customFormat="1" x14ac:dyDescent="0.25">
      <c r="A45" s="5" t="s">
        <v>48</v>
      </c>
      <c r="B45" s="6">
        <v>4000</v>
      </c>
      <c r="D45"/>
      <c r="E45"/>
      <c r="F45"/>
      <c r="G45"/>
      <c r="H45"/>
    </row>
    <row r="46" spans="1:8" s="4" customFormat="1" x14ac:dyDescent="0.25">
      <c r="A46" s="5" t="s">
        <v>63</v>
      </c>
      <c r="B46" s="6">
        <v>2500</v>
      </c>
      <c r="D46"/>
      <c r="E46"/>
      <c r="F46"/>
      <c r="G46"/>
      <c r="H46"/>
    </row>
    <row r="47" spans="1:8" s="4" customFormat="1" x14ac:dyDescent="0.25">
      <c r="A47" s="5"/>
      <c r="B47" s="6">
        <v>0</v>
      </c>
      <c r="D47"/>
      <c r="E47"/>
      <c r="F47"/>
      <c r="G47"/>
      <c r="H47"/>
    </row>
    <row r="48" spans="1:8" s="4" customFormat="1" x14ac:dyDescent="0.25">
      <c r="A48" s="5"/>
      <c r="B48" s="6">
        <v>0</v>
      </c>
      <c r="D48"/>
      <c r="E48"/>
      <c r="F48"/>
      <c r="G48"/>
      <c r="H48"/>
    </row>
    <row r="49" spans="1:8" s="4" customFormat="1" x14ac:dyDescent="0.25">
      <c r="A49" s="5"/>
      <c r="B49" s="6">
        <v>0</v>
      </c>
      <c r="D49"/>
      <c r="E49"/>
      <c r="F49"/>
      <c r="G49"/>
      <c r="H49"/>
    </row>
    <row r="50" spans="1:8" s="4" customFormat="1" x14ac:dyDescent="0.25">
      <c r="A50" s="5"/>
      <c r="B50" s="6">
        <v>0</v>
      </c>
      <c r="D50"/>
      <c r="E50"/>
      <c r="F50"/>
      <c r="G50"/>
      <c r="H50"/>
    </row>
    <row r="51" spans="1:8" s="4" customFormat="1" x14ac:dyDescent="0.25">
      <c r="A51" s="5"/>
      <c r="B51" s="6">
        <v>0</v>
      </c>
      <c r="D51"/>
      <c r="E51"/>
      <c r="F51"/>
      <c r="G51"/>
      <c r="H51"/>
    </row>
    <row r="52" spans="1:8" s="4" customFormat="1" x14ac:dyDescent="0.25">
      <c r="A52" s="5"/>
      <c r="B52" s="6">
        <v>0</v>
      </c>
      <c r="D52"/>
      <c r="E52"/>
      <c r="F52"/>
      <c r="G52"/>
      <c r="H52"/>
    </row>
    <row r="53" spans="1:8" s="4" customFormat="1" ht="15.75" thickBot="1" x14ac:dyDescent="0.3">
      <c r="A53" s="8" t="s">
        <v>13</v>
      </c>
      <c r="B53" s="9">
        <f>SUM(B42:B52)</f>
        <v>15500</v>
      </c>
      <c r="D53"/>
      <c r="E53"/>
      <c r="F53"/>
      <c r="G53"/>
      <c r="H53"/>
    </row>
    <row r="54" spans="1:8" s="4" customFormat="1" ht="15.75" thickTop="1" x14ac:dyDescent="0.25">
      <c r="A54"/>
      <c r="B54"/>
      <c r="D54"/>
      <c r="E54"/>
      <c r="F54"/>
      <c r="G54"/>
      <c r="H54"/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I3" workbookViewId="0">
      <selection activeCell="Q13" sqref="Q13"/>
    </sheetView>
  </sheetViews>
  <sheetFormatPr defaultRowHeight="15" x14ac:dyDescent="0.25"/>
  <cols>
    <col min="1" max="1" width="31.140625" customWidth="1"/>
    <col min="2" max="2" width="16.85546875" customWidth="1"/>
    <col min="3" max="3" width="32.42578125" style="4" customWidth="1"/>
    <col min="4" max="4" width="5.5703125" customWidth="1"/>
    <col min="5" max="5" width="15.85546875" customWidth="1"/>
    <col min="6" max="6" width="25.7109375" customWidth="1"/>
    <col min="7" max="7" width="12.5703125" bestFit="1" customWidth="1"/>
    <col min="8" max="8" width="14.85546875" customWidth="1"/>
    <col min="11" max="12" width="12.5703125" bestFit="1" customWidth="1"/>
  </cols>
  <sheetData>
    <row r="1" spans="1:17" x14ac:dyDescent="0.25">
      <c r="A1" s="18" t="s">
        <v>0</v>
      </c>
      <c r="B1" s="16" t="s">
        <v>44</v>
      </c>
      <c r="C1" s="19" t="s">
        <v>22</v>
      </c>
      <c r="E1" s="23"/>
      <c r="F1" s="24"/>
      <c r="G1" s="40" t="s">
        <v>100</v>
      </c>
      <c r="H1" s="42" t="s">
        <v>100</v>
      </c>
    </row>
    <row r="2" spans="1:17" x14ac:dyDescent="0.25">
      <c r="A2" s="15" t="s">
        <v>1</v>
      </c>
      <c r="B2" s="12">
        <v>8</v>
      </c>
      <c r="C2" s="17" t="s">
        <v>23</v>
      </c>
      <c r="E2" s="25"/>
      <c r="F2" s="22"/>
      <c r="G2" s="41" t="s">
        <v>4</v>
      </c>
      <c r="H2" s="43" t="s">
        <v>0</v>
      </c>
      <c r="J2" s="2" t="s">
        <v>136</v>
      </c>
    </row>
    <row r="3" spans="1:17" ht="30" x14ac:dyDescent="0.25">
      <c r="A3" s="15" t="s">
        <v>2</v>
      </c>
      <c r="B3" s="12">
        <v>1190</v>
      </c>
      <c r="C3" s="17" t="s">
        <v>101</v>
      </c>
      <c r="E3" s="30" t="s">
        <v>12</v>
      </c>
      <c r="F3" s="26" t="s">
        <v>52</v>
      </c>
      <c r="G3" s="27">
        <f>(B5*B21)+(B5*B22)</f>
        <v>19250</v>
      </c>
      <c r="H3" s="28">
        <v>0</v>
      </c>
      <c r="J3" s="80"/>
      <c r="K3" s="81" t="s">
        <v>4</v>
      </c>
      <c r="L3" s="81" t="s">
        <v>0</v>
      </c>
    </row>
    <row r="4" spans="1:17" ht="23.25" customHeight="1" x14ac:dyDescent="0.25">
      <c r="A4" s="15" t="s">
        <v>102</v>
      </c>
      <c r="B4" s="12">
        <v>8</v>
      </c>
      <c r="C4" s="17" t="s">
        <v>103</v>
      </c>
      <c r="E4" s="31"/>
      <c r="F4" s="26" t="s">
        <v>5</v>
      </c>
      <c r="G4" s="27">
        <f>B7*B14*B4</f>
        <v>36192</v>
      </c>
      <c r="H4" s="28">
        <v>0</v>
      </c>
      <c r="J4" s="81" t="s">
        <v>123</v>
      </c>
      <c r="K4" s="82">
        <f>SUM(G3:G6)</f>
        <v>67506</v>
      </c>
      <c r="L4" s="82">
        <f>SUM(H3:H6)</f>
        <v>0</v>
      </c>
    </row>
    <row r="5" spans="1:17" ht="23.25" x14ac:dyDescent="0.25">
      <c r="A5" s="15" t="s">
        <v>104</v>
      </c>
      <c r="B5" s="12">
        <v>10</v>
      </c>
      <c r="C5" s="17" t="s">
        <v>105</v>
      </c>
      <c r="E5" s="31"/>
      <c r="F5" s="26" t="s">
        <v>106</v>
      </c>
      <c r="G5" s="27">
        <f>B8*B15*B4</f>
        <v>12064</v>
      </c>
      <c r="H5" s="28">
        <v>0</v>
      </c>
      <c r="J5" s="81" t="s">
        <v>135</v>
      </c>
      <c r="K5" s="82">
        <f>G7</f>
        <v>12064</v>
      </c>
      <c r="L5" s="82">
        <f>H7</f>
        <v>0</v>
      </c>
    </row>
    <row r="6" spans="1:17" ht="23.25" x14ac:dyDescent="0.25">
      <c r="A6" s="15" t="s">
        <v>50</v>
      </c>
      <c r="B6" s="12">
        <v>2</v>
      </c>
      <c r="C6" s="17" t="s">
        <v>51</v>
      </c>
      <c r="E6" s="31"/>
      <c r="F6" s="26" t="s">
        <v>53</v>
      </c>
      <c r="G6" s="27">
        <f>B10*B17*B4</f>
        <v>0</v>
      </c>
      <c r="H6" s="29"/>
      <c r="J6" s="81" t="s">
        <v>124</v>
      </c>
      <c r="K6" s="82">
        <f>SUM(G9:G10)</f>
        <v>15210</v>
      </c>
      <c r="L6" s="82">
        <f>SUM(H9:H10)</f>
        <v>0</v>
      </c>
    </row>
    <row r="7" spans="1:17" x14ac:dyDescent="0.25">
      <c r="A7" s="15" t="s">
        <v>14</v>
      </c>
      <c r="B7" s="12">
        <v>6</v>
      </c>
      <c r="C7" s="17" t="s">
        <v>24</v>
      </c>
      <c r="E7" s="31"/>
      <c r="F7" s="26" t="s">
        <v>107</v>
      </c>
      <c r="G7" s="59">
        <f>B9*B16*B4</f>
        <v>12064</v>
      </c>
      <c r="H7" s="28"/>
      <c r="J7" s="81" t="s">
        <v>73</v>
      </c>
      <c r="K7" s="82">
        <f>G11</f>
        <v>6000</v>
      </c>
      <c r="L7" s="82">
        <f>H11</f>
        <v>0</v>
      </c>
    </row>
    <row r="8" spans="1:17" x14ac:dyDescent="0.25">
      <c r="A8" s="15" t="s">
        <v>15</v>
      </c>
      <c r="B8" s="12">
        <v>2</v>
      </c>
      <c r="C8" s="17" t="s">
        <v>25</v>
      </c>
      <c r="E8" s="32"/>
      <c r="F8" s="46" t="s">
        <v>13</v>
      </c>
      <c r="G8" s="47">
        <f>SUM(G3:G7)</f>
        <v>79570</v>
      </c>
      <c r="H8" s="48">
        <f>SUM(H4:H7)</f>
        <v>0</v>
      </c>
      <c r="J8" s="81" t="s">
        <v>125</v>
      </c>
      <c r="K8" s="82">
        <f>G12</f>
        <v>12000</v>
      </c>
      <c r="L8" s="82">
        <f>H12</f>
        <v>0</v>
      </c>
    </row>
    <row r="9" spans="1:17" x14ac:dyDescent="0.25">
      <c r="A9" s="15" t="s">
        <v>19</v>
      </c>
      <c r="B9" s="12">
        <v>2</v>
      </c>
      <c r="C9" s="17" t="s">
        <v>26</v>
      </c>
      <c r="E9" s="30" t="s">
        <v>86</v>
      </c>
      <c r="F9" s="26" t="s">
        <v>6</v>
      </c>
      <c r="G9" s="27">
        <f>B12*B18</f>
        <v>2730</v>
      </c>
      <c r="H9" s="28"/>
      <c r="J9" s="81" t="s">
        <v>3</v>
      </c>
      <c r="K9" s="83">
        <f>SUM(G14:G15)</f>
        <v>22600</v>
      </c>
      <c r="L9" s="83">
        <f>SUM(H14:H15)</f>
        <v>0</v>
      </c>
    </row>
    <row r="10" spans="1:17" ht="34.5" x14ac:dyDescent="0.25">
      <c r="A10" s="15" t="s">
        <v>20</v>
      </c>
      <c r="B10" s="12">
        <v>0</v>
      </c>
      <c r="C10" s="17" t="s">
        <v>27</v>
      </c>
      <c r="E10" s="31"/>
      <c r="F10" s="26" t="s">
        <v>7</v>
      </c>
      <c r="G10" s="27">
        <f>B11*B9*B18*B4</f>
        <v>12480</v>
      </c>
      <c r="H10" s="28"/>
      <c r="J10" s="81" t="s">
        <v>62</v>
      </c>
      <c r="K10" s="83">
        <f>G16</f>
        <v>10440</v>
      </c>
      <c r="L10" s="83">
        <f>H16</f>
        <v>0</v>
      </c>
    </row>
    <row r="11" spans="1:17" ht="30" x14ac:dyDescent="0.25">
      <c r="A11" s="15" t="s">
        <v>108</v>
      </c>
      <c r="B11" s="52">
        <v>40</v>
      </c>
      <c r="C11" s="17" t="s">
        <v>109</v>
      </c>
      <c r="E11" s="31"/>
      <c r="F11" s="26" t="s">
        <v>8</v>
      </c>
      <c r="G11" s="27">
        <f>B5*B19*B6</f>
        <v>6000</v>
      </c>
      <c r="H11" s="28"/>
    </row>
    <row r="12" spans="1:17" ht="23.25" x14ac:dyDescent="0.25">
      <c r="A12" s="15" t="s">
        <v>18</v>
      </c>
      <c r="B12" s="52">
        <v>140</v>
      </c>
      <c r="C12" s="17" t="s">
        <v>28</v>
      </c>
      <c r="E12" s="31"/>
      <c r="F12" s="26" t="s">
        <v>9</v>
      </c>
      <c r="G12" s="27">
        <f>B5*B6*B20*B13</f>
        <v>12000</v>
      </c>
      <c r="H12" s="28"/>
      <c r="J12" s="2" t="s">
        <v>127</v>
      </c>
    </row>
    <row r="13" spans="1:17" ht="23.25" x14ac:dyDescent="0.25">
      <c r="A13" s="15" t="s">
        <v>110</v>
      </c>
      <c r="B13" s="12">
        <v>3</v>
      </c>
      <c r="C13" s="17" t="s">
        <v>111</v>
      </c>
      <c r="E13" s="32"/>
      <c r="F13" s="46" t="s">
        <v>13</v>
      </c>
      <c r="G13" s="47">
        <f>SUM(G9:G12)</f>
        <v>33210</v>
      </c>
      <c r="H13" s="48">
        <f>SUM(H9:H12)</f>
        <v>0</v>
      </c>
      <c r="J13" s="80"/>
      <c r="K13" s="81" t="s">
        <v>0</v>
      </c>
      <c r="L13" s="81"/>
      <c r="P13" t="s">
        <v>141</v>
      </c>
      <c r="Q13" t="s">
        <v>142</v>
      </c>
    </row>
    <row r="14" spans="1:17" x14ac:dyDescent="0.25">
      <c r="A14" s="15" t="s">
        <v>16</v>
      </c>
      <c r="B14" s="13">
        <v>754</v>
      </c>
      <c r="C14" s="17" t="s">
        <v>33</v>
      </c>
      <c r="E14" s="33" t="s">
        <v>3</v>
      </c>
      <c r="F14" s="26" t="s">
        <v>54</v>
      </c>
      <c r="G14" s="36">
        <f>B24</f>
        <v>7100</v>
      </c>
      <c r="H14" s="37"/>
      <c r="J14" s="81" t="s">
        <v>123</v>
      </c>
      <c r="K14" s="82">
        <f>SUM(G4:H6)</f>
        <v>48256</v>
      </c>
      <c r="L14" s="82"/>
      <c r="O14" t="s">
        <v>123</v>
      </c>
      <c r="P14">
        <v>67506</v>
      </c>
      <c r="Q14">
        <v>48256</v>
      </c>
    </row>
    <row r="15" spans="1:17" x14ac:dyDescent="0.25">
      <c r="A15" s="15" t="s">
        <v>112</v>
      </c>
      <c r="B15" s="13">
        <v>754</v>
      </c>
      <c r="C15" s="17" t="s">
        <v>113</v>
      </c>
      <c r="E15" s="34"/>
      <c r="F15" s="26" t="s">
        <v>99</v>
      </c>
      <c r="G15" s="38">
        <f>B25</f>
        <v>15500</v>
      </c>
      <c r="H15" s="39"/>
      <c r="J15" s="81" t="s">
        <v>135</v>
      </c>
      <c r="K15" s="82">
        <v>0</v>
      </c>
      <c r="L15" s="82"/>
      <c r="O15" t="s">
        <v>135</v>
      </c>
      <c r="P15">
        <v>12064</v>
      </c>
      <c r="Q15">
        <v>0</v>
      </c>
    </row>
    <row r="16" spans="1:17" x14ac:dyDescent="0.25">
      <c r="A16" s="15" t="s">
        <v>114</v>
      </c>
      <c r="B16" s="44">
        <v>754</v>
      </c>
      <c r="C16" s="17" t="s">
        <v>118</v>
      </c>
      <c r="E16" s="34"/>
      <c r="F16" s="45" t="s">
        <v>62</v>
      </c>
      <c r="G16" s="38">
        <f>(B23*B7)</f>
        <v>10440</v>
      </c>
      <c r="H16" s="39"/>
      <c r="J16" s="81" t="s">
        <v>124</v>
      </c>
      <c r="K16" s="82">
        <f>SUM(G10:H10)</f>
        <v>12480</v>
      </c>
      <c r="L16" s="82"/>
      <c r="O16" t="s">
        <v>124</v>
      </c>
      <c r="P16">
        <v>15210</v>
      </c>
      <c r="Q16">
        <v>12480</v>
      </c>
    </row>
    <row r="17" spans="1:17" ht="15.75" thickBot="1" x14ac:dyDescent="0.3">
      <c r="A17" s="15" t="s">
        <v>21</v>
      </c>
      <c r="B17" s="13"/>
      <c r="C17" s="17" t="s">
        <v>31</v>
      </c>
      <c r="E17" s="35"/>
      <c r="F17" s="49" t="s">
        <v>13</v>
      </c>
      <c r="G17" s="50">
        <f>SUM(G14:G16)</f>
        <v>33040</v>
      </c>
      <c r="H17" s="51">
        <f>SUM(H14:H16)</f>
        <v>0</v>
      </c>
      <c r="J17" s="81" t="s">
        <v>3</v>
      </c>
      <c r="K17" s="83">
        <f>SUM(G14:H15)</f>
        <v>22600</v>
      </c>
      <c r="L17" s="83"/>
      <c r="O17" t="s">
        <v>73</v>
      </c>
      <c r="P17">
        <v>6000</v>
      </c>
      <c r="Q17">
        <v>0</v>
      </c>
    </row>
    <row r="18" spans="1:17" x14ac:dyDescent="0.25">
      <c r="A18" s="15" t="s">
        <v>17</v>
      </c>
      <c r="B18" s="13">
        <v>19.5</v>
      </c>
      <c r="C18" s="17" t="s">
        <v>32</v>
      </c>
      <c r="J18" s="81" t="s">
        <v>62</v>
      </c>
      <c r="K18" s="83">
        <f>SUM(G16:H16)</f>
        <v>10440</v>
      </c>
      <c r="L18" s="83"/>
      <c r="O18" t="s">
        <v>125</v>
      </c>
      <c r="P18">
        <v>12000</v>
      </c>
      <c r="Q18">
        <v>0</v>
      </c>
    </row>
    <row r="19" spans="1:17" x14ac:dyDescent="0.25">
      <c r="A19" s="15" t="s">
        <v>116</v>
      </c>
      <c r="B19" s="13">
        <v>300</v>
      </c>
      <c r="C19" s="17" t="s">
        <v>117</v>
      </c>
      <c r="J19" s="81" t="s">
        <v>128</v>
      </c>
      <c r="K19" s="84">
        <f>SUM(K14:K18)</f>
        <v>93776</v>
      </c>
      <c r="L19" s="83"/>
      <c r="O19" t="s">
        <v>3</v>
      </c>
      <c r="P19">
        <v>22600</v>
      </c>
      <c r="Q19">
        <v>22600</v>
      </c>
    </row>
    <row r="20" spans="1:17" ht="30" x14ac:dyDescent="0.25">
      <c r="A20" s="15" t="s">
        <v>29</v>
      </c>
      <c r="B20" s="13">
        <v>200</v>
      </c>
      <c r="C20" s="17" t="s">
        <v>30</v>
      </c>
      <c r="J20" s="81" t="s">
        <v>129</v>
      </c>
      <c r="K20" s="83">
        <f>K19/Notas!$C$10</f>
        <v>4884.166666666667</v>
      </c>
      <c r="L20" s="83"/>
      <c r="O20" t="s">
        <v>62</v>
      </c>
      <c r="P20">
        <v>10440</v>
      </c>
      <c r="Q20">
        <v>10440</v>
      </c>
    </row>
    <row r="21" spans="1:17" x14ac:dyDescent="0.25">
      <c r="A21" s="15" t="s">
        <v>92</v>
      </c>
      <c r="B21" s="13">
        <v>1200</v>
      </c>
      <c r="C21" s="17" t="s">
        <v>34</v>
      </c>
    </row>
    <row r="22" spans="1:17" x14ac:dyDescent="0.25">
      <c r="A22" s="15" t="s">
        <v>93</v>
      </c>
      <c r="B22" s="13">
        <v>725</v>
      </c>
      <c r="C22" s="17" t="s">
        <v>94</v>
      </c>
    </row>
    <row r="23" spans="1:17" ht="30" x14ac:dyDescent="0.25">
      <c r="A23" s="15" t="s">
        <v>36</v>
      </c>
      <c r="B23" s="13">
        <v>1740</v>
      </c>
      <c r="C23" s="17" t="s">
        <v>35</v>
      </c>
    </row>
    <row r="24" spans="1:17" ht="30" x14ac:dyDescent="0.25">
      <c r="A24" s="15" t="s">
        <v>55</v>
      </c>
      <c r="B24" s="14">
        <f>SUM(B40)</f>
        <v>7100</v>
      </c>
      <c r="C24" s="17" t="s">
        <v>95</v>
      </c>
    </row>
    <row r="25" spans="1:17" ht="23.25" x14ac:dyDescent="0.25">
      <c r="A25" s="15" t="s">
        <v>96</v>
      </c>
      <c r="B25" s="14">
        <f>SUM(B53)</f>
        <v>15500</v>
      </c>
      <c r="C25" s="17" t="s">
        <v>97</v>
      </c>
    </row>
    <row r="26" spans="1:17" x14ac:dyDescent="0.25">
      <c r="G26" s="1"/>
      <c r="H26" s="1"/>
    </row>
    <row r="28" spans="1:17" s="4" customFormat="1" ht="26.25" customHeight="1" x14ac:dyDescent="0.25">
      <c r="A28" s="21" t="s">
        <v>56</v>
      </c>
      <c r="B28" s="53" t="s">
        <v>49</v>
      </c>
      <c r="D28"/>
      <c r="E28"/>
      <c r="F28"/>
      <c r="G28"/>
      <c r="H28"/>
    </row>
    <row r="29" spans="1:17" s="4" customFormat="1" x14ac:dyDescent="0.25">
      <c r="A29" s="5" t="s">
        <v>37</v>
      </c>
      <c r="B29" s="6">
        <v>1900</v>
      </c>
      <c r="D29"/>
      <c r="E29"/>
      <c r="F29"/>
      <c r="G29"/>
      <c r="H29"/>
    </row>
    <row r="30" spans="1:17" s="4" customFormat="1" x14ac:dyDescent="0.25">
      <c r="A30" s="5" t="s">
        <v>38</v>
      </c>
      <c r="B30" s="6">
        <v>500</v>
      </c>
      <c r="D30"/>
      <c r="E30"/>
      <c r="F30"/>
      <c r="G30"/>
      <c r="H30"/>
    </row>
    <row r="31" spans="1:17" s="4" customFormat="1" x14ac:dyDescent="0.25">
      <c r="A31" s="5" t="s">
        <v>98</v>
      </c>
      <c r="B31" s="6">
        <v>2200</v>
      </c>
      <c r="D31"/>
      <c r="E31"/>
      <c r="F31"/>
      <c r="G31"/>
      <c r="H31"/>
    </row>
    <row r="32" spans="1:17" s="4" customFormat="1" x14ac:dyDescent="0.25">
      <c r="A32" s="5" t="s">
        <v>64</v>
      </c>
      <c r="B32" s="6">
        <v>1000</v>
      </c>
      <c r="D32"/>
      <c r="E32"/>
      <c r="F32"/>
      <c r="G32"/>
      <c r="H32"/>
    </row>
    <row r="33" spans="1:8" s="4" customFormat="1" x14ac:dyDescent="0.25">
      <c r="A33" s="5" t="s">
        <v>65</v>
      </c>
      <c r="B33" s="6">
        <v>1500</v>
      </c>
      <c r="D33"/>
      <c r="E33"/>
      <c r="F33"/>
      <c r="G33"/>
      <c r="H33"/>
    </row>
    <row r="34" spans="1:8" s="4" customFormat="1" x14ac:dyDescent="0.25">
      <c r="A34" s="5"/>
      <c r="B34" s="6">
        <v>0</v>
      </c>
      <c r="D34"/>
      <c r="E34"/>
      <c r="F34"/>
      <c r="G34"/>
      <c r="H34"/>
    </row>
    <row r="35" spans="1:8" s="4" customFormat="1" x14ac:dyDescent="0.25">
      <c r="A35" s="5"/>
      <c r="B35" s="6">
        <v>0</v>
      </c>
      <c r="D35"/>
      <c r="E35"/>
      <c r="F35"/>
      <c r="G35"/>
      <c r="H35"/>
    </row>
    <row r="36" spans="1:8" s="4" customFormat="1" x14ac:dyDescent="0.25">
      <c r="A36" s="5"/>
      <c r="B36" s="6">
        <v>0</v>
      </c>
      <c r="D36"/>
      <c r="E36"/>
      <c r="F36"/>
      <c r="G36"/>
      <c r="H36"/>
    </row>
    <row r="37" spans="1:8" s="4" customFormat="1" x14ac:dyDescent="0.25">
      <c r="A37" s="5"/>
      <c r="B37" s="6">
        <v>0</v>
      </c>
      <c r="D37"/>
      <c r="E37"/>
      <c r="F37"/>
      <c r="G37"/>
      <c r="H37"/>
    </row>
    <row r="38" spans="1:8" s="4" customFormat="1" x14ac:dyDescent="0.25">
      <c r="A38" s="5"/>
      <c r="B38" s="6">
        <v>0</v>
      </c>
      <c r="D38"/>
      <c r="E38"/>
      <c r="F38"/>
      <c r="G38"/>
      <c r="H38"/>
    </row>
    <row r="39" spans="1:8" s="4" customFormat="1" x14ac:dyDescent="0.25">
      <c r="A39" s="5"/>
      <c r="B39" s="6">
        <v>0</v>
      </c>
      <c r="D39"/>
      <c r="E39"/>
      <c r="F39"/>
      <c r="G39"/>
      <c r="H39"/>
    </row>
    <row r="40" spans="1:8" s="4" customFormat="1" ht="15.75" thickBot="1" x14ac:dyDescent="0.3">
      <c r="A40" s="8" t="s">
        <v>13</v>
      </c>
      <c r="B40" s="9">
        <f>SUM(B29:B39)</f>
        <v>7100</v>
      </c>
      <c r="D40"/>
      <c r="E40"/>
      <c r="F40"/>
      <c r="G40"/>
      <c r="H40"/>
    </row>
    <row r="41" spans="1:8" s="4" customFormat="1" ht="15.75" thickTop="1" x14ac:dyDescent="0.25">
      <c r="A41"/>
      <c r="B41"/>
      <c r="D41"/>
      <c r="E41"/>
      <c r="F41"/>
      <c r="G41"/>
      <c r="H41"/>
    </row>
    <row r="42" spans="1:8" s="4" customFormat="1" ht="30" x14ac:dyDescent="0.25">
      <c r="A42" s="21" t="s">
        <v>99</v>
      </c>
      <c r="B42" s="53" t="s">
        <v>49</v>
      </c>
      <c r="D42"/>
      <c r="E42"/>
      <c r="F42"/>
      <c r="G42"/>
      <c r="H42"/>
    </row>
    <row r="43" spans="1:8" s="4" customFormat="1" x14ac:dyDescent="0.25">
      <c r="A43" s="5" t="s">
        <v>47</v>
      </c>
      <c r="B43" s="6">
        <v>1500</v>
      </c>
      <c r="D43"/>
      <c r="E43"/>
      <c r="F43"/>
      <c r="G43"/>
      <c r="H43"/>
    </row>
    <row r="44" spans="1:8" s="4" customFormat="1" x14ac:dyDescent="0.25">
      <c r="A44" s="5" t="s">
        <v>11</v>
      </c>
      <c r="B44" s="6">
        <v>7500</v>
      </c>
      <c r="D44"/>
      <c r="E44"/>
      <c r="F44"/>
      <c r="G44"/>
      <c r="H44"/>
    </row>
    <row r="45" spans="1:8" s="4" customFormat="1" x14ac:dyDescent="0.25">
      <c r="A45" s="5" t="s">
        <v>48</v>
      </c>
      <c r="B45" s="6">
        <v>4000</v>
      </c>
      <c r="D45"/>
      <c r="E45"/>
      <c r="F45"/>
      <c r="G45"/>
      <c r="H45"/>
    </row>
    <row r="46" spans="1:8" s="4" customFormat="1" x14ac:dyDescent="0.25">
      <c r="A46" s="5" t="s">
        <v>63</v>
      </c>
      <c r="B46" s="6">
        <v>2500</v>
      </c>
      <c r="D46"/>
      <c r="E46"/>
      <c r="F46"/>
      <c r="G46"/>
      <c r="H46"/>
    </row>
    <row r="47" spans="1:8" s="4" customFormat="1" x14ac:dyDescent="0.25">
      <c r="A47" s="5"/>
      <c r="B47" s="6">
        <v>0</v>
      </c>
      <c r="D47"/>
      <c r="E47"/>
      <c r="F47"/>
      <c r="G47"/>
      <c r="H47"/>
    </row>
    <row r="48" spans="1:8" s="4" customFormat="1" x14ac:dyDescent="0.25">
      <c r="A48" s="5"/>
      <c r="B48" s="6">
        <v>0</v>
      </c>
      <c r="D48"/>
      <c r="E48"/>
      <c r="F48"/>
      <c r="G48"/>
      <c r="H48"/>
    </row>
    <row r="49" spans="1:8" s="4" customFormat="1" x14ac:dyDescent="0.25">
      <c r="A49" s="5"/>
      <c r="B49" s="6">
        <v>0</v>
      </c>
      <c r="D49"/>
      <c r="E49"/>
      <c r="F49"/>
      <c r="G49"/>
      <c r="H49"/>
    </row>
    <row r="50" spans="1:8" s="4" customFormat="1" x14ac:dyDescent="0.25">
      <c r="A50" s="5"/>
      <c r="B50" s="6">
        <v>0</v>
      </c>
      <c r="D50"/>
      <c r="E50"/>
      <c r="F50"/>
      <c r="G50"/>
      <c r="H50"/>
    </row>
    <row r="51" spans="1:8" s="4" customFormat="1" x14ac:dyDescent="0.25">
      <c r="A51" s="5"/>
      <c r="B51" s="6">
        <v>0</v>
      </c>
      <c r="D51"/>
      <c r="E51"/>
      <c r="F51"/>
      <c r="G51"/>
      <c r="H51"/>
    </row>
    <row r="52" spans="1:8" s="4" customFormat="1" x14ac:dyDescent="0.25">
      <c r="A52" s="5"/>
      <c r="B52" s="6">
        <v>0</v>
      </c>
      <c r="D52"/>
      <c r="E52"/>
      <c r="F52"/>
      <c r="G52"/>
      <c r="H52"/>
    </row>
    <row r="53" spans="1:8" s="4" customFormat="1" ht="15.75" thickBot="1" x14ac:dyDescent="0.3">
      <c r="A53" s="8" t="s">
        <v>13</v>
      </c>
      <c r="B53" s="9">
        <f>SUM(B42:B52)</f>
        <v>15500</v>
      </c>
      <c r="D53"/>
      <c r="E53"/>
      <c r="F53"/>
      <c r="G53"/>
      <c r="H53"/>
    </row>
    <row r="54" spans="1:8" s="4" customFormat="1" ht="15.75" thickTop="1" x14ac:dyDescent="0.25">
      <c r="A54"/>
      <c r="B54"/>
      <c r="D54"/>
      <c r="E54"/>
      <c r="F54"/>
      <c r="G54"/>
      <c r="H54"/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C1" workbookViewId="0">
      <selection activeCell="L11" sqref="L11"/>
    </sheetView>
  </sheetViews>
  <sheetFormatPr defaultRowHeight="15" x14ac:dyDescent="0.25"/>
  <cols>
    <col min="1" max="1" width="31.140625" customWidth="1"/>
    <col min="2" max="2" width="16.85546875" customWidth="1"/>
    <col min="3" max="3" width="32.42578125" style="4" customWidth="1"/>
    <col min="4" max="4" width="5.5703125" customWidth="1"/>
    <col min="5" max="5" width="15.85546875" customWidth="1"/>
    <col min="6" max="6" width="25.7109375" customWidth="1"/>
    <col min="7" max="7" width="12.5703125" bestFit="1" customWidth="1"/>
    <col min="8" max="8" width="14.85546875" customWidth="1"/>
    <col min="11" max="12" width="12.5703125" bestFit="1" customWidth="1"/>
  </cols>
  <sheetData>
    <row r="1" spans="1:12" x14ac:dyDescent="0.25">
      <c r="A1" s="18" t="s">
        <v>0</v>
      </c>
      <c r="B1" s="16" t="s">
        <v>45</v>
      </c>
      <c r="C1" s="19" t="s">
        <v>22</v>
      </c>
      <c r="E1" s="23"/>
      <c r="F1" s="24"/>
      <c r="G1" s="40" t="s">
        <v>100</v>
      </c>
      <c r="H1" s="42" t="s">
        <v>100</v>
      </c>
    </row>
    <row r="2" spans="1:12" x14ac:dyDescent="0.25">
      <c r="A2" s="15" t="s">
        <v>1</v>
      </c>
      <c r="B2" s="12">
        <v>1</v>
      </c>
      <c r="C2" s="17" t="s">
        <v>23</v>
      </c>
      <c r="E2" s="25"/>
      <c r="F2" s="22"/>
      <c r="G2" s="41" t="s">
        <v>4</v>
      </c>
      <c r="H2" s="43" t="s">
        <v>0</v>
      </c>
      <c r="J2" s="2" t="s">
        <v>136</v>
      </c>
    </row>
    <row r="3" spans="1:12" ht="30" x14ac:dyDescent="0.25">
      <c r="A3" s="15" t="s">
        <v>2</v>
      </c>
      <c r="B3" s="52">
        <v>163.34</v>
      </c>
      <c r="C3" s="17" t="s">
        <v>101</v>
      </c>
      <c r="E3" s="30" t="s">
        <v>12</v>
      </c>
      <c r="F3" s="26" t="s">
        <v>52</v>
      </c>
      <c r="G3" s="27">
        <f>(B5*B21)+(B5*B22)</f>
        <v>30800</v>
      </c>
      <c r="H3" s="28">
        <v>0</v>
      </c>
      <c r="J3" s="80"/>
      <c r="K3" s="81" t="s">
        <v>4</v>
      </c>
      <c r="L3" s="81" t="s">
        <v>0</v>
      </c>
    </row>
    <row r="4" spans="1:12" ht="23.25" customHeight="1" x14ac:dyDescent="0.25">
      <c r="A4" s="15" t="s">
        <v>102</v>
      </c>
      <c r="B4" s="52">
        <v>12</v>
      </c>
      <c r="C4" s="17" t="s">
        <v>103</v>
      </c>
      <c r="E4" s="31"/>
      <c r="F4" s="26" t="s">
        <v>5</v>
      </c>
      <c r="G4" s="27">
        <f>B7*B14*B4</f>
        <v>72384</v>
      </c>
      <c r="H4" s="28">
        <v>0</v>
      </c>
      <c r="J4" s="81" t="s">
        <v>123</v>
      </c>
      <c r="K4" s="82">
        <f>SUM(G3:G6)</f>
        <v>128240</v>
      </c>
      <c r="L4" s="82">
        <f>SUM(H3:H6)</f>
        <v>0</v>
      </c>
    </row>
    <row r="5" spans="1:12" ht="23.25" x14ac:dyDescent="0.25">
      <c r="A5" s="15" t="s">
        <v>104</v>
      </c>
      <c r="B5" s="52">
        <v>16</v>
      </c>
      <c r="C5" s="17" t="s">
        <v>105</v>
      </c>
      <c r="E5" s="31"/>
      <c r="F5" s="26" t="s">
        <v>106</v>
      </c>
      <c r="G5" s="27">
        <f>B8*B15*B4</f>
        <v>18096</v>
      </c>
      <c r="H5" s="28">
        <v>0</v>
      </c>
      <c r="J5" s="81" t="s">
        <v>135</v>
      </c>
      <c r="K5" s="82">
        <f>G7</f>
        <v>18096</v>
      </c>
      <c r="L5" s="82">
        <f>H7</f>
        <v>0</v>
      </c>
    </row>
    <row r="6" spans="1:12" ht="23.25" x14ac:dyDescent="0.25">
      <c r="A6" s="15" t="s">
        <v>50</v>
      </c>
      <c r="B6" s="52">
        <v>2</v>
      </c>
      <c r="C6" s="17" t="s">
        <v>51</v>
      </c>
      <c r="E6" s="31"/>
      <c r="F6" s="26" t="s">
        <v>53</v>
      </c>
      <c r="G6" s="27">
        <f>B10*B17*B4</f>
        <v>6960</v>
      </c>
      <c r="H6" s="29"/>
      <c r="J6" s="81" t="s">
        <v>124</v>
      </c>
      <c r="K6" s="82">
        <f>SUM(G9:G10)</f>
        <v>19110</v>
      </c>
      <c r="L6" s="82">
        <f>SUM(H9:H10)</f>
        <v>0</v>
      </c>
    </row>
    <row r="7" spans="1:12" x14ac:dyDescent="0.25">
      <c r="A7" s="15" t="s">
        <v>14</v>
      </c>
      <c r="B7" s="52">
        <v>8</v>
      </c>
      <c r="C7" s="17" t="s">
        <v>24</v>
      </c>
      <c r="E7" s="31"/>
      <c r="F7" s="26" t="s">
        <v>107</v>
      </c>
      <c r="G7" s="59">
        <f>B9*B16*B4</f>
        <v>18096</v>
      </c>
      <c r="H7" s="28"/>
      <c r="J7" s="81" t="s">
        <v>73</v>
      </c>
      <c r="K7" s="82">
        <f>G11</f>
        <v>0</v>
      </c>
      <c r="L7" s="82">
        <f>H11</f>
        <v>9600</v>
      </c>
    </row>
    <row r="8" spans="1:12" x14ac:dyDescent="0.25">
      <c r="A8" s="15" t="s">
        <v>15</v>
      </c>
      <c r="B8" s="52">
        <v>2</v>
      </c>
      <c r="C8" s="17" t="s">
        <v>25</v>
      </c>
      <c r="E8" s="32"/>
      <c r="F8" s="46" t="s">
        <v>13</v>
      </c>
      <c r="G8" s="47">
        <f>SUM(G3:G7)</f>
        <v>146336</v>
      </c>
      <c r="H8" s="48">
        <f>SUM(H4:H7)</f>
        <v>0</v>
      </c>
      <c r="J8" s="81" t="s">
        <v>125</v>
      </c>
      <c r="K8" s="82">
        <f>G12</f>
        <v>19200</v>
      </c>
      <c r="L8" s="82">
        <f>H12</f>
        <v>0</v>
      </c>
    </row>
    <row r="9" spans="1:12" x14ac:dyDescent="0.25">
      <c r="A9" s="15" t="s">
        <v>19</v>
      </c>
      <c r="B9" s="52">
        <v>2</v>
      </c>
      <c r="C9" s="17" t="s">
        <v>26</v>
      </c>
      <c r="E9" s="30" t="s">
        <v>86</v>
      </c>
      <c r="F9" s="26" t="s">
        <v>6</v>
      </c>
      <c r="G9" s="27">
        <f>B12*B18</f>
        <v>2730</v>
      </c>
      <c r="H9" s="28"/>
      <c r="J9" s="81" t="s">
        <v>3</v>
      </c>
      <c r="K9" s="83">
        <f>SUM(G14:G15)</f>
        <v>22600</v>
      </c>
      <c r="L9" s="83">
        <f>SUM(H14:H15)</f>
        <v>0</v>
      </c>
    </row>
    <row r="10" spans="1:12" ht="34.5" x14ac:dyDescent="0.25">
      <c r="A10" s="15" t="s">
        <v>20</v>
      </c>
      <c r="B10" s="52">
        <v>1</v>
      </c>
      <c r="C10" s="17" t="s">
        <v>27</v>
      </c>
      <c r="E10" s="31"/>
      <c r="F10" s="26" t="s">
        <v>7</v>
      </c>
      <c r="G10" s="27">
        <f>B11*B9*B18*B4</f>
        <v>16380</v>
      </c>
      <c r="H10" s="28"/>
      <c r="J10" s="81" t="s">
        <v>62</v>
      </c>
      <c r="K10" s="83">
        <f>G16</f>
        <v>13920</v>
      </c>
      <c r="L10" s="83">
        <f>H16</f>
        <v>0</v>
      </c>
    </row>
    <row r="11" spans="1:12" ht="30" x14ac:dyDescent="0.25">
      <c r="A11" s="15" t="s">
        <v>108</v>
      </c>
      <c r="B11" s="52">
        <v>35</v>
      </c>
      <c r="C11" s="17" t="s">
        <v>109</v>
      </c>
      <c r="E11" s="31"/>
      <c r="F11" s="26" t="s">
        <v>8</v>
      </c>
      <c r="G11" s="27">
        <v>0</v>
      </c>
      <c r="H11" s="27">
        <f>B5*B19*B6</f>
        <v>9600</v>
      </c>
    </row>
    <row r="12" spans="1:12" ht="23.25" x14ac:dyDescent="0.25">
      <c r="A12" s="15" t="s">
        <v>18</v>
      </c>
      <c r="B12" s="52">
        <v>140</v>
      </c>
      <c r="C12" s="17" t="s">
        <v>28</v>
      </c>
      <c r="E12" s="31"/>
      <c r="F12" s="26" t="s">
        <v>9</v>
      </c>
      <c r="G12" s="27">
        <f>B5*B6*B20*B13</f>
        <v>19200</v>
      </c>
      <c r="H12" s="28"/>
      <c r="J12" s="2" t="s">
        <v>127</v>
      </c>
    </row>
    <row r="13" spans="1:12" ht="23.25" x14ac:dyDescent="0.25">
      <c r="A13" s="15" t="s">
        <v>110</v>
      </c>
      <c r="B13" s="12">
        <v>3</v>
      </c>
      <c r="C13" s="17" t="s">
        <v>111</v>
      </c>
      <c r="E13" s="32"/>
      <c r="F13" s="46" t="s">
        <v>13</v>
      </c>
      <c r="G13" s="47">
        <f>SUM(G9:G12)</f>
        <v>38310</v>
      </c>
      <c r="H13" s="48">
        <f>SUM(H9:H12)</f>
        <v>9600</v>
      </c>
      <c r="J13" s="80"/>
      <c r="K13" s="81" t="s">
        <v>0</v>
      </c>
      <c r="L13" s="81"/>
    </row>
    <row r="14" spans="1:12" x14ac:dyDescent="0.25">
      <c r="A14" s="15" t="s">
        <v>16</v>
      </c>
      <c r="B14" s="13">
        <v>754</v>
      </c>
      <c r="C14" s="17" t="s">
        <v>33</v>
      </c>
      <c r="E14" s="33" t="s">
        <v>3</v>
      </c>
      <c r="F14" s="26" t="s">
        <v>54</v>
      </c>
      <c r="G14" s="36">
        <f>B24</f>
        <v>7100</v>
      </c>
      <c r="H14" s="37"/>
      <c r="J14" s="81" t="s">
        <v>123</v>
      </c>
      <c r="K14" s="82">
        <f>SUM(G4:H6)</f>
        <v>97440</v>
      </c>
      <c r="L14" s="82"/>
    </row>
    <row r="15" spans="1:12" x14ac:dyDescent="0.25">
      <c r="A15" s="15" t="s">
        <v>112</v>
      </c>
      <c r="B15" s="13">
        <v>754</v>
      </c>
      <c r="C15" s="17" t="s">
        <v>113</v>
      </c>
      <c r="E15" s="34"/>
      <c r="F15" s="26" t="s">
        <v>99</v>
      </c>
      <c r="G15" s="38">
        <f>B25</f>
        <v>15500</v>
      </c>
      <c r="H15" s="39"/>
      <c r="J15" s="81" t="s">
        <v>135</v>
      </c>
      <c r="K15" s="82">
        <v>0</v>
      </c>
      <c r="L15" s="82"/>
    </row>
    <row r="16" spans="1:12" x14ac:dyDescent="0.25">
      <c r="A16" s="15" t="s">
        <v>114</v>
      </c>
      <c r="B16" s="44">
        <v>754</v>
      </c>
      <c r="C16" s="17" t="s">
        <v>118</v>
      </c>
      <c r="E16" s="34"/>
      <c r="F16" s="45" t="s">
        <v>62</v>
      </c>
      <c r="G16" s="38">
        <f>(B23*B7)</f>
        <v>13920</v>
      </c>
      <c r="H16" s="39"/>
      <c r="J16" s="81" t="s">
        <v>124</v>
      </c>
      <c r="K16" s="82">
        <f>SUM(G10:H10)</f>
        <v>16380</v>
      </c>
      <c r="L16" s="82"/>
    </row>
    <row r="17" spans="1:12" ht="15.75" thickBot="1" x14ac:dyDescent="0.3">
      <c r="A17" s="15" t="s">
        <v>21</v>
      </c>
      <c r="B17" s="13">
        <v>580</v>
      </c>
      <c r="C17" s="17" t="s">
        <v>31</v>
      </c>
      <c r="E17" s="35"/>
      <c r="F17" s="49" t="s">
        <v>13</v>
      </c>
      <c r="G17" s="50">
        <f>SUM(G14:G16)</f>
        <v>36520</v>
      </c>
      <c r="H17" s="51">
        <f>SUM(H14:H16)</f>
        <v>0</v>
      </c>
      <c r="J17" s="81" t="s">
        <v>3</v>
      </c>
      <c r="K17" s="83">
        <f>SUM(G14:H15)</f>
        <v>22600</v>
      </c>
      <c r="L17" s="83"/>
    </row>
    <row r="18" spans="1:12" x14ac:dyDescent="0.25">
      <c r="A18" s="15" t="s">
        <v>17</v>
      </c>
      <c r="B18" s="13">
        <v>19.5</v>
      </c>
      <c r="C18" s="17" t="s">
        <v>32</v>
      </c>
      <c r="J18" s="81" t="s">
        <v>62</v>
      </c>
      <c r="K18" s="83">
        <f>SUM(G16:H16)</f>
        <v>13920</v>
      </c>
      <c r="L18" s="83"/>
    </row>
    <row r="19" spans="1:12" x14ac:dyDescent="0.25">
      <c r="A19" s="15" t="s">
        <v>116</v>
      </c>
      <c r="B19" s="13">
        <v>300</v>
      </c>
      <c r="C19" s="17" t="s">
        <v>117</v>
      </c>
      <c r="J19" s="81" t="s">
        <v>128</v>
      </c>
      <c r="K19" s="84">
        <f>SUM(K14:K18)</f>
        <v>150340</v>
      </c>
      <c r="L19" s="83"/>
    </row>
    <row r="20" spans="1:12" ht="30" x14ac:dyDescent="0.25">
      <c r="A20" s="15" t="s">
        <v>29</v>
      </c>
      <c r="B20" s="13">
        <v>200</v>
      </c>
      <c r="C20" s="17" t="s">
        <v>30</v>
      </c>
      <c r="J20" s="81" t="s">
        <v>129</v>
      </c>
      <c r="K20" s="83">
        <f>K19/Notas!$C$10</f>
        <v>7830.2083333333339</v>
      </c>
      <c r="L20" s="83"/>
    </row>
    <row r="21" spans="1:12" x14ac:dyDescent="0.25">
      <c r="A21" s="15" t="s">
        <v>92</v>
      </c>
      <c r="B21" s="13">
        <v>1200</v>
      </c>
      <c r="C21" s="17" t="s">
        <v>34</v>
      </c>
    </row>
    <row r="22" spans="1:12" x14ac:dyDescent="0.25">
      <c r="A22" s="15" t="s">
        <v>93</v>
      </c>
      <c r="B22" s="13">
        <v>725</v>
      </c>
      <c r="C22" s="17" t="s">
        <v>94</v>
      </c>
    </row>
    <row r="23" spans="1:12" ht="30" x14ac:dyDescent="0.25">
      <c r="A23" s="15" t="s">
        <v>36</v>
      </c>
      <c r="B23" s="13">
        <v>1740</v>
      </c>
      <c r="C23" s="17" t="s">
        <v>35</v>
      </c>
    </row>
    <row r="24" spans="1:12" ht="30" x14ac:dyDescent="0.25">
      <c r="A24" s="15" t="s">
        <v>55</v>
      </c>
      <c r="B24" s="14">
        <f>SUM(B40)</f>
        <v>7100</v>
      </c>
      <c r="C24" s="17" t="s">
        <v>95</v>
      </c>
    </row>
    <row r="25" spans="1:12" ht="23.25" x14ac:dyDescent="0.25">
      <c r="A25" s="15" t="s">
        <v>96</v>
      </c>
      <c r="B25" s="14">
        <f>SUM(B53)</f>
        <v>15500</v>
      </c>
      <c r="C25" s="17" t="s">
        <v>97</v>
      </c>
    </row>
    <row r="26" spans="1:12" x14ac:dyDescent="0.25">
      <c r="G26" s="1"/>
      <c r="H26" s="1"/>
    </row>
    <row r="28" spans="1:12" s="4" customFormat="1" ht="26.25" customHeight="1" x14ac:dyDescent="0.25">
      <c r="A28" s="21" t="s">
        <v>56</v>
      </c>
      <c r="B28" s="53" t="s">
        <v>49</v>
      </c>
      <c r="D28"/>
      <c r="E28"/>
      <c r="F28"/>
      <c r="G28"/>
      <c r="H28"/>
    </row>
    <row r="29" spans="1:12" s="4" customFormat="1" x14ac:dyDescent="0.25">
      <c r="A29" s="5" t="s">
        <v>37</v>
      </c>
      <c r="B29" s="6">
        <v>1900</v>
      </c>
      <c r="D29"/>
      <c r="E29"/>
      <c r="F29"/>
      <c r="G29"/>
      <c r="H29"/>
    </row>
    <row r="30" spans="1:12" s="4" customFormat="1" x14ac:dyDescent="0.25">
      <c r="A30" s="5" t="s">
        <v>38</v>
      </c>
      <c r="B30" s="6">
        <v>500</v>
      </c>
      <c r="D30"/>
      <c r="E30"/>
      <c r="F30"/>
      <c r="G30"/>
      <c r="H30"/>
    </row>
    <row r="31" spans="1:12" s="4" customFormat="1" x14ac:dyDescent="0.25">
      <c r="A31" s="5" t="s">
        <v>98</v>
      </c>
      <c r="B31" s="6">
        <v>2200</v>
      </c>
      <c r="D31"/>
      <c r="E31"/>
      <c r="F31"/>
      <c r="G31"/>
      <c r="H31"/>
    </row>
    <row r="32" spans="1:12" s="4" customFormat="1" x14ac:dyDescent="0.25">
      <c r="A32" s="5" t="s">
        <v>64</v>
      </c>
      <c r="B32" s="6">
        <v>1000</v>
      </c>
      <c r="D32"/>
      <c r="E32"/>
      <c r="F32"/>
      <c r="G32"/>
      <c r="H32"/>
    </row>
    <row r="33" spans="1:8" s="4" customFormat="1" x14ac:dyDescent="0.25">
      <c r="A33" s="5" t="s">
        <v>65</v>
      </c>
      <c r="B33" s="6">
        <v>1500</v>
      </c>
      <c r="D33"/>
      <c r="E33"/>
      <c r="F33"/>
      <c r="G33"/>
      <c r="H33"/>
    </row>
    <row r="34" spans="1:8" s="4" customFormat="1" x14ac:dyDescent="0.25">
      <c r="A34" s="5"/>
      <c r="B34" s="6">
        <v>0</v>
      </c>
      <c r="D34"/>
      <c r="E34"/>
      <c r="F34"/>
      <c r="G34"/>
      <c r="H34"/>
    </row>
    <row r="35" spans="1:8" s="4" customFormat="1" x14ac:dyDescent="0.25">
      <c r="A35" s="5"/>
      <c r="B35" s="6">
        <v>0</v>
      </c>
      <c r="D35"/>
      <c r="E35"/>
      <c r="F35"/>
      <c r="G35"/>
      <c r="H35"/>
    </row>
    <row r="36" spans="1:8" s="4" customFormat="1" x14ac:dyDescent="0.25">
      <c r="A36" s="5"/>
      <c r="B36" s="6">
        <v>0</v>
      </c>
      <c r="D36"/>
      <c r="E36"/>
      <c r="F36"/>
      <c r="G36"/>
      <c r="H36"/>
    </row>
    <row r="37" spans="1:8" s="4" customFormat="1" x14ac:dyDescent="0.25">
      <c r="A37" s="5"/>
      <c r="B37" s="6">
        <v>0</v>
      </c>
      <c r="D37"/>
      <c r="E37"/>
      <c r="F37"/>
      <c r="G37"/>
      <c r="H37"/>
    </row>
    <row r="38" spans="1:8" s="4" customFormat="1" x14ac:dyDescent="0.25">
      <c r="A38" s="5"/>
      <c r="B38" s="6">
        <v>0</v>
      </c>
      <c r="D38"/>
      <c r="E38"/>
      <c r="F38"/>
      <c r="G38"/>
      <c r="H38"/>
    </row>
    <row r="39" spans="1:8" s="4" customFormat="1" x14ac:dyDescent="0.25">
      <c r="A39" s="5"/>
      <c r="B39" s="6">
        <v>0</v>
      </c>
      <c r="D39"/>
      <c r="E39"/>
      <c r="F39"/>
      <c r="G39"/>
      <c r="H39"/>
    </row>
    <row r="40" spans="1:8" s="4" customFormat="1" ht="15.75" thickBot="1" x14ac:dyDescent="0.3">
      <c r="A40" s="8" t="s">
        <v>13</v>
      </c>
      <c r="B40" s="9">
        <f>SUM(B29:B39)</f>
        <v>7100</v>
      </c>
      <c r="D40"/>
      <c r="E40"/>
      <c r="F40"/>
      <c r="G40"/>
      <c r="H40"/>
    </row>
    <row r="41" spans="1:8" s="4" customFormat="1" ht="15.75" thickTop="1" x14ac:dyDescent="0.25">
      <c r="A41"/>
      <c r="B41"/>
      <c r="D41"/>
      <c r="E41"/>
      <c r="F41"/>
      <c r="G41"/>
      <c r="H41"/>
    </row>
    <row r="42" spans="1:8" s="4" customFormat="1" ht="30" x14ac:dyDescent="0.25">
      <c r="A42" s="21" t="s">
        <v>99</v>
      </c>
      <c r="B42" s="53" t="s">
        <v>49</v>
      </c>
      <c r="D42"/>
      <c r="E42"/>
      <c r="F42"/>
      <c r="G42"/>
      <c r="H42"/>
    </row>
    <row r="43" spans="1:8" s="4" customFormat="1" x14ac:dyDescent="0.25">
      <c r="A43" s="5" t="s">
        <v>47</v>
      </c>
      <c r="B43" s="6">
        <v>1500</v>
      </c>
      <c r="D43"/>
      <c r="E43"/>
      <c r="F43"/>
      <c r="G43"/>
      <c r="H43"/>
    </row>
    <row r="44" spans="1:8" s="4" customFormat="1" x14ac:dyDescent="0.25">
      <c r="A44" s="5" t="s">
        <v>11</v>
      </c>
      <c r="B44" s="6">
        <v>7500</v>
      </c>
      <c r="D44"/>
      <c r="E44"/>
      <c r="F44"/>
      <c r="G44"/>
      <c r="H44"/>
    </row>
    <row r="45" spans="1:8" s="4" customFormat="1" x14ac:dyDescent="0.25">
      <c r="A45" s="5" t="s">
        <v>48</v>
      </c>
      <c r="B45" s="6">
        <v>4000</v>
      </c>
      <c r="D45"/>
      <c r="E45"/>
      <c r="F45"/>
      <c r="G45"/>
      <c r="H45"/>
    </row>
    <row r="46" spans="1:8" s="4" customFormat="1" x14ac:dyDescent="0.25">
      <c r="A46" s="5" t="s">
        <v>63</v>
      </c>
      <c r="B46" s="6">
        <v>2500</v>
      </c>
      <c r="D46"/>
      <c r="E46"/>
      <c r="F46"/>
      <c r="G46"/>
      <c r="H46"/>
    </row>
    <row r="47" spans="1:8" s="4" customFormat="1" x14ac:dyDescent="0.25">
      <c r="A47" s="5"/>
      <c r="B47" s="6">
        <v>0</v>
      </c>
      <c r="D47"/>
      <c r="E47"/>
      <c r="F47"/>
      <c r="G47"/>
      <c r="H47"/>
    </row>
    <row r="48" spans="1:8" s="4" customFormat="1" x14ac:dyDescent="0.25">
      <c r="A48" s="5"/>
      <c r="B48" s="6">
        <v>0</v>
      </c>
      <c r="D48"/>
      <c r="E48"/>
      <c r="F48"/>
      <c r="G48"/>
      <c r="H48"/>
    </row>
    <row r="49" spans="1:8" s="4" customFormat="1" x14ac:dyDescent="0.25">
      <c r="A49" s="5"/>
      <c r="B49" s="6">
        <v>0</v>
      </c>
      <c r="D49"/>
      <c r="E49"/>
      <c r="F49"/>
      <c r="G49"/>
      <c r="H49"/>
    </row>
    <row r="50" spans="1:8" s="4" customFormat="1" x14ac:dyDescent="0.25">
      <c r="A50" s="5"/>
      <c r="B50" s="6">
        <v>0</v>
      </c>
      <c r="D50"/>
      <c r="E50"/>
      <c r="F50"/>
      <c r="G50"/>
      <c r="H50"/>
    </row>
    <row r="51" spans="1:8" s="4" customFormat="1" x14ac:dyDescent="0.25">
      <c r="A51" s="5"/>
      <c r="B51" s="6">
        <v>0</v>
      </c>
      <c r="D51"/>
      <c r="E51"/>
      <c r="F51"/>
      <c r="G51"/>
      <c r="H51"/>
    </row>
    <row r="52" spans="1:8" s="4" customFormat="1" x14ac:dyDescent="0.25">
      <c r="A52" s="5"/>
      <c r="B52" s="6">
        <v>0</v>
      </c>
      <c r="D52"/>
      <c r="E52"/>
      <c r="F52"/>
      <c r="G52"/>
      <c r="H52"/>
    </row>
    <row r="53" spans="1:8" s="4" customFormat="1" ht="15.75" thickBot="1" x14ac:dyDescent="0.3">
      <c r="A53" s="8" t="s">
        <v>13</v>
      </c>
      <c r="B53" s="9">
        <f>SUM(B42:B52)</f>
        <v>15500</v>
      </c>
      <c r="D53"/>
      <c r="E53"/>
      <c r="F53"/>
      <c r="G53"/>
      <c r="H53"/>
    </row>
    <row r="54" spans="1:8" s="4" customFormat="1" ht="15.75" thickTop="1" x14ac:dyDescent="0.25">
      <c r="A54"/>
      <c r="B54"/>
      <c r="D54"/>
      <c r="E54"/>
      <c r="F54"/>
      <c r="G54"/>
      <c r="H54"/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19" workbookViewId="0">
      <selection activeCell="B29" sqref="B29"/>
    </sheetView>
  </sheetViews>
  <sheetFormatPr defaultRowHeight="15" x14ac:dyDescent="0.25"/>
  <cols>
    <col min="1" max="1" width="31.140625" customWidth="1"/>
    <col min="2" max="2" width="16.85546875" customWidth="1"/>
    <col min="3" max="3" width="32.42578125" style="4" customWidth="1"/>
    <col min="4" max="4" width="5.5703125" customWidth="1"/>
    <col min="5" max="5" width="15.85546875" customWidth="1"/>
    <col min="6" max="6" width="25.7109375" customWidth="1"/>
    <col min="7" max="7" width="12.5703125" bestFit="1" customWidth="1"/>
    <col min="8" max="8" width="14.85546875" customWidth="1"/>
    <col min="11" max="12" width="12.5703125" bestFit="1" customWidth="1"/>
  </cols>
  <sheetData>
    <row r="1" spans="1:12" x14ac:dyDescent="0.25">
      <c r="A1" s="18" t="s">
        <v>0</v>
      </c>
      <c r="B1" s="16" t="s">
        <v>46</v>
      </c>
      <c r="C1" s="19" t="s">
        <v>22</v>
      </c>
      <c r="E1" s="23"/>
      <c r="F1" s="24"/>
      <c r="G1" s="40" t="s">
        <v>100</v>
      </c>
      <c r="H1" s="42" t="s">
        <v>100</v>
      </c>
    </row>
    <row r="2" spans="1:12" x14ac:dyDescent="0.25">
      <c r="A2" s="15" t="s">
        <v>1</v>
      </c>
      <c r="B2" s="12">
        <v>1</v>
      </c>
      <c r="C2" s="17" t="s">
        <v>23</v>
      </c>
      <c r="E2" s="25"/>
      <c r="F2" s="22"/>
      <c r="G2" s="41" t="s">
        <v>4</v>
      </c>
      <c r="H2" s="43" t="s">
        <v>0</v>
      </c>
      <c r="J2" s="2" t="s">
        <v>136</v>
      </c>
    </row>
    <row r="3" spans="1:12" ht="30" x14ac:dyDescent="0.25">
      <c r="A3" s="15" t="s">
        <v>2</v>
      </c>
      <c r="B3" s="52">
        <v>12257.45</v>
      </c>
      <c r="C3" s="17" t="s">
        <v>101</v>
      </c>
      <c r="E3" s="30" t="s">
        <v>12</v>
      </c>
      <c r="F3" s="26" t="s">
        <v>52</v>
      </c>
      <c r="G3" s="27">
        <f>(B5*B21)+(B5*B22)</f>
        <v>25025</v>
      </c>
      <c r="H3" s="28">
        <v>0</v>
      </c>
      <c r="J3" s="80"/>
      <c r="K3" s="81" t="s">
        <v>4</v>
      </c>
      <c r="L3" s="81" t="s">
        <v>0</v>
      </c>
    </row>
    <row r="4" spans="1:12" ht="23.25" customHeight="1" x14ac:dyDescent="0.25">
      <c r="A4" s="15" t="s">
        <v>102</v>
      </c>
      <c r="B4" s="52">
        <v>10</v>
      </c>
      <c r="C4" s="17" t="s">
        <v>103</v>
      </c>
      <c r="E4" s="31"/>
      <c r="F4" s="26" t="s">
        <v>5</v>
      </c>
      <c r="G4" s="27">
        <f>B7*B14*B4</f>
        <v>90480</v>
      </c>
      <c r="H4" s="28">
        <v>0</v>
      </c>
      <c r="J4" s="81" t="s">
        <v>123</v>
      </c>
      <c r="K4" s="82">
        <f>SUM(G3:G5)</f>
        <v>138125</v>
      </c>
      <c r="L4" s="82">
        <f>SUM(H3:H6)</f>
        <v>0</v>
      </c>
    </row>
    <row r="5" spans="1:12" ht="23.25" x14ac:dyDescent="0.25">
      <c r="A5" s="15" t="s">
        <v>104</v>
      </c>
      <c r="B5" s="52">
        <v>13</v>
      </c>
      <c r="C5" s="17" t="s">
        <v>105</v>
      </c>
      <c r="E5" s="31"/>
      <c r="F5" s="26" t="s">
        <v>106</v>
      </c>
      <c r="G5" s="27">
        <f>B8*B15*B4</f>
        <v>22620</v>
      </c>
      <c r="H5" s="28">
        <v>0</v>
      </c>
      <c r="J5" s="81" t="s">
        <v>135</v>
      </c>
      <c r="K5" s="82">
        <f>SUM(G6:H7)</f>
        <v>49300</v>
      </c>
      <c r="L5" s="82">
        <f>H7</f>
        <v>0</v>
      </c>
    </row>
    <row r="6" spans="1:12" ht="23.25" x14ac:dyDescent="0.25">
      <c r="A6" s="15" t="s">
        <v>50</v>
      </c>
      <c r="B6" s="52">
        <v>2</v>
      </c>
      <c r="C6" s="17" t="s">
        <v>51</v>
      </c>
      <c r="E6" s="31"/>
      <c r="F6" s="26" t="s">
        <v>126</v>
      </c>
      <c r="G6" s="27">
        <f>B10*B17</f>
        <v>26680</v>
      </c>
      <c r="H6" s="29"/>
      <c r="J6" s="81" t="s">
        <v>124</v>
      </c>
      <c r="K6" s="82">
        <f>SUM(G9:G10)</f>
        <v>29055</v>
      </c>
      <c r="L6" s="82">
        <f>SUM(H9:H10)</f>
        <v>0</v>
      </c>
    </row>
    <row r="7" spans="1:12" x14ac:dyDescent="0.25">
      <c r="A7" s="15" t="s">
        <v>14</v>
      </c>
      <c r="B7" s="52">
        <v>12</v>
      </c>
      <c r="C7" s="17" t="s">
        <v>24</v>
      </c>
      <c r="E7" s="31"/>
      <c r="F7" s="26" t="s">
        <v>107</v>
      </c>
      <c r="G7" s="59">
        <f>B9*B16*B4</f>
        <v>22620</v>
      </c>
      <c r="H7" s="28"/>
      <c r="J7" s="81" t="s">
        <v>73</v>
      </c>
      <c r="K7" s="82">
        <f>G11</f>
        <v>0</v>
      </c>
      <c r="L7" s="82">
        <f>H11</f>
        <v>7800</v>
      </c>
    </row>
    <row r="8" spans="1:12" x14ac:dyDescent="0.25">
      <c r="A8" s="15" t="s">
        <v>15</v>
      </c>
      <c r="B8" s="52">
        <v>3</v>
      </c>
      <c r="C8" s="17" t="s">
        <v>25</v>
      </c>
      <c r="E8" s="32"/>
      <c r="F8" s="46" t="s">
        <v>13</v>
      </c>
      <c r="G8" s="47">
        <f>SUM(G3:G7)</f>
        <v>187425</v>
      </c>
      <c r="H8" s="48">
        <f>SUM(H4:H7)</f>
        <v>0</v>
      </c>
      <c r="J8" s="81" t="s">
        <v>125</v>
      </c>
      <c r="K8" s="82">
        <f>G12</f>
        <v>15600</v>
      </c>
      <c r="L8" s="82">
        <f>H12</f>
        <v>0</v>
      </c>
    </row>
    <row r="9" spans="1:12" x14ac:dyDescent="0.25">
      <c r="A9" s="15" t="s">
        <v>19</v>
      </c>
      <c r="B9" s="52">
        <v>3</v>
      </c>
      <c r="C9" s="17" t="s">
        <v>26</v>
      </c>
      <c r="E9" s="30" t="s">
        <v>86</v>
      </c>
      <c r="F9" s="26" t="s">
        <v>6</v>
      </c>
      <c r="G9" s="27">
        <f>B12*B18</f>
        <v>2730</v>
      </c>
      <c r="H9" s="28"/>
      <c r="J9" s="81" t="s">
        <v>3</v>
      </c>
      <c r="K9" s="83">
        <f>SUM(G14:G15)</f>
        <v>22600</v>
      </c>
      <c r="L9" s="83">
        <f>SUM(H14:H15)</f>
        <v>0</v>
      </c>
    </row>
    <row r="10" spans="1:12" ht="34.5" x14ac:dyDescent="0.25">
      <c r="A10" s="15" t="s">
        <v>20</v>
      </c>
      <c r="B10" s="52">
        <v>1</v>
      </c>
      <c r="C10" s="17" t="s">
        <v>27</v>
      </c>
      <c r="E10" s="31"/>
      <c r="F10" s="26" t="s">
        <v>7</v>
      </c>
      <c r="G10" s="27">
        <f>B11*B9*B18*B4</f>
        <v>26325</v>
      </c>
      <c r="H10" s="28"/>
      <c r="J10" s="81" t="s">
        <v>62</v>
      </c>
      <c r="K10" s="83">
        <f>G16</f>
        <v>20880</v>
      </c>
      <c r="L10" s="83">
        <f>H16</f>
        <v>0</v>
      </c>
    </row>
    <row r="11" spans="1:12" ht="30" x14ac:dyDescent="0.25">
      <c r="A11" s="15" t="s">
        <v>108</v>
      </c>
      <c r="B11" s="52">
        <v>45</v>
      </c>
      <c r="C11" s="17" t="s">
        <v>109</v>
      </c>
      <c r="E11" s="31"/>
      <c r="F11" s="26" t="s">
        <v>8</v>
      </c>
      <c r="G11" s="27">
        <v>0</v>
      </c>
      <c r="H11" s="27">
        <f>B5*B19*B6</f>
        <v>7800</v>
      </c>
    </row>
    <row r="12" spans="1:12" ht="23.25" x14ac:dyDescent="0.25">
      <c r="A12" s="15" t="s">
        <v>18</v>
      </c>
      <c r="B12" s="52">
        <v>140</v>
      </c>
      <c r="C12" s="17" t="s">
        <v>28</v>
      </c>
      <c r="E12" s="31"/>
      <c r="F12" s="26" t="s">
        <v>9</v>
      </c>
      <c r="G12" s="27">
        <f>B5*B6*B20*B13</f>
        <v>15600</v>
      </c>
      <c r="H12" s="28"/>
      <c r="J12" s="2" t="s">
        <v>127</v>
      </c>
    </row>
    <row r="13" spans="1:12" ht="23.25" x14ac:dyDescent="0.25">
      <c r="A13" s="15" t="s">
        <v>110</v>
      </c>
      <c r="B13" s="52">
        <v>3</v>
      </c>
      <c r="C13" s="17" t="s">
        <v>111</v>
      </c>
      <c r="E13" s="32"/>
      <c r="F13" s="46" t="s">
        <v>13</v>
      </c>
      <c r="G13" s="47">
        <f>SUM(G9:G12)</f>
        <v>44655</v>
      </c>
      <c r="H13" s="48">
        <f>SUM(H9:H12)</f>
        <v>7800</v>
      </c>
      <c r="J13" s="80"/>
      <c r="K13" s="81" t="s">
        <v>0</v>
      </c>
      <c r="L13" s="81"/>
    </row>
    <row r="14" spans="1:12" x14ac:dyDescent="0.25">
      <c r="A14" s="15" t="s">
        <v>16</v>
      </c>
      <c r="B14" s="44">
        <v>754</v>
      </c>
      <c r="C14" s="17" t="s">
        <v>33</v>
      </c>
      <c r="E14" s="33" t="s">
        <v>3</v>
      </c>
      <c r="F14" s="26" t="s">
        <v>54</v>
      </c>
      <c r="G14" s="36">
        <f>B24</f>
        <v>7100</v>
      </c>
      <c r="H14" s="37"/>
      <c r="J14" s="81" t="s">
        <v>123</v>
      </c>
      <c r="K14" s="82">
        <f>SUM(G4:H5)</f>
        <v>113100</v>
      </c>
      <c r="L14" s="82"/>
    </row>
    <row r="15" spans="1:12" x14ac:dyDescent="0.25">
      <c r="A15" s="15" t="s">
        <v>112</v>
      </c>
      <c r="B15" s="44">
        <v>754</v>
      </c>
      <c r="C15" s="17" t="s">
        <v>113</v>
      </c>
      <c r="E15" s="34"/>
      <c r="F15" s="26" t="s">
        <v>99</v>
      </c>
      <c r="G15" s="38">
        <f>B25</f>
        <v>15500</v>
      </c>
      <c r="H15" s="39"/>
      <c r="J15" s="81" t="s">
        <v>135</v>
      </c>
      <c r="K15" s="82">
        <v>0</v>
      </c>
      <c r="L15" s="82"/>
    </row>
    <row r="16" spans="1:12" x14ac:dyDescent="0.25">
      <c r="A16" s="15" t="s">
        <v>114</v>
      </c>
      <c r="B16" s="44">
        <v>754</v>
      </c>
      <c r="C16" s="17" t="s">
        <v>118</v>
      </c>
      <c r="E16" s="34"/>
      <c r="F16" s="45" t="s">
        <v>62</v>
      </c>
      <c r="G16" s="38">
        <f>(B23*B7)</f>
        <v>20880</v>
      </c>
      <c r="H16" s="39"/>
      <c r="J16" s="81" t="s">
        <v>124</v>
      </c>
      <c r="K16" s="82">
        <f>SUM(G10:H10)</f>
        <v>26325</v>
      </c>
      <c r="L16" s="82"/>
    </row>
    <row r="17" spans="1:12" ht="15.75" thickBot="1" x14ac:dyDescent="0.3">
      <c r="A17" s="15" t="s">
        <v>21</v>
      </c>
      <c r="B17" s="44">
        <v>26680</v>
      </c>
      <c r="C17" s="17" t="s">
        <v>31</v>
      </c>
      <c r="E17" s="35"/>
      <c r="F17" s="49" t="s">
        <v>13</v>
      </c>
      <c r="G17" s="50">
        <f>SUM(G14:G16)</f>
        <v>43480</v>
      </c>
      <c r="H17" s="51">
        <f>SUM(H14:H16)</f>
        <v>0</v>
      </c>
      <c r="J17" s="81" t="s">
        <v>3</v>
      </c>
      <c r="K17" s="83">
        <f>SUM(G14:H15)</f>
        <v>22600</v>
      </c>
      <c r="L17" s="83"/>
    </row>
    <row r="18" spans="1:12" x14ac:dyDescent="0.25">
      <c r="A18" s="15" t="s">
        <v>17</v>
      </c>
      <c r="B18" s="44">
        <v>19.5</v>
      </c>
      <c r="C18" s="17" t="s">
        <v>32</v>
      </c>
      <c r="J18" s="81" t="s">
        <v>62</v>
      </c>
      <c r="K18" s="83">
        <f>SUM(G16:H16)</f>
        <v>20880</v>
      </c>
      <c r="L18" s="83"/>
    </row>
    <row r="19" spans="1:12" x14ac:dyDescent="0.25">
      <c r="A19" s="15" t="s">
        <v>116</v>
      </c>
      <c r="B19" s="44">
        <v>300</v>
      </c>
      <c r="C19" s="17" t="s">
        <v>117</v>
      </c>
      <c r="J19" s="81" t="s">
        <v>128</v>
      </c>
      <c r="K19" s="84">
        <f>SUM(K14:K18)</f>
        <v>182905</v>
      </c>
      <c r="L19" s="83"/>
    </row>
    <row r="20" spans="1:12" ht="30" x14ac:dyDescent="0.25">
      <c r="A20" s="15" t="s">
        <v>29</v>
      </c>
      <c r="B20" s="44">
        <v>200</v>
      </c>
      <c r="C20" s="17" t="s">
        <v>30</v>
      </c>
      <c r="J20" s="81" t="s">
        <v>129</v>
      </c>
      <c r="K20" s="83">
        <f>K19/Notas!$C$10</f>
        <v>9526.3020833333339</v>
      </c>
      <c r="L20" s="83"/>
    </row>
    <row r="21" spans="1:12" x14ac:dyDescent="0.25">
      <c r="A21" s="15" t="s">
        <v>92</v>
      </c>
      <c r="B21" s="13">
        <v>1200</v>
      </c>
      <c r="C21" s="17" t="s">
        <v>34</v>
      </c>
    </row>
    <row r="22" spans="1:12" x14ac:dyDescent="0.25">
      <c r="A22" s="15" t="s">
        <v>93</v>
      </c>
      <c r="B22" s="13">
        <v>725</v>
      </c>
      <c r="C22" s="17" t="s">
        <v>94</v>
      </c>
    </row>
    <row r="23" spans="1:12" ht="30" x14ac:dyDescent="0.25">
      <c r="A23" s="15" t="s">
        <v>36</v>
      </c>
      <c r="B23" s="13">
        <v>1740</v>
      </c>
      <c r="C23" s="17" t="s">
        <v>35</v>
      </c>
    </row>
    <row r="24" spans="1:12" ht="30" x14ac:dyDescent="0.25">
      <c r="A24" s="15" t="s">
        <v>55</v>
      </c>
      <c r="B24" s="14">
        <f>SUM(B40)</f>
        <v>7100</v>
      </c>
      <c r="C24" s="17" t="s">
        <v>95</v>
      </c>
    </row>
    <row r="25" spans="1:12" ht="23.25" x14ac:dyDescent="0.25">
      <c r="A25" s="15" t="s">
        <v>96</v>
      </c>
      <c r="B25" s="14">
        <f>SUM(B53)</f>
        <v>15500</v>
      </c>
      <c r="C25" s="17" t="s">
        <v>97</v>
      </c>
    </row>
    <row r="26" spans="1:12" x14ac:dyDescent="0.25">
      <c r="G26" s="1"/>
      <c r="H26" s="1"/>
    </row>
    <row r="28" spans="1:12" s="4" customFormat="1" ht="26.25" customHeight="1" x14ac:dyDescent="0.25">
      <c r="A28" s="21" t="s">
        <v>56</v>
      </c>
      <c r="B28" s="53" t="s">
        <v>49</v>
      </c>
      <c r="D28"/>
      <c r="E28"/>
      <c r="F28"/>
      <c r="G28"/>
      <c r="H28"/>
    </row>
    <row r="29" spans="1:12" s="4" customFormat="1" x14ac:dyDescent="0.25">
      <c r="A29" s="5" t="s">
        <v>37</v>
      </c>
      <c r="B29" s="6">
        <v>1900</v>
      </c>
      <c r="D29"/>
      <c r="E29"/>
      <c r="F29"/>
      <c r="G29"/>
      <c r="H29"/>
    </row>
    <row r="30" spans="1:12" s="4" customFormat="1" x14ac:dyDescent="0.25">
      <c r="A30" s="5" t="s">
        <v>38</v>
      </c>
      <c r="B30" s="6">
        <v>500</v>
      </c>
      <c r="D30"/>
      <c r="E30"/>
      <c r="F30"/>
      <c r="G30"/>
      <c r="H30"/>
    </row>
    <row r="31" spans="1:12" s="4" customFormat="1" x14ac:dyDescent="0.25">
      <c r="A31" s="5" t="s">
        <v>98</v>
      </c>
      <c r="B31" s="6">
        <v>2200</v>
      </c>
      <c r="D31"/>
      <c r="E31"/>
      <c r="F31"/>
      <c r="G31"/>
      <c r="H31"/>
    </row>
    <row r="32" spans="1:12" s="4" customFormat="1" x14ac:dyDescent="0.25">
      <c r="A32" s="5" t="s">
        <v>64</v>
      </c>
      <c r="B32" s="6">
        <v>1000</v>
      </c>
      <c r="D32"/>
      <c r="E32"/>
      <c r="F32"/>
      <c r="G32"/>
      <c r="H32"/>
    </row>
    <row r="33" spans="1:8" s="4" customFormat="1" x14ac:dyDescent="0.25">
      <c r="A33" s="5" t="s">
        <v>65</v>
      </c>
      <c r="B33" s="6">
        <v>1500</v>
      </c>
      <c r="D33"/>
      <c r="E33"/>
      <c r="F33"/>
      <c r="G33"/>
      <c r="H33"/>
    </row>
    <row r="34" spans="1:8" s="4" customFormat="1" x14ac:dyDescent="0.25">
      <c r="A34" s="5"/>
      <c r="B34" s="6">
        <v>0</v>
      </c>
      <c r="D34"/>
      <c r="E34"/>
      <c r="F34"/>
      <c r="G34"/>
      <c r="H34"/>
    </row>
    <row r="35" spans="1:8" s="4" customFormat="1" x14ac:dyDescent="0.25">
      <c r="A35" s="5"/>
      <c r="B35" s="6">
        <v>0</v>
      </c>
      <c r="D35"/>
      <c r="E35"/>
      <c r="F35"/>
      <c r="G35"/>
      <c r="H35"/>
    </row>
    <row r="36" spans="1:8" s="4" customFormat="1" x14ac:dyDescent="0.25">
      <c r="A36" s="5"/>
      <c r="B36" s="6">
        <v>0</v>
      </c>
      <c r="D36"/>
      <c r="E36"/>
      <c r="F36"/>
      <c r="G36"/>
      <c r="H36"/>
    </row>
    <row r="37" spans="1:8" s="4" customFormat="1" x14ac:dyDescent="0.25">
      <c r="A37" s="5"/>
      <c r="B37" s="6">
        <v>0</v>
      </c>
      <c r="D37"/>
      <c r="E37"/>
      <c r="F37"/>
      <c r="G37"/>
      <c r="H37"/>
    </row>
    <row r="38" spans="1:8" s="4" customFormat="1" x14ac:dyDescent="0.25">
      <c r="A38" s="5"/>
      <c r="B38" s="6">
        <v>0</v>
      </c>
      <c r="D38"/>
      <c r="E38"/>
      <c r="F38"/>
      <c r="G38"/>
      <c r="H38"/>
    </row>
    <row r="39" spans="1:8" s="4" customFormat="1" x14ac:dyDescent="0.25">
      <c r="A39" s="5"/>
      <c r="B39" s="6">
        <v>0</v>
      </c>
      <c r="D39"/>
      <c r="E39"/>
      <c r="F39"/>
      <c r="G39"/>
      <c r="H39"/>
    </row>
    <row r="40" spans="1:8" s="4" customFormat="1" ht="15.75" thickBot="1" x14ac:dyDescent="0.3">
      <c r="A40" s="8" t="s">
        <v>13</v>
      </c>
      <c r="B40" s="9">
        <f>SUM(B29:B39)</f>
        <v>7100</v>
      </c>
      <c r="D40"/>
      <c r="E40"/>
      <c r="F40"/>
      <c r="G40"/>
      <c r="H40"/>
    </row>
    <row r="41" spans="1:8" s="4" customFormat="1" ht="15.75" thickTop="1" x14ac:dyDescent="0.25">
      <c r="A41"/>
      <c r="B41"/>
      <c r="D41"/>
      <c r="E41"/>
      <c r="F41"/>
      <c r="G41"/>
      <c r="H41"/>
    </row>
    <row r="42" spans="1:8" s="4" customFormat="1" ht="30" x14ac:dyDescent="0.25">
      <c r="A42" s="21" t="s">
        <v>99</v>
      </c>
      <c r="B42" s="53" t="s">
        <v>49</v>
      </c>
      <c r="D42"/>
      <c r="E42"/>
      <c r="F42"/>
      <c r="G42"/>
      <c r="H42"/>
    </row>
    <row r="43" spans="1:8" s="4" customFormat="1" x14ac:dyDescent="0.25">
      <c r="A43" s="5" t="s">
        <v>47</v>
      </c>
      <c r="B43" s="6">
        <v>1500</v>
      </c>
      <c r="D43"/>
      <c r="E43"/>
      <c r="F43"/>
      <c r="G43"/>
      <c r="H43"/>
    </row>
    <row r="44" spans="1:8" s="4" customFormat="1" x14ac:dyDescent="0.25">
      <c r="A44" s="5" t="s">
        <v>11</v>
      </c>
      <c r="B44" s="6">
        <v>7500</v>
      </c>
      <c r="D44"/>
      <c r="E44"/>
      <c r="F44"/>
      <c r="G44"/>
      <c r="H44"/>
    </row>
    <row r="45" spans="1:8" s="4" customFormat="1" x14ac:dyDescent="0.25">
      <c r="A45" s="5" t="s">
        <v>48</v>
      </c>
      <c r="B45" s="6">
        <v>4000</v>
      </c>
      <c r="D45"/>
      <c r="E45"/>
      <c r="F45"/>
      <c r="G45"/>
      <c r="H45"/>
    </row>
    <row r="46" spans="1:8" s="4" customFormat="1" x14ac:dyDescent="0.25">
      <c r="A46" s="5" t="s">
        <v>63</v>
      </c>
      <c r="B46" s="6">
        <v>2500</v>
      </c>
      <c r="D46"/>
      <c r="E46"/>
      <c r="F46"/>
      <c r="G46"/>
      <c r="H46"/>
    </row>
    <row r="47" spans="1:8" s="4" customFormat="1" x14ac:dyDescent="0.25">
      <c r="A47" s="5"/>
      <c r="B47" s="6">
        <v>0</v>
      </c>
      <c r="D47"/>
      <c r="E47"/>
      <c r="F47"/>
      <c r="G47"/>
      <c r="H47"/>
    </row>
    <row r="48" spans="1:8" s="4" customFormat="1" x14ac:dyDescent="0.25">
      <c r="A48" s="5"/>
      <c r="B48" s="6">
        <v>0</v>
      </c>
      <c r="D48"/>
      <c r="E48"/>
      <c r="F48"/>
      <c r="G48"/>
      <c r="H48"/>
    </row>
    <row r="49" spans="1:8" s="4" customFormat="1" x14ac:dyDescent="0.25">
      <c r="A49" s="5"/>
      <c r="B49" s="6">
        <v>0</v>
      </c>
      <c r="D49"/>
      <c r="E49"/>
      <c r="F49"/>
      <c r="G49"/>
      <c r="H49"/>
    </row>
    <row r="50" spans="1:8" s="4" customFormat="1" x14ac:dyDescent="0.25">
      <c r="A50" s="5"/>
      <c r="B50" s="6">
        <v>0</v>
      </c>
      <c r="D50"/>
      <c r="E50"/>
      <c r="F50"/>
      <c r="G50"/>
      <c r="H50"/>
    </row>
    <row r="51" spans="1:8" s="4" customFormat="1" x14ac:dyDescent="0.25">
      <c r="A51" s="5"/>
      <c r="B51" s="6">
        <v>0</v>
      </c>
      <c r="D51"/>
      <c r="E51"/>
      <c r="F51"/>
      <c r="G51"/>
      <c r="H51"/>
    </row>
    <row r="52" spans="1:8" s="4" customFormat="1" x14ac:dyDescent="0.25">
      <c r="A52" s="5"/>
      <c r="B52" s="6">
        <v>0</v>
      </c>
      <c r="D52"/>
      <c r="E52"/>
      <c r="F52"/>
      <c r="G52"/>
      <c r="H52"/>
    </row>
    <row r="53" spans="1:8" s="4" customFormat="1" ht="15.75" thickBot="1" x14ac:dyDescent="0.3">
      <c r="A53" s="8" t="s">
        <v>13</v>
      </c>
      <c r="B53" s="9">
        <f>SUM(B42:B52)</f>
        <v>15500</v>
      </c>
      <c r="D53"/>
      <c r="E53"/>
      <c r="F53"/>
      <c r="G53"/>
      <c r="H53"/>
    </row>
    <row r="54" spans="1:8" s="4" customFormat="1" ht="15.75" thickTop="1" x14ac:dyDescent="0.25">
      <c r="A54"/>
      <c r="B54"/>
      <c r="D54"/>
      <c r="E54"/>
      <c r="F54"/>
      <c r="G54"/>
      <c r="H54"/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/>
  </sheetViews>
  <sheetFormatPr defaultRowHeight="15" x14ac:dyDescent="0.25"/>
  <cols>
    <col min="1" max="1" width="31.140625" customWidth="1"/>
    <col min="2" max="2" width="16.85546875" customWidth="1"/>
    <col min="3" max="3" width="35" style="4" bestFit="1" customWidth="1"/>
    <col min="4" max="4" width="5.5703125" customWidth="1"/>
    <col min="5" max="5" width="12.28515625" customWidth="1"/>
    <col min="6" max="6" width="25.7109375" customWidth="1"/>
    <col min="7" max="7" width="12.5703125" bestFit="1" customWidth="1"/>
    <col min="8" max="8" width="14.85546875" customWidth="1"/>
    <col min="9" max="9" width="14.28515625" bestFit="1" customWidth="1"/>
  </cols>
  <sheetData>
    <row r="1" spans="1:10" x14ac:dyDescent="0.25">
      <c r="A1" s="18"/>
      <c r="B1" s="16" t="s">
        <v>87</v>
      </c>
      <c r="C1" s="19" t="s">
        <v>22</v>
      </c>
      <c r="E1" s="23"/>
      <c r="F1" s="24"/>
      <c r="G1" s="40" t="s">
        <v>100</v>
      </c>
      <c r="H1" s="68" t="s">
        <v>100</v>
      </c>
      <c r="I1" s="60" t="s">
        <v>100</v>
      </c>
    </row>
    <row r="2" spans="1:10" x14ac:dyDescent="0.25">
      <c r="A2" s="15" t="s">
        <v>66</v>
      </c>
      <c r="B2" s="12">
        <v>10</v>
      </c>
      <c r="C2" s="17"/>
      <c r="E2" s="25"/>
      <c r="F2" s="22"/>
      <c r="G2" s="41" t="s">
        <v>4</v>
      </c>
      <c r="H2" s="69" t="s">
        <v>0</v>
      </c>
      <c r="I2" s="61" t="s">
        <v>75</v>
      </c>
    </row>
    <row r="3" spans="1:10" ht="30" x14ac:dyDescent="0.25">
      <c r="A3" s="15" t="s">
        <v>67</v>
      </c>
      <c r="B3" s="12">
        <v>25</v>
      </c>
      <c r="C3" s="17"/>
      <c r="E3" s="30" t="s">
        <v>12</v>
      </c>
      <c r="F3" s="26" t="s">
        <v>71</v>
      </c>
      <c r="G3" s="27">
        <f>(B5*B22)+(B5*B23)</f>
        <v>115500</v>
      </c>
      <c r="H3" s="27">
        <v>0</v>
      </c>
      <c r="I3" s="62">
        <f>(B6*B24)</f>
        <v>0</v>
      </c>
      <c r="J3" s="73" t="s">
        <v>72</v>
      </c>
    </row>
    <row r="4" spans="1:10" ht="23.25" x14ac:dyDescent="0.25">
      <c r="A4" s="15" t="s">
        <v>102</v>
      </c>
      <c r="B4" s="12">
        <v>50</v>
      </c>
      <c r="C4" s="17" t="s">
        <v>103</v>
      </c>
      <c r="E4" s="31"/>
      <c r="F4" s="26" t="s">
        <v>5</v>
      </c>
      <c r="G4" s="27">
        <v>0</v>
      </c>
      <c r="H4" s="75">
        <f>1*B15*B4</f>
        <v>40000</v>
      </c>
      <c r="I4" s="63">
        <v>0</v>
      </c>
    </row>
    <row r="5" spans="1:10" x14ac:dyDescent="0.25">
      <c r="A5" s="15" t="s">
        <v>104</v>
      </c>
      <c r="B5" s="12">
        <v>60</v>
      </c>
      <c r="C5" s="17" t="s">
        <v>105</v>
      </c>
      <c r="E5" s="31"/>
      <c r="F5" s="26" t="s">
        <v>106</v>
      </c>
      <c r="G5" s="27">
        <v>0</v>
      </c>
      <c r="H5" s="75">
        <f>1*B16*B4</f>
        <v>35000</v>
      </c>
      <c r="I5" s="63">
        <v>0</v>
      </c>
    </row>
    <row r="6" spans="1:10" ht="23.25" x14ac:dyDescent="0.25">
      <c r="A6" s="15" t="s">
        <v>121</v>
      </c>
      <c r="B6" s="12">
        <v>20</v>
      </c>
      <c r="C6" s="17" t="s">
        <v>122</v>
      </c>
      <c r="E6" s="31"/>
      <c r="F6" s="26" t="s">
        <v>107</v>
      </c>
      <c r="G6" s="27">
        <v>0</v>
      </c>
      <c r="H6" s="75">
        <f>1*B17*B4</f>
        <v>175000</v>
      </c>
      <c r="I6" s="63">
        <v>0</v>
      </c>
    </row>
    <row r="7" spans="1:10" x14ac:dyDescent="0.25">
      <c r="A7" s="15" t="s">
        <v>50</v>
      </c>
      <c r="B7" s="12">
        <v>2</v>
      </c>
      <c r="C7" s="17" t="s">
        <v>51</v>
      </c>
      <c r="E7" s="32"/>
      <c r="F7" s="46" t="s">
        <v>13</v>
      </c>
      <c r="G7" s="47">
        <f>SUM(G3:G6)</f>
        <v>115500</v>
      </c>
      <c r="H7" s="76">
        <f>SUM(H3:H6)</f>
        <v>250000</v>
      </c>
      <c r="I7" s="76">
        <f>SUM(I3:I6)</f>
        <v>0</v>
      </c>
    </row>
    <row r="8" spans="1:10" x14ac:dyDescent="0.25">
      <c r="A8" s="15" t="s">
        <v>14</v>
      </c>
      <c r="B8" s="12">
        <v>20</v>
      </c>
      <c r="C8" s="17" t="s">
        <v>24</v>
      </c>
      <c r="E8" s="30" t="s">
        <v>86</v>
      </c>
      <c r="F8" s="26" t="s">
        <v>6</v>
      </c>
      <c r="G8" s="27">
        <f>B13*B19</f>
        <v>19110</v>
      </c>
      <c r="H8" s="75">
        <v>0</v>
      </c>
      <c r="I8" s="63">
        <v>84240</v>
      </c>
    </row>
    <row r="9" spans="1:10" x14ac:dyDescent="0.25">
      <c r="A9" s="15" t="s">
        <v>15</v>
      </c>
      <c r="B9" s="12">
        <v>20</v>
      </c>
      <c r="C9" s="17" t="s">
        <v>25</v>
      </c>
      <c r="E9" s="31"/>
      <c r="F9" s="26" t="s">
        <v>7</v>
      </c>
      <c r="G9" s="27">
        <v>0</v>
      </c>
      <c r="H9" s="75">
        <f>B12*1*B19*B4</f>
        <v>29250</v>
      </c>
      <c r="I9" s="63">
        <v>0</v>
      </c>
    </row>
    <row r="10" spans="1:10" x14ac:dyDescent="0.25">
      <c r="A10" s="15" t="s">
        <v>19</v>
      </c>
      <c r="B10" s="12">
        <v>20</v>
      </c>
      <c r="C10" s="17" t="s">
        <v>26</v>
      </c>
      <c r="E10" s="31"/>
      <c r="F10" s="26" t="s">
        <v>73</v>
      </c>
      <c r="G10" s="27">
        <f>$B$5*$B$20*$B$7</f>
        <v>168000</v>
      </c>
      <c r="H10" s="27">
        <v>0</v>
      </c>
      <c r="I10" s="27">
        <f>$B$6*$B$20*$B$7</f>
        <v>56000</v>
      </c>
    </row>
    <row r="11" spans="1:10" ht="23.25" x14ac:dyDescent="0.25">
      <c r="A11" s="15" t="s">
        <v>20</v>
      </c>
      <c r="B11" s="12">
        <v>0</v>
      </c>
      <c r="C11" s="17" t="s">
        <v>27</v>
      </c>
      <c r="E11" s="31"/>
      <c r="F11" s="26" t="s">
        <v>9</v>
      </c>
      <c r="G11" s="27">
        <f>$B$5*$B$7*$B$21*$B$14</f>
        <v>72000</v>
      </c>
      <c r="H11" s="27">
        <v>0</v>
      </c>
      <c r="I11" s="27">
        <f>$B$6*$B$7*$B$21*$B$14</f>
        <v>24000</v>
      </c>
    </row>
    <row r="12" spans="1:10" ht="30" x14ac:dyDescent="0.25">
      <c r="A12" s="15" t="s">
        <v>108</v>
      </c>
      <c r="B12" s="57">
        <v>30</v>
      </c>
      <c r="C12" s="17" t="s">
        <v>109</v>
      </c>
      <c r="E12" s="32"/>
      <c r="F12" s="46" t="s">
        <v>13</v>
      </c>
      <c r="G12" s="47">
        <f>SUM(G8:G11)</f>
        <v>259110</v>
      </c>
      <c r="H12" s="47">
        <f>SUM(H8:H11)</f>
        <v>29250</v>
      </c>
      <c r="I12" s="64">
        <f>SUM(I8:I11)</f>
        <v>164240</v>
      </c>
    </row>
    <row r="13" spans="1:10" ht="23.25" x14ac:dyDescent="0.25">
      <c r="A13" s="15" t="s">
        <v>18</v>
      </c>
      <c r="B13" s="52">
        <v>980</v>
      </c>
      <c r="C13" s="17" t="s">
        <v>28</v>
      </c>
      <c r="E13" s="33" t="s">
        <v>3</v>
      </c>
      <c r="F13" s="26" t="s">
        <v>54</v>
      </c>
      <c r="G13" s="36">
        <f>B26</f>
        <v>24800</v>
      </c>
      <c r="H13" s="70">
        <v>0</v>
      </c>
      <c r="I13" s="65"/>
    </row>
    <row r="14" spans="1:10" x14ac:dyDescent="0.25">
      <c r="A14" s="15" t="s">
        <v>110</v>
      </c>
      <c r="B14" s="12">
        <v>3</v>
      </c>
      <c r="C14" s="17" t="s">
        <v>111</v>
      </c>
      <c r="E14" s="34"/>
      <c r="F14" s="26" t="s">
        <v>74</v>
      </c>
      <c r="G14" s="36">
        <f>B7*B25</f>
        <v>3480</v>
      </c>
      <c r="H14" s="70">
        <v>0</v>
      </c>
      <c r="I14" s="74"/>
    </row>
    <row r="15" spans="1:10" x14ac:dyDescent="0.25">
      <c r="A15" s="15" t="s">
        <v>16</v>
      </c>
      <c r="B15" s="13">
        <v>800</v>
      </c>
      <c r="C15" s="17" t="s">
        <v>33</v>
      </c>
      <c r="E15" s="34"/>
      <c r="F15" s="26" t="s">
        <v>99</v>
      </c>
      <c r="G15" s="38">
        <v>10000</v>
      </c>
      <c r="H15" s="38">
        <v>35000</v>
      </c>
      <c r="I15" s="66"/>
    </row>
    <row r="16" spans="1:10" x14ac:dyDescent="0.25">
      <c r="A16" s="15" t="s">
        <v>112</v>
      </c>
      <c r="B16" s="13">
        <v>700</v>
      </c>
      <c r="C16" s="17" t="s">
        <v>113</v>
      </c>
      <c r="E16" s="34"/>
      <c r="F16" s="45" t="s">
        <v>69</v>
      </c>
      <c r="G16" s="38">
        <f>B28*5</f>
        <v>95000</v>
      </c>
      <c r="H16" s="71"/>
      <c r="I16" s="66">
        <f>(B28*15)+(B29*5)</f>
        <v>1785000</v>
      </c>
    </row>
    <row r="17" spans="1:9" ht="15.75" thickBot="1" x14ac:dyDescent="0.3">
      <c r="A17" s="15" t="s">
        <v>114</v>
      </c>
      <c r="B17" s="44">
        <v>3500</v>
      </c>
      <c r="C17" s="17" t="s">
        <v>115</v>
      </c>
      <c r="E17" s="35"/>
      <c r="F17" s="49" t="s">
        <v>13</v>
      </c>
      <c r="G17" s="54">
        <f>SUM(G13:G16)</f>
        <v>133280</v>
      </c>
      <c r="H17" s="72">
        <f>SUM(H13:H16)</f>
        <v>35000</v>
      </c>
      <c r="I17" s="67">
        <f>SUM(I13:I16)</f>
        <v>1785000</v>
      </c>
    </row>
    <row r="18" spans="1:9" x14ac:dyDescent="0.25">
      <c r="A18" s="15" t="s">
        <v>21</v>
      </c>
      <c r="B18" s="13">
        <v>0</v>
      </c>
      <c r="C18" s="17" t="s">
        <v>31</v>
      </c>
    </row>
    <row r="19" spans="1:9" x14ac:dyDescent="0.25">
      <c r="A19" s="15" t="s">
        <v>17</v>
      </c>
      <c r="B19" s="13">
        <v>19.5</v>
      </c>
      <c r="C19" s="17" t="s">
        <v>32</v>
      </c>
    </row>
    <row r="20" spans="1:9" x14ac:dyDescent="0.25">
      <c r="A20" s="15" t="s">
        <v>116</v>
      </c>
      <c r="B20" s="13">
        <v>1400</v>
      </c>
      <c r="C20" s="17" t="s">
        <v>117</v>
      </c>
    </row>
    <row r="21" spans="1:9" ht="30" x14ac:dyDescent="0.25">
      <c r="A21" s="15" t="s">
        <v>29</v>
      </c>
      <c r="B21" s="13">
        <v>200</v>
      </c>
      <c r="C21" s="17" t="s">
        <v>30</v>
      </c>
    </row>
    <row r="22" spans="1:9" x14ac:dyDescent="0.25">
      <c r="A22" s="15" t="s">
        <v>92</v>
      </c>
      <c r="B22" s="13">
        <v>1200</v>
      </c>
      <c r="C22" s="17" t="s">
        <v>34</v>
      </c>
    </row>
    <row r="23" spans="1:9" x14ac:dyDescent="0.25">
      <c r="A23" s="15" t="s">
        <v>93</v>
      </c>
      <c r="B23" s="13">
        <v>725</v>
      </c>
      <c r="C23" s="17" t="s">
        <v>94</v>
      </c>
    </row>
    <row r="24" spans="1:9" x14ac:dyDescent="0.25">
      <c r="A24" s="15" t="s">
        <v>119</v>
      </c>
      <c r="B24" s="78"/>
      <c r="C24" s="17" t="s">
        <v>120</v>
      </c>
    </row>
    <row r="25" spans="1:9" ht="30" x14ac:dyDescent="0.25">
      <c r="A25" s="15" t="s">
        <v>36</v>
      </c>
      <c r="B25" s="13">
        <v>1740</v>
      </c>
      <c r="C25" s="17" t="s">
        <v>35</v>
      </c>
    </row>
    <row r="26" spans="1:9" ht="30" x14ac:dyDescent="0.25">
      <c r="A26" s="15" t="s">
        <v>55</v>
      </c>
      <c r="B26" s="14">
        <f>SUM(B36)</f>
        <v>24800</v>
      </c>
      <c r="C26" s="17" t="s">
        <v>95</v>
      </c>
    </row>
    <row r="27" spans="1:9" ht="23.25" x14ac:dyDescent="0.25">
      <c r="A27" s="15" t="s">
        <v>96</v>
      </c>
      <c r="B27" s="14">
        <f>SUM(B44)</f>
        <v>45000</v>
      </c>
      <c r="C27" s="17" t="s">
        <v>97</v>
      </c>
      <c r="G27" s="1"/>
      <c r="H27" s="1"/>
    </row>
    <row r="28" spans="1:9" x14ac:dyDescent="0.25">
      <c r="A28" s="15" t="s">
        <v>76</v>
      </c>
      <c r="B28" s="14">
        <v>19000</v>
      </c>
      <c r="C28" s="17" t="s">
        <v>70</v>
      </c>
    </row>
    <row r="29" spans="1:9" x14ac:dyDescent="0.25">
      <c r="A29" s="15" t="s">
        <v>77</v>
      </c>
      <c r="B29" s="14">
        <v>300000</v>
      </c>
      <c r="C29" s="17" t="s">
        <v>78</v>
      </c>
    </row>
    <row r="31" spans="1:9" ht="30" x14ac:dyDescent="0.25">
      <c r="A31" s="21" t="s">
        <v>56</v>
      </c>
      <c r="B31" s="20" t="s">
        <v>49</v>
      </c>
    </row>
    <row r="32" spans="1:9" x14ac:dyDescent="0.25">
      <c r="A32" s="5" t="s">
        <v>37</v>
      </c>
      <c r="B32" s="6">
        <v>3000</v>
      </c>
    </row>
    <row r="33" spans="1:2" x14ac:dyDescent="0.25">
      <c r="A33" s="5" t="s">
        <v>98</v>
      </c>
      <c r="B33" s="6">
        <v>1800</v>
      </c>
    </row>
    <row r="34" spans="1:2" x14ac:dyDescent="0.25">
      <c r="A34" s="5" t="s">
        <v>68</v>
      </c>
      <c r="B34" s="6">
        <f>1000*20</f>
        <v>20000</v>
      </c>
    </row>
    <row r="35" spans="1:2" x14ac:dyDescent="0.25">
      <c r="A35" s="5"/>
      <c r="B35" s="6"/>
    </row>
    <row r="36" spans="1:2" ht="15.75" thickBot="1" x14ac:dyDescent="0.3">
      <c r="A36" s="8" t="s">
        <v>13</v>
      </c>
      <c r="B36" s="9">
        <f>SUM(B32:B35)</f>
        <v>24800</v>
      </c>
    </row>
    <row r="37" spans="1:2" ht="15.75" thickTop="1" x14ac:dyDescent="0.25"/>
    <row r="38" spans="1:2" ht="30" x14ac:dyDescent="0.25">
      <c r="A38" s="21" t="s">
        <v>99</v>
      </c>
      <c r="B38" s="20" t="s">
        <v>49</v>
      </c>
    </row>
    <row r="39" spans="1:2" x14ac:dyDescent="0.25">
      <c r="A39" s="5" t="s">
        <v>48</v>
      </c>
      <c r="B39" s="6">
        <v>35000</v>
      </c>
    </row>
    <row r="40" spans="1:2" x14ac:dyDescent="0.25">
      <c r="A40" s="5" t="s">
        <v>11</v>
      </c>
      <c r="B40" s="6">
        <v>7000</v>
      </c>
    </row>
    <row r="41" spans="1:2" x14ac:dyDescent="0.25">
      <c r="A41" s="5" t="s">
        <v>63</v>
      </c>
      <c r="B41" s="6">
        <v>3000</v>
      </c>
    </row>
    <row r="42" spans="1:2" x14ac:dyDescent="0.25">
      <c r="A42" s="5"/>
      <c r="B42" s="6">
        <v>0</v>
      </c>
    </row>
    <row r="43" spans="1:2" x14ac:dyDescent="0.25">
      <c r="A43" s="5"/>
      <c r="B43" s="6">
        <v>0</v>
      </c>
    </row>
    <row r="44" spans="1:2" ht="15.75" thickBot="1" x14ac:dyDescent="0.3">
      <c r="A44" s="8" t="s">
        <v>13</v>
      </c>
      <c r="B44" s="9">
        <f>SUM(B38:B43)</f>
        <v>45000</v>
      </c>
    </row>
    <row r="45" spans="1:2" ht="15.75" thickTop="1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E10" zoomScale="85" zoomScaleNormal="85" workbookViewId="0">
      <selection activeCell="U12" sqref="U12"/>
    </sheetView>
  </sheetViews>
  <sheetFormatPr defaultRowHeight="15" x14ac:dyDescent="0.25"/>
  <cols>
    <col min="1" max="1" width="23.42578125" bestFit="1" customWidth="1"/>
    <col min="2" max="2" width="16" customWidth="1"/>
    <col min="3" max="3" width="13.28515625" customWidth="1"/>
    <col min="4" max="4" width="14.28515625" bestFit="1" customWidth="1"/>
    <col min="6" max="6" width="17.28515625" customWidth="1"/>
    <col min="7" max="9" width="14" customWidth="1"/>
    <col min="10" max="10" width="16" customWidth="1"/>
    <col min="11" max="11" width="14.7109375" customWidth="1"/>
    <col min="16" max="16" width="12.5703125" bestFit="1" customWidth="1"/>
    <col min="17" max="18" width="11.5703125" bestFit="1" customWidth="1"/>
    <col min="21" max="21" width="12.5703125" bestFit="1" customWidth="1"/>
    <col min="22" max="22" width="11.5703125" bestFit="1" customWidth="1"/>
  </cols>
  <sheetData>
    <row r="1" spans="1:22" x14ac:dyDescent="0.25">
      <c r="A1">
        <v>19</v>
      </c>
      <c r="B1" s="96" t="s">
        <v>89</v>
      </c>
      <c r="C1" s="96"/>
      <c r="D1" s="96"/>
      <c r="O1">
        <v>20</v>
      </c>
    </row>
    <row r="2" spans="1:22" ht="33" customHeight="1" x14ac:dyDescent="0.25">
      <c r="A2" s="2" t="s">
        <v>0</v>
      </c>
      <c r="B2" s="11" t="s">
        <v>12</v>
      </c>
      <c r="C2" s="11" t="s">
        <v>86</v>
      </c>
      <c r="D2" s="11" t="s">
        <v>3</v>
      </c>
      <c r="E2" s="7"/>
      <c r="F2" s="58" t="s">
        <v>90</v>
      </c>
      <c r="G2" s="58" t="s">
        <v>89</v>
      </c>
      <c r="H2" s="58" t="s">
        <v>91</v>
      </c>
      <c r="I2" s="58" t="s">
        <v>88</v>
      </c>
      <c r="J2" s="58" t="s">
        <v>59</v>
      </c>
      <c r="K2" s="58" t="s">
        <v>60</v>
      </c>
      <c r="N2" s="88" t="s">
        <v>140</v>
      </c>
      <c r="P2" t="s">
        <v>150</v>
      </c>
      <c r="Q2" t="s">
        <v>151</v>
      </c>
      <c r="R2" t="s">
        <v>149</v>
      </c>
      <c r="S2" t="s">
        <v>60</v>
      </c>
      <c r="U2" t="s">
        <v>166</v>
      </c>
      <c r="V2" t="s">
        <v>183</v>
      </c>
    </row>
    <row r="3" spans="1:22" x14ac:dyDescent="0.25">
      <c r="A3" t="s">
        <v>10</v>
      </c>
      <c r="B3" s="1">
        <f>'El Rosario'!G8</f>
        <v>145131</v>
      </c>
      <c r="C3" s="1">
        <f>'El Rosario'!G13</f>
        <v>75795</v>
      </c>
      <c r="D3" s="1">
        <f>'El Rosario'!G17</f>
        <v>30720</v>
      </c>
      <c r="F3" s="56">
        <f t="shared" ref="F3:F11" si="0">SUM(B3:D3)+SUM(B16:D16)</f>
        <v>458474</v>
      </c>
      <c r="G3" s="56">
        <f>SUM(B3:D3)</f>
        <v>251646</v>
      </c>
      <c r="H3" s="56">
        <f>SUM(B16:D16)</f>
        <v>206828</v>
      </c>
      <c r="I3" s="56"/>
      <c r="J3" s="56">
        <f>F3/'El Rosario'!B2</f>
        <v>114618.5</v>
      </c>
      <c r="K3" s="56">
        <f>F3/'El Rosario'!B3</f>
        <v>339.86212008895478</v>
      </c>
      <c r="N3" s="89">
        <f>H3/F3</f>
        <v>0.4511226372705977</v>
      </c>
      <c r="P3" s="1">
        <f>F3/19</f>
        <v>24130.21052631579</v>
      </c>
      <c r="Q3" s="1">
        <f>H3/19</f>
        <v>10885.684210526315</v>
      </c>
      <c r="R3" s="1">
        <f>J3/19</f>
        <v>6032.5526315789475</v>
      </c>
      <c r="S3" s="1">
        <f>K3/19</f>
        <v>17.88748000468183</v>
      </c>
      <c r="U3">
        <v>12</v>
      </c>
      <c r="V3" s="1">
        <f>F3/U3/19</f>
        <v>2010.8508771929824</v>
      </c>
    </row>
    <row r="4" spans="1:22" x14ac:dyDescent="0.25">
      <c r="A4" t="s">
        <v>39</v>
      </c>
      <c r="B4" s="1">
        <f>'Isla Natividad'!G8</f>
        <v>108941</v>
      </c>
      <c r="C4" s="1">
        <f>'Isla Natividad'!G13</f>
        <v>48675</v>
      </c>
      <c r="D4" s="1">
        <f>'Isla Natividad'!G17</f>
        <v>51700</v>
      </c>
      <c r="F4" s="56">
        <f t="shared" si="0"/>
        <v>305894</v>
      </c>
      <c r="G4" s="56">
        <f t="shared" ref="G4:G8" si="1">SUM(B4:D4)</f>
        <v>209316</v>
      </c>
      <c r="H4" s="56">
        <f>SUM(B17:D17)</f>
        <v>96578</v>
      </c>
      <c r="I4" s="56"/>
      <c r="J4" s="56">
        <f>F4/'Isla Natividad'!B2</f>
        <v>152947</v>
      </c>
      <c r="K4" s="56">
        <f>F4/'Isla Natividad'!B3</f>
        <v>1529.47</v>
      </c>
      <c r="N4" s="89">
        <f t="shared" ref="N4:N11" si="2">H4/F4</f>
        <v>0.31572374744192433</v>
      </c>
      <c r="P4" s="1">
        <f t="shared" ref="P4:P11" si="3">F4/19</f>
        <v>16099.684210526315</v>
      </c>
      <c r="Q4" s="1">
        <f t="shared" ref="Q4:Q11" si="4">H4/19</f>
        <v>5083.0526315789475</v>
      </c>
      <c r="R4" s="1">
        <f t="shared" ref="R4:S11" si="5">J4/19</f>
        <v>8049.8421052631575</v>
      </c>
      <c r="S4" s="1">
        <f t="shared" si="5"/>
        <v>80.498421052631585</v>
      </c>
      <c r="U4">
        <v>7</v>
      </c>
      <c r="V4" s="1">
        <f t="shared" ref="V4:V11" si="6">F4/U4/19</f>
        <v>2299.9548872180449</v>
      </c>
    </row>
    <row r="5" spans="1:22" x14ac:dyDescent="0.25">
      <c r="A5" t="s">
        <v>40</v>
      </c>
      <c r="B5" s="1">
        <f>'La Bocana'!G8</f>
        <v>59165</v>
      </c>
      <c r="C5" s="1">
        <f>'La Bocana'!G13</f>
        <v>40675</v>
      </c>
      <c r="D5" s="1">
        <f>'La Bocana'!G17</f>
        <v>63980</v>
      </c>
      <c r="F5" s="56">
        <f t="shared" si="0"/>
        <v>212854</v>
      </c>
      <c r="G5" s="56">
        <f t="shared" si="1"/>
        <v>163820</v>
      </c>
      <c r="H5" s="56">
        <f>SUM(B18:D18)</f>
        <v>49034</v>
      </c>
      <c r="I5" s="56"/>
      <c r="J5" s="56">
        <f>F5/'La Bocana'!B2</f>
        <v>70951.333333333328</v>
      </c>
      <c r="K5" s="56">
        <f>F5/'La Bocana'!B3</f>
        <v>3561.8139223560911</v>
      </c>
      <c r="N5" s="89">
        <f t="shared" si="2"/>
        <v>0.23036447518017045</v>
      </c>
      <c r="P5" s="1">
        <f t="shared" si="3"/>
        <v>11202.842105263158</v>
      </c>
      <c r="Q5" s="1">
        <f t="shared" si="4"/>
        <v>2580.7368421052633</v>
      </c>
      <c r="R5" s="1">
        <f t="shared" si="5"/>
        <v>3734.2807017543855</v>
      </c>
      <c r="S5" s="1">
        <f t="shared" si="5"/>
        <v>187.46389065032059</v>
      </c>
      <c r="U5">
        <v>5</v>
      </c>
      <c r="V5" s="1">
        <f t="shared" si="6"/>
        <v>2240.5684210526319</v>
      </c>
    </row>
    <row r="6" spans="1:22" x14ac:dyDescent="0.25">
      <c r="A6" t="s">
        <v>41</v>
      </c>
      <c r="B6" s="1">
        <f>'Puerto Libertad'!G8</f>
        <v>50750</v>
      </c>
      <c r="C6" s="1">
        <f>'Puerto Libertad'!G13</f>
        <v>22432.2</v>
      </c>
      <c r="D6" s="1">
        <f>'Puerto Libertad'!G17</f>
        <v>32540</v>
      </c>
      <c r="F6" s="56">
        <f t="shared" si="0"/>
        <v>105722.2</v>
      </c>
      <c r="G6" s="56">
        <f t="shared" si="1"/>
        <v>105722.2</v>
      </c>
      <c r="H6" s="56">
        <f>SUM(B19:D19)</f>
        <v>0</v>
      </c>
      <c r="I6" s="56"/>
      <c r="J6" s="56">
        <f>F6/'Puerto Libertad'!B2</f>
        <v>105722.2</v>
      </c>
      <c r="K6" s="56">
        <f>F6/'Puerto Libertad'!B3</f>
        <v>1414.1546281433921</v>
      </c>
      <c r="N6" s="89">
        <f t="shared" si="2"/>
        <v>0</v>
      </c>
      <c r="P6" s="1">
        <f t="shared" si="3"/>
        <v>5564.3263157894735</v>
      </c>
      <c r="Q6" s="1">
        <f t="shared" si="4"/>
        <v>0</v>
      </c>
      <c r="R6" s="1">
        <f t="shared" si="5"/>
        <v>5564.3263157894735</v>
      </c>
      <c r="S6" s="1">
        <f t="shared" si="5"/>
        <v>74.42919095491537</v>
      </c>
      <c r="U6">
        <v>4</v>
      </c>
      <c r="V6" s="1">
        <f t="shared" si="6"/>
        <v>1391.0815789473684</v>
      </c>
    </row>
    <row r="7" spans="1:22" x14ac:dyDescent="0.25">
      <c r="A7" t="s">
        <v>42</v>
      </c>
      <c r="B7" s="1">
        <f>ISPN!G8</f>
        <v>63950</v>
      </c>
      <c r="C7" s="1">
        <f>ISPN!G13</f>
        <v>55582</v>
      </c>
      <c r="D7" s="1">
        <f>ISPN!G17</f>
        <v>36420</v>
      </c>
      <c r="F7" s="56">
        <f t="shared" si="0"/>
        <v>155952</v>
      </c>
      <c r="G7" s="56">
        <f t="shared" si="1"/>
        <v>155952</v>
      </c>
      <c r="H7" s="56">
        <f t="shared" ref="H7:H9" si="7">SUM(B20:D20)</f>
        <v>0</v>
      </c>
      <c r="I7" s="56"/>
      <c r="J7" s="56">
        <f>F7/ISPN!B2</f>
        <v>51984</v>
      </c>
      <c r="K7" s="56">
        <f>F7/ISPN!B3</f>
        <v>1130.0869565217392</v>
      </c>
      <c r="N7" s="89">
        <f t="shared" si="2"/>
        <v>0</v>
      </c>
      <c r="P7" s="1">
        <f t="shared" si="3"/>
        <v>8208</v>
      </c>
      <c r="Q7" s="1">
        <f t="shared" si="4"/>
        <v>0</v>
      </c>
      <c r="R7" s="1">
        <f t="shared" si="5"/>
        <v>2736</v>
      </c>
      <c r="S7" s="1">
        <f t="shared" si="5"/>
        <v>59.478260869565226</v>
      </c>
      <c r="U7">
        <v>4</v>
      </c>
      <c r="V7" s="1">
        <f t="shared" si="6"/>
        <v>2052</v>
      </c>
    </row>
    <row r="8" spans="1:22" x14ac:dyDescent="0.25">
      <c r="A8" t="s">
        <v>43</v>
      </c>
      <c r="B8" s="1">
        <f>'Punta Allen'!G8</f>
        <v>183820</v>
      </c>
      <c r="C8" s="1">
        <f>'Punta Allen'!G13</f>
        <v>144958</v>
      </c>
      <c r="D8" s="1">
        <f>'Punta Allen'!G17</f>
        <v>33040</v>
      </c>
      <c r="F8" s="56">
        <f t="shared" si="0"/>
        <v>361818</v>
      </c>
      <c r="G8" s="56">
        <f t="shared" si="1"/>
        <v>361818</v>
      </c>
      <c r="H8" s="56">
        <f t="shared" si="7"/>
        <v>0</v>
      </c>
      <c r="I8" s="56"/>
      <c r="J8" s="56">
        <f>F8/'Punta Allen'!B2</f>
        <v>180909</v>
      </c>
      <c r="K8" s="56">
        <f>F8/'Punta Allen'!B3</f>
        <v>112.67131072753148</v>
      </c>
      <c r="N8" s="89">
        <f t="shared" si="2"/>
        <v>0</v>
      </c>
      <c r="P8" s="1">
        <f t="shared" si="3"/>
        <v>19043.052631578947</v>
      </c>
      <c r="Q8" s="1">
        <f t="shared" si="4"/>
        <v>0</v>
      </c>
      <c r="R8" s="1">
        <f t="shared" si="5"/>
        <v>9521.5263157894733</v>
      </c>
      <c r="S8" s="1">
        <f t="shared" si="5"/>
        <v>5.9300689856595517</v>
      </c>
      <c r="U8">
        <v>16</v>
      </c>
      <c r="V8" s="1">
        <f t="shared" si="6"/>
        <v>1190.1907894736842</v>
      </c>
    </row>
    <row r="9" spans="1:22" x14ac:dyDescent="0.25">
      <c r="A9" t="s">
        <v>44</v>
      </c>
      <c r="B9" s="1">
        <f>'María Elena'!G8</f>
        <v>79570</v>
      </c>
      <c r="C9" s="1">
        <f>'María Elena'!G13</f>
        <v>33210</v>
      </c>
      <c r="D9" s="1">
        <f>'María Elena'!G17</f>
        <v>33040</v>
      </c>
      <c r="F9" s="56">
        <f t="shared" si="0"/>
        <v>145820</v>
      </c>
      <c r="G9" s="56">
        <f>SUM(B9:D9)</f>
        <v>145820</v>
      </c>
      <c r="H9" s="56">
        <f t="shared" si="7"/>
        <v>0</v>
      </c>
      <c r="I9" s="56"/>
      <c r="J9" s="56">
        <f>F9/'María Elena'!B2</f>
        <v>18227.5</v>
      </c>
      <c r="K9" s="56">
        <f>F9/'María Elena'!B3</f>
        <v>122.53781512605042</v>
      </c>
      <c r="N9" s="89">
        <f t="shared" si="2"/>
        <v>0</v>
      </c>
      <c r="P9" s="1">
        <f t="shared" si="3"/>
        <v>7674.7368421052633</v>
      </c>
      <c r="Q9" s="1">
        <f t="shared" si="4"/>
        <v>0</v>
      </c>
      <c r="R9" s="1">
        <f t="shared" si="5"/>
        <v>959.34210526315792</v>
      </c>
      <c r="S9" s="1">
        <f t="shared" si="5"/>
        <v>6.4493586908447584</v>
      </c>
      <c r="U9">
        <v>8</v>
      </c>
      <c r="V9" s="1">
        <f t="shared" si="6"/>
        <v>959.34210526315792</v>
      </c>
    </row>
    <row r="10" spans="1:22" x14ac:dyDescent="0.25">
      <c r="A10" t="s">
        <v>45</v>
      </c>
      <c r="B10" s="1">
        <f>'Punta Herrero'!G8</f>
        <v>146336</v>
      </c>
      <c r="C10" s="1">
        <f>'Punta Herrero'!G13</f>
        <v>38310</v>
      </c>
      <c r="D10" s="1">
        <f>'Punta Herrero'!G17</f>
        <v>36520</v>
      </c>
      <c r="F10" s="56">
        <f t="shared" si="0"/>
        <v>230766</v>
      </c>
      <c r="G10" s="56">
        <f t="shared" ref="G10:G11" si="8">SUM(B10:D10)</f>
        <v>221166</v>
      </c>
      <c r="H10" s="56">
        <f>SUM(B23:D23)</f>
        <v>9600</v>
      </c>
      <c r="I10" s="56"/>
      <c r="J10" s="56">
        <f>F10/'Punta Herrero'!B2</f>
        <v>230766</v>
      </c>
      <c r="K10" s="56">
        <f>F10/'Punta Herrero'!B3</f>
        <v>1412.7953961062813</v>
      </c>
      <c r="N10" s="89">
        <f t="shared" si="2"/>
        <v>4.1600582408153716E-2</v>
      </c>
      <c r="P10" s="1">
        <f t="shared" si="3"/>
        <v>12145.578947368422</v>
      </c>
      <c r="Q10" s="1">
        <f t="shared" si="4"/>
        <v>505.26315789473682</v>
      </c>
      <c r="R10" s="1">
        <f t="shared" si="5"/>
        <v>12145.578947368422</v>
      </c>
      <c r="S10" s="1">
        <f t="shared" si="5"/>
        <v>74.357652426646382</v>
      </c>
      <c r="U10">
        <v>12</v>
      </c>
      <c r="V10" s="1">
        <f t="shared" si="6"/>
        <v>1012.1315789473684</v>
      </c>
    </row>
    <row r="11" spans="1:22" x14ac:dyDescent="0.25">
      <c r="A11" t="s">
        <v>46</v>
      </c>
      <c r="B11" s="1">
        <f>'Banco Chinchorro'!G8</f>
        <v>187425</v>
      </c>
      <c r="C11" s="1">
        <f>'Banco Chinchorro'!G13</f>
        <v>44655</v>
      </c>
      <c r="D11" s="1">
        <f>'Banco Chinchorro'!G17</f>
        <v>43480</v>
      </c>
      <c r="F11" s="56">
        <f t="shared" si="0"/>
        <v>283360</v>
      </c>
      <c r="G11" s="56">
        <f t="shared" si="8"/>
        <v>275560</v>
      </c>
      <c r="H11" s="56">
        <f>SUM(B24:D24)</f>
        <v>7800</v>
      </c>
      <c r="I11" s="56"/>
      <c r="J11" s="56">
        <f>F11/'Banco Chinchorro'!B2</f>
        <v>283360</v>
      </c>
      <c r="K11" s="56">
        <f>F11/'Banco Chinchorro'!B3</f>
        <v>23.117369436546753</v>
      </c>
      <c r="N11" s="89">
        <f t="shared" si="2"/>
        <v>2.7526821005081876E-2</v>
      </c>
      <c r="P11" s="1">
        <f t="shared" si="3"/>
        <v>14913.684210526315</v>
      </c>
      <c r="Q11" s="1">
        <f t="shared" si="4"/>
        <v>410.5263157894737</v>
      </c>
      <c r="R11" s="1">
        <f t="shared" si="5"/>
        <v>14913.684210526315</v>
      </c>
      <c r="S11" s="1">
        <f t="shared" si="5"/>
        <v>1.2167036545550922</v>
      </c>
      <c r="U11">
        <v>10</v>
      </c>
      <c r="V11" s="1">
        <f t="shared" si="6"/>
        <v>1491.3684210526317</v>
      </c>
    </row>
    <row r="12" spans="1:22" x14ac:dyDescent="0.25">
      <c r="E12" s="2"/>
      <c r="F12" s="79">
        <f>SUM(F3:F11)</f>
        <v>2260660.2000000002</v>
      </c>
      <c r="G12" s="79">
        <f>SUM(G3:G11)</f>
        <v>1890820.2</v>
      </c>
      <c r="H12" s="79">
        <f>SUM(H3:H11)</f>
        <v>369840</v>
      </c>
      <c r="I12" s="79">
        <f>SUM(I3:I11)</f>
        <v>0</v>
      </c>
      <c r="P12" s="1">
        <f>SUM(P3:P11)</f>
        <v>118982.11578947371</v>
      </c>
      <c r="Q12" s="1">
        <f>SUM(Q3:Q11)</f>
        <v>19465.263157894737</v>
      </c>
      <c r="U12" s="1">
        <f>SUM(P12:Q12)</f>
        <v>138447.37894736844</v>
      </c>
    </row>
    <row r="13" spans="1:22" x14ac:dyDescent="0.25">
      <c r="P13" s="89">
        <f>P12/U12</f>
        <v>0.8594031659834126</v>
      </c>
    </row>
    <row r="14" spans="1:22" x14ac:dyDescent="0.25">
      <c r="B14" s="97" t="s">
        <v>91</v>
      </c>
      <c r="C14" s="97"/>
      <c r="D14" s="97"/>
    </row>
    <row r="15" spans="1:22" ht="30" x14ac:dyDescent="0.25">
      <c r="A15" s="2"/>
      <c r="B15" s="11" t="s">
        <v>12</v>
      </c>
      <c r="C15" s="11" t="s">
        <v>86</v>
      </c>
      <c r="D15" s="11" t="s">
        <v>3</v>
      </c>
    </row>
    <row r="16" spans="1:22" x14ac:dyDescent="0.25">
      <c r="A16" t="s">
        <v>10</v>
      </c>
      <c r="B16" s="1">
        <f>'El Rosario'!H8</f>
        <v>134388</v>
      </c>
      <c r="C16" s="1">
        <f>'El Rosario'!H13</f>
        <v>37440</v>
      </c>
      <c r="D16" s="1">
        <f>'El Rosario'!H17</f>
        <v>35000</v>
      </c>
    </row>
    <row r="17" spans="1:4" x14ac:dyDescent="0.25">
      <c r="A17" t="s">
        <v>39</v>
      </c>
      <c r="B17" s="1">
        <f>'Isla Natividad'!H8</f>
        <v>54508</v>
      </c>
      <c r="C17" s="1">
        <f>'Isla Natividad'!H13</f>
        <v>24570</v>
      </c>
      <c r="D17" s="1">
        <f>'Isla Natividad'!H17</f>
        <v>17500</v>
      </c>
    </row>
    <row r="18" spans="1:4" x14ac:dyDescent="0.25">
      <c r="A18" t="s">
        <v>40</v>
      </c>
      <c r="B18" s="1">
        <f>'La Bocana'!H8</f>
        <v>39284</v>
      </c>
      <c r="C18" s="1">
        <f>'La Bocana'!H13</f>
        <v>9750</v>
      </c>
      <c r="D18" s="1">
        <f>'La Bocana'!H17</f>
        <v>0</v>
      </c>
    </row>
    <row r="19" spans="1:4" x14ac:dyDescent="0.25">
      <c r="A19" t="s">
        <v>41</v>
      </c>
      <c r="B19" s="1">
        <f>'Puerto Libertad'!H8</f>
        <v>0</v>
      </c>
      <c r="C19" s="1">
        <f>'Puerto Libertad'!H13</f>
        <v>0</v>
      </c>
      <c r="D19" s="1">
        <f>'Puerto Libertad'!H17</f>
        <v>0</v>
      </c>
    </row>
    <row r="20" spans="1:4" x14ac:dyDescent="0.25">
      <c r="A20" t="s">
        <v>42</v>
      </c>
      <c r="B20" s="1">
        <f>ISPN!H8</f>
        <v>0</v>
      </c>
      <c r="C20" s="1">
        <f>ISPN!H13</f>
        <v>0</v>
      </c>
      <c r="D20" s="1">
        <f>ISPN!H17</f>
        <v>0</v>
      </c>
    </row>
    <row r="21" spans="1:4" x14ac:dyDescent="0.25">
      <c r="A21" t="s">
        <v>43</v>
      </c>
      <c r="B21" s="1">
        <f>'Punta Allen'!H8</f>
        <v>0</v>
      </c>
      <c r="C21" s="1">
        <f>'Punta Allen'!H13</f>
        <v>0</v>
      </c>
      <c r="D21" s="1">
        <f>'Punta Allen'!H17</f>
        <v>0</v>
      </c>
    </row>
    <row r="22" spans="1:4" x14ac:dyDescent="0.25">
      <c r="A22" t="s">
        <v>44</v>
      </c>
      <c r="B22" s="1">
        <f>'María Elena'!H8</f>
        <v>0</v>
      </c>
      <c r="C22" s="1">
        <f>'María Elena'!H13</f>
        <v>0</v>
      </c>
      <c r="D22" s="1">
        <f>'María Elena'!H17</f>
        <v>0</v>
      </c>
    </row>
    <row r="23" spans="1:4" x14ac:dyDescent="0.25">
      <c r="A23" t="s">
        <v>45</v>
      </c>
      <c r="B23" s="1">
        <f>'Punta Herrero'!H8</f>
        <v>0</v>
      </c>
      <c r="C23" s="1">
        <f>'Punta Herrero'!H13</f>
        <v>9600</v>
      </c>
      <c r="D23" s="1">
        <f>'Punta Herrero'!H17</f>
        <v>0</v>
      </c>
    </row>
    <row r="24" spans="1:4" x14ac:dyDescent="0.25">
      <c r="A24" t="s">
        <v>46</v>
      </c>
      <c r="B24" s="1">
        <f>'Banco Chinchorro'!H8</f>
        <v>0</v>
      </c>
      <c r="C24" s="1">
        <f>'Banco Chinchorro'!H13</f>
        <v>7800</v>
      </c>
      <c r="D24" s="1">
        <f>'Banco Chinchorro'!H17</f>
        <v>0</v>
      </c>
    </row>
    <row r="25" spans="1:4" x14ac:dyDescent="0.25">
      <c r="A25" t="s">
        <v>87</v>
      </c>
      <c r="B25" s="1">
        <f>'Red Oceanografica'!H7</f>
        <v>250000</v>
      </c>
      <c r="C25" s="1">
        <f>'Red Oceanografica'!H12</f>
        <v>29250</v>
      </c>
      <c r="D25" s="1">
        <f>'Red Oceanografica'!H17</f>
        <v>35000</v>
      </c>
    </row>
    <row r="27" spans="1:4" x14ac:dyDescent="0.25">
      <c r="B27" s="97" t="s">
        <v>88</v>
      </c>
      <c r="C27" s="97"/>
      <c r="D27" s="97"/>
    </row>
    <row r="28" spans="1:4" ht="30" x14ac:dyDescent="0.25">
      <c r="B28" s="11" t="s">
        <v>12</v>
      </c>
      <c r="C28" s="11" t="s">
        <v>86</v>
      </c>
      <c r="D28" s="11" t="s">
        <v>3</v>
      </c>
    </row>
    <row r="29" spans="1:4" x14ac:dyDescent="0.25">
      <c r="A29" t="s">
        <v>87</v>
      </c>
      <c r="B29" s="1">
        <f>'Red Oceanografica'!I7</f>
        <v>0</v>
      </c>
      <c r="C29" s="1">
        <f>'Red Oceanografica'!I12</f>
        <v>164240</v>
      </c>
      <c r="D29" s="1">
        <f>'Red Oceanografica'!I17</f>
        <v>1785000</v>
      </c>
    </row>
  </sheetData>
  <mergeCells count="3">
    <mergeCell ref="B1:D1"/>
    <mergeCell ref="B14:D14"/>
    <mergeCell ref="B27:D27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zoomScale="85" zoomScaleNormal="85" workbookViewId="0">
      <selection activeCell="Q3" sqref="Q3:Q11"/>
    </sheetView>
  </sheetViews>
  <sheetFormatPr defaultRowHeight="15" x14ac:dyDescent="0.25"/>
  <cols>
    <col min="1" max="1" width="23.42578125" bestFit="1" customWidth="1"/>
    <col min="2" max="3" width="12.28515625" style="7" bestFit="1" customWidth="1"/>
    <col min="4" max="4" width="11.28515625" style="7" customWidth="1"/>
    <col min="5" max="6" width="12.28515625" style="7" bestFit="1" customWidth="1"/>
    <col min="7" max="7" width="11.28515625" style="7" customWidth="1"/>
    <col min="8" max="8" width="12.7109375" style="7" bestFit="1" customWidth="1"/>
    <col min="9" max="9" width="12.85546875" style="7" customWidth="1"/>
    <col min="10" max="10" width="12.5703125" style="7" bestFit="1" customWidth="1"/>
    <col min="11" max="13" width="11.28515625" style="7" customWidth="1"/>
    <col min="14" max="14" width="14.28515625" bestFit="1" customWidth="1"/>
    <col min="16" max="16" width="11.5703125" bestFit="1" customWidth="1"/>
    <col min="17" max="17" width="10.5703125" bestFit="1" customWidth="1"/>
  </cols>
  <sheetData>
    <row r="1" spans="1:17" x14ac:dyDescent="0.25">
      <c r="A1" s="98" t="s">
        <v>138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7" ht="54" customHeight="1" x14ac:dyDescent="0.25">
      <c r="A2" s="2" t="s">
        <v>0</v>
      </c>
      <c r="B2" s="87" t="s">
        <v>52</v>
      </c>
      <c r="C2" s="87" t="s">
        <v>5</v>
      </c>
      <c r="D2" s="87" t="s">
        <v>106</v>
      </c>
      <c r="E2" s="87" t="s">
        <v>53</v>
      </c>
      <c r="F2" s="87" t="s">
        <v>107</v>
      </c>
      <c r="G2" s="87" t="s">
        <v>6</v>
      </c>
      <c r="H2" s="87" t="s">
        <v>7</v>
      </c>
      <c r="I2" s="87" t="s">
        <v>8</v>
      </c>
      <c r="J2" s="87" t="s">
        <v>9</v>
      </c>
      <c r="K2" s="87" t="s">
        <v>54</v>
      </c>
      <c r="L2" s="87" t="s">
        <v>99</v>
      </c>
      <c r="M2" s="87" t="s">
        <v>62</v>
      </c>
      <c r="N2" s="87" t="s">
        <v>128</v>
      </c>
      <c r="O2" s="87" t="s">
        <v>143</v>
      </c>
      <c r="P2" s="87" t="s">
        <v>144</v>
      </c>
      <c r="Q2" s="87" t="s">
        <v>161</v>
      </c>
    </row>
    <row r="3" spans="1:17" x14ac:dyDescent="0.25">
      <c r="A3" t="s">
        <v>10</v>
      </c>
      <c r="B3" s="86">
        <f>'El Rosario'!G3</f>
        <v>28875</v>
      </c>
      <c r="C3" s="86">
        <f>SUM('El Rosario'!$G$4:$H$4)</f>
        <v>115200</v>
      </c>
      <c r="D3" s="86">
        <f>SUM('El Rosario'!$G$5:$H$5)</f>
        <v>28644</v>
      </c>
      <c r="E3" s="86">
        <f>SUM('El Rosario'!$G$6:$H$6)</f>
        <v>22800</v>
      </c>
      <c r="F3" s="86">
        <f>SUM('El Rosario'!$G$7:$H$7)</f>
        <v>84000</v>
      </c>
      <c r="G3" s="86">
        <f>SUM('El Rosario'!$G$9:$H$9)</f>
        <v>15795</v>
      </c>
      <c r="H3" s="86">
        <f>SUM('El Rosario'!$G$10:$H$10)</f>
        <v>37440</v>
      </c>
      <c r="I3" s="86">
        <f>SUM('El Rosario'!$G$11:$H$11)</f>
        <v>42000</v>
      </c>
      <c r="J3" s="86">
        <f>SUM('El Rosario'!$G$12:$H$12)</f>
        <v>18000</v>
      </c>
      <c r="K3" s="86">
        <f>SUM('El Rosario'!$G$14:$H$14)</f>
        <v>6800</v>
      </c>
      <c r="L3" s="86">
        <f>SUM('El Rosario'!$G$15:$H$15)</f>
        <v>45000</v>
      </c>
      <c r="M3" s="86">
        <f>SUM('El Rosario'!$G$16:$H$16)</f>
        <v>13920</v>
      </c>
      <c r="N3" s="1">
        <f>SUM(B3:M3)</f>
        <v>458474</v>
      </c>
      <c r="O3">
        <v>12</v>
      </c>
      <c r="P3" s="1">
        <f>N3/O3</f>
        <v>38206.166666666664</v>
      </c>
      <c r="Q3" s="1">
        <f>P3/20</f>
        <v>1910.3083333333332</v>
      </c>
    </row>
    <row r="4" spans="1:17" x14ac:dyDescent="0.25">
      <c r="A4" t="s">
        <v>39</v>
      </c>
      <c r="B4" s="86">
        <f>'Isla Natividad'!$G$3</f>
        <v>17325</v>
      </c>
      <c r="C4" s="86">
        <f>SUM('Isla Natividad'!$G$4:$H$4)</f>
        <v>70000</v>
      </c>
      <c r="D4" s="86">
        <f>SUM('Isla Natividad'!$G$5:$H$5)</f>
        <v>13824</v>
      </c>
      <c r="E4" s="86">
        <f>SUM('Isla Natividad'!$G$6:$H$6)</f>
        <v>13300</v>
      </c>
      <c r="F4" s="86">
        <f>SUM('Isla Natividad'!$G$7:$H$7)</f>
        <v>49000</v>
      </c>
      <c r="G4" s="86">
        <f>SUM('Isla Natividad'!$G$9:$H$9)</f>
        <v>12675</v>
      </c>
      <c r="H4" s="86">
        <f>SUM('Isla Natividad'!$G$10:$H$10)</f>
        <v>24570</v>
      </c>
      <c r="I4" s="86">
        <f>SUM('Isla Natividad'!$G$11:$H$11)</f>
        <v>25200</v>
      </c>
      <c r="J4" s="86">
        <f>SUM('Isla Natividad'!$G$12:$H$12)</f>
        <v>10800</v>
      </c>
      <c r="K4" s="86">
        <f>SUM('Isla Natividad'!$G$14:$H$14)</f>
        <v>6800</v>
      </c>
      <c r="L4" s="86">
        <f>SUM('Isla Natividad'!$G$15:$H$15)</f>
        <v>45000</v>
      </c>
      <c r="M4" s="86">
        <f>SUM('Isla Natividad'!$G$16:$H$16)</f>
        <v>17400</v>
      </c>
      <c r="N4" s="1">
        <f t="shared" ref="N4:N11" si="0">SUM(B4:M4)</f>
        <v>305894</v>
      </c>
      <c r="O4">
        <v>7</v>
      </c>
      <c r="P4" s="1">
        <f t="shared" ref="P4:P11" si="1">N4/O4</f>
        <v>43699.142857142855</v>
      </c>
      <c r="Q4" s="1">
        <f t="shared" ref="Q4:Q11" si="2">P4/20</f>
        <v>2184.9571428571426</v>
      </c>
    </row>
    <row r="5" spans="1:17" x14ac:dyDescent="0.25">
      <c r="A5" t="s">
        <v>40</v>
      </c>
      <c r="B5" s="86">
        <f>'La Bocana'!$G$3</f>
        <v>13475</v>
      </c>
      <c r="C5" s="86">
        <f>SUM('La Bocana'!$G$4:$H$4)</f>
        <v>35000</v>
      </c>
      <c r="D5" s="86">
        <f>SUM('La Bocana'!$G$5:$H$5)</f>
        <v>10224</v>
      </c>
      <c r="E5" s="86">
        <f>SUM('La Bocana'!$G$6:$H$6)</f>
        <v>4750</v>
      </c>
      <c r="F5" s="86">
        <f>SUM('La Bocana'!$G$7:$H$7)</f>
        <v>35000</v>
      </c>
      <c r="G5" s="86">
        <f>SUM('La Bocana'!$G$9:$H$9)</f>
        <v>12675</v>
      </c>
      <c r="H5" s="86">
        <f>SUM('La Bocana'!$G$10:$H$10)</f>
        <v>9750</v>
      </c>
      <c r="I5" s="86">
        <f>SUM('La Bocana'!$G$11:$H$11)</f>
        <v>19600</v>
      </c>
      <c r="J5" s="86">
        <f>SUM('La Bocana'!$G$12:$H$12)</f>
        <v>8400</v>
      </c>
      <c r="K5" s="86">
        <f>SUM('La Bocana'!$G$14:$H$14)</f>
        <v>6800</v>
      </c>
      <c r="L5" s="86">
        <f>SUM('La Bocana'!$G$15:$H$15)</f>
        <v>45000</v>
      </c>
      <c r="M5" s="86">
        <f>SUM('La Bocana'!$G$16:$H$16)</f>
        <v>12180</v>
      </c>
      <c r="N5" s="1">
        <f t="shared" si="0"/>
        <v>212854</v>
      </c>
      <c r="O5">
        <v>5</v>
      </c>
      <c r="P5" s="1">
        <f t="shared" si="1"/>
        <v>42570.8</v>
      </c>
      <c r="Q5" s="1">
        <f t="shared" si="2"/>
        <v>2128.54</v>
      </c>
    </row>
    <row r="6" spans="1:17" x14ac:dyDescent="0.25">
      <c r="A6" t="s">
        <v>41</v>
      </c>
      <c r="B6" s="86">
        <f>'Puerto Libertad'!$G$3</f>
        <v>11550</v>
      </c>
      <c r="C6" s="86">
        <f>SUM('Puerto Libertad'!$G$4:$H$4)</f>
        <v>24000</v>
      </c>
      <c r="D6" s="86">
        <f>SUM('Puerto Libertad'!$G$5:$H$5)</f>
        <v>6800</v>
      </c>
      <c r="E6" s="86">
        <f>SUM('Puerto Libertad'!$G$6:$H$6)</f>
        <v>1600</v>
      </c>
      <c r="F6" s="86">
        <f>SUM('Puerto Libertad'!$G$7:$H$7)</f>
        <v>6800</v>
      </c>
      <c r="G6" s="86">
        <f>SUM('Puerto Libertad'!$G$9:$H$9)</f>
        <v>3612.6</v>
      </c>
      <c r="H6" s="86">
        <f>SUM('Puerto Libertad'!$G$10:$H$10)</f>
        <v>5619.6</v>
      </c>
      <c r="I6" s="86">
        <f>SUM('Puerto Libertad'!$G$11:$H$11)</f>
        <v>6000</v>
      </c>
      <c r="J6" s="86">
        <f>SUM('Puerto Libertad'!$G$12:$H$12)</f>
        <v>7200</v>
      </c>
      <c r="K6" s="86">
        <f>SUM('Puerto Libertad'!$G$14:$H$14)</f>
        <v>7100</v>
      </c>
      <c r="L6" s="86">
        <f>SUM('Puerto Libertad'!$G$15:$H$15)</f>
        <v>15000</v>
      </c>
      <c r="M6" s="86">
        <f>SUM('Puerto Libertad'!$G$16:$H$16)</f>
        <v>10440</v>
      </c>
      <c r="N6" s="1">
        <f t="shared" si="0"/>
        <v>105722.2</v>
      </c>
      <c r="O6">
        <v>4</v>
      </c>
      <c r="P6" s="1">
        <f t="shared" si="1"/>
        <v>26430.55</v>
      </c>
      <c r="Q6" s="1">
        <f t="shared" si="2"/>
        <v>1321.5274999999999</v>
      </c>
    </row>
    <row r="7" spans="1:17" x14ac:dyDescent="0.25">
      <c r="A7" t="s">
        <v>42</v>
      </c>
      <c r="B7" s="86">
        <f>ISPN!$G$3</f>
        <v>11550</v>
      </c>
      <c r="C7" s="86">
        <f>SUM(ISPN!$G$4:$H$4)</f>
        <v>32000</v>
      </c>
      <c r="D7" s="86">
        <f>SUM(ISPN!$G$5:$H$5)</f>
        <v>10200</v>
      </c>
      <c r="E7" s="86">
        <f>SUM(ISPN!$G$6:$H$6)</f>
        <v>0</v>
      </c>
      <c r="F7" s="86">
        <f>SUM(ISPN!$G$7:$H$7)</f>
        <v>10200</v>
      </c>
      <c r="G7" s="86">
        <f>SUM(ISPN!$G$9:$H$9)</f>
        <v>2007</v>
      </c>
      <c r="H7" s="86">
        <f>SUM(ISPN!$G$10:$H$10)</f>
        <v>18063</v>
      </c>
      <c r="I7" s="86">
        <f>SUM(ISPN!$G$11:$H$11)</f>
        <v>15312</v>
      </c>
      <c r="J7" s="86">
        <f>SUM(ISPN!$G$12:$H$12)</f>
        <v>20200</v>
      </c>
      <c r="K7" s="86">
        <f>SUM(ISPN!$G$14:$H$14)</f>
        <v>16000</v>
      </c>
      <c r="L7" s="86">
        <f>SUM(ISPN!$G$15:$H$15)</f>
        <v>6500</v>
      </c>
      <c r="M7" s="86">
        <f>SUM(ISPN!$G$16:$H$16)</f>
        <v>13920</v>
      </c>
      <c r="N7" s="1">
        <f t="shared" si="0"/>
        <v>155952</v>
      </c>
      <c r="O7">
        <v>4</v>
      </c>
      <c r="P7" s="1">
        <f t="shared" si="1"/>
        <v>38988</v>
      </c>
      <c r="Q7" s="1">
        <f t="shared" si="2"/>
        <v>1949.4</v>
      </c>
    </row>
    <row r="8" spans="1:17" x14ac:dyDescent="0.25">
      <c r="A8" t="s">
        <v>43</v>
      </c>
      <c r="B8" s="86">
        <f>'Punta Allen'!$G$3</f>
        <v>53900</v>
      </c>
      <c r="C8" s="86">
        <f>SUM('Punta Allen'!$G$4:$H$4)</f>
        <v>72384</v>
      </c>
      <c r="D8" s="86">
        <f>SUM('Punta Allen'!$G$5:$H$5)</f>
        <v>24128</v>
      </c>
      <c r="E8" s="86">
        <f>SUM('Punta Allen'!$G$6:$H$6)</f>
        <v>9280</v>
      </c>
      <c r="F8" s="86">
        <f>SUM('Punta Allen'!$G$7:$H$7)</f>
        <v>24128</v>
      </c>
      <c r="G8" s="86">
        <f>SUM('Punta Allen'!$G$9:$H$9)</f>
        <v>1950</v>
      </c>
      <c r="H8" s="86">
        <f>SUM('Punta Allen'!$G$10:$H$10)</f>
        <v>24960</v>
      </c>
      <c r="I8" s="86">
        <f>SUM('Punta Allen'!$G$11:$H$11)</f>
        <v>84448</v>
      </c>
      <c r="J8" s="86">
        <f>SUM('Punta Allen'!$G$12:$H$12)</f>
        <v>33600</v>
      </c>
      <c r="K8" s="86">
        <f>SUM('Punta Allen'!$G$14:$H$14)</f>
        <v>7100</v>
      </c>
      <c r="L8" s="86">
        <f>SUM('Punta Allen'!$G$15:$H$15)</f>
        <v>15500</v>
      </c>
      <c r="M8" s="86">
        <f>SUM('Punta Allen'!$G$16:$H$16)</f>
        <v>10440</v>
      </c>
      <c r="N8" s="1">
        <f t="shared" si="0"/>
        <v>361818</v>
      </c>
      <c r="O8">
        <v>16</v>
      </c>
      <c r="P8" s="1">
        <f t="shared" si="1"/>
        <v>22613.625</v>
      </c>
      <c r="Q8" s="1">
        <f t="shared" si="2"/>
        <v>1130.6812500000001</v>
      </c>
    </row>
    <row r="9" spans="1:17" x14ac:dyDescent="0.25">
      <c r="A9" t="s">
        <v>44</v>
      </c>
      <c r="B9" s="86">
        <f>'María Elena'!$G$3</f>
        <v>19250</v>
      </c>
      <c r="C9" s="86">
        <f>SUM('María Elena'!$G$4:$H$4)</f>
        <v>36192</v>
      </c>
      <c r="D9" s="86">
        <f>SUM('María Elena'!$G$5:$H$5)</f>
        <v>12064</v>
      </c>
      <c r="E9" s="86">
        <f>SUM('María Elena'!$G$6:$H$6)</f>
        <v>0</v>
      </c>
      <c r="F9" s="86">
        <f>SUM('María Elena'!$G$7:$H$7)</f>
        <v>12064</v>
      </c>
      <c r="G9" s="86">
        <f>SUM('María Elena'!$G$9:$H$9)</f>
        <v>2730</v>
      </c>
      <c r="H9" s="86">
        <f>SUM('María Elena'!$G$10:$H$10)</f>
        <v>12480</v>
      </c>
      <c r="I9" s="86">
        <f>SUM('María Elena'!$G$11:$H$11)</f>
        <v>6000</v>
      </c>
      <c r="J9" s="86">
        <f>SUM('María Elena'!$G$12:$H$12)</f>
        <v>12000</v>
      </c>
      <c r="K9" s="86">
        <f>SUM('María Elena'!$G$14:$H$14)</f>
        <v>7100</v>
      </c>
      <c r="L9" s="86">
        <f>SUM('María Elena'!$G$15:$H$15)</f>
        <v>15500</v>
      </c>
      <c r="M9" s="86">
        <f>SUM('María Elena'!$G$16:$H$16)</f>
        <v>10440</v>
      </c>
      <c r="N9" s="1">
        <f t="shared" si="0"/>
        <v>145820</v>
      </c>
      <c r="O9">
        <v>8</v>
      </c>
      <c r="P9" s="1">
        <f t="shared" si="1"/>
        <v>18227.5</v>
      </c>
      <c r="Q9" s="1">
        <f t="shared" si="2"/>
        <v>911.375</v>
      </c>
    </row>
    <row r="10" spans="1:17" x14ac:dyDescent="0.25">
      <c r="A10" t="s">
        <v>45</v>
      </c>
      <c r="B10" s="86">
        <f>'Punta Herrero'!$G$3</f>
        <v>30800</v>
      </c>
      <c r="C10" s="86">
        <f>SUM('Punta Herrero'!$G$4:$H$4)</f>
        <v>72384</v>
      </c>
      <c r="D10" s="86">
        <f>SUM('Punta Herrero'!$G$5:$H$5)</f>
        <v>18096</v>
      </c>
      <c r="E10" s="86">
        <f>SUM('Punta Herrero'!$G$6:$H$6)</f>
        <v>6960</v>
      </c>
      <c r="F10" s="86">
        <f>SUM('Punta Herrero'!$G$7:$H$7)</f>
        <v>18096</v>
      </c>
      <c r="G10" s="86">
        <f>SUM('Punta Herrero'!$G$9:$H$9)</f>
        <v>2730</v>
      </c>
      <c r="H10" s="86">
        <f>SUM('Punta Herrero'!$G$10:$H$10)</f>
        <v>16380</v>
      </c>
      <c r="I10" s="86">
        <f>SUM('Punta Herrero'!$G$11:$H$11)</f>
        <v>9600</v>
      </c>
      <c r="J10" s="86">
        <f>SUM('Punta Herrero'!$G$12:$H$12)</f>
        <v>19200</v>
      </c>
      <c r="K10" s="86">
        <f>SUM('Punta Herrero'!$G$14:$H$14)</f>
        <v>7100</v>
      </c>
      <c r="L10" s="86">
        <f>SUM('Punta Herrero'!$G$15:$H$15)</f>
        <v>15500</v>
      </c>
      <c r="M10" s="86">
        <f>SUM('Punta Herrero'!$G$16:$H$16)</f>
        <v>13920</v>
      </c>
      <c r="N10" s="1">
        <f t="shared" si="0"/>
        <v>230766</v>
      </c>
      <c r="O10">
        <v>12</v>
      </c>
      <c r="P10" s="1">
        <f t="shared" si="1"/>
        <v>19230.5</v>
      </c>
      <c r="Q10" s="1">
        <f t="shared" si="2"/>
        <v>961.52499999999998</v>
      </c>
    </row>
    <row r="11" spans="1:17" x14ac:dyDescent="0.25">
      <c r="A11" t="s">
        <v>46</v>
      </c>
      <c r="B11" s="86">
        <f>'Banco Chinchorro'!$G$3</f>
        <v>25025</v>
      </c>
      <c r="C11" s="86">
        <f>SUM('Banco Chinchorro'!$G$4:$H$4)</f>
        <v>90480</v>
      </c>
      <c r="D11" s="86">
        <f>SUM('Banco Chinchorro'!$G$5:$H$5)</f>
        <v>22620</v>
      </c>
      <c r="E11" s="86">
        <f>SUM('Banco Chinchorro'!$G$6:$H$6)</f>
        <v>26680</v>
      </c>
      <c r="F11" s="86">
        <f>SUM('Banco Chinchorro'!$G$7:$H$7)</f>
        <v>22620</v>
      </c>
      <c r="G11" s="86">
        <f>SUM('Banco Chinchorro'!$G$9:$H$9)</f>
        <v>2730</v>
      </c>
      <c r="H11" s="86">
        <f>SUM('Banco Chinchorro'!$G$10:$H$10)</f>
        <v>26325</v>
      </c>
      <c r="I11" s="86">
        <f>SUM('Banco Chinchorro'!$G$11:$H$11)</f>
        <v>7800</v>
      </c>
      <c r="J11" s="86">
        <f>SUM('Banco Chinchorro'!$G$12:$H$12)</f>
        <v>15600</v>
      </c>
      <c r="K11" s="86">
        <f>SUM('Banco Chinchorro'!$G$14:$H$14)</f>
        <v>7100</v>
      </c>
      <c r="L11" s="86">
        <f>SUM('Banco Chinchorro'!$G$15:$H$15)</f>
        <v>15500</v>
      </c>
      <c r="M11" s="86">
        <f>SUM('Banco Chinchorro'!$G$16:$H$16)</f>
        <v>20880</v>
      </c>
      <c r="N11" s="1">
        <f t="shared" si="0"/>
        <v>283360</v>
      </c>
      <c r="O11">
        <v>10</v>
      </c>
      <c r="P11" s="1">
        <f t="shared" si="1"/>
        <v>28336</v>
      </c>
      <c r="Q11" s="1">
        <f t="shared" si="2"/>
        <v>1416.8</v>
      </c>
    </row>
    <row r="12" spans="1:17" x14ac:dyDescent="0.25">
      <c r="N12" s="1"/>
    </row>
    <row r="13" spans="1:17" x14ac:dyDescent="0.25">
      <c r="A13" s="99" t="s">
        <v>139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</row>
    <row r="14" spans="1:17" ht="45" x14ac:dyDescent="0.25">
      <c r="A14" s="2" t="s">
        <v>0</v>
      </c>
      <c r="B14" s="87" t="s">
        <v>5</v>
      </c>
      <c r="C14" s="87" t="s">
        <v>106</v>
      </c>
      <c r="D14" s="87" t="s">
        <v>53</v>
      </c>
      <c r="E14" s="87" t="s">
        <v>107</v>
      </c>
      <c r="F14" s="87" t="s">
        <v>7</v>
      </c>
      <c r="G14" s="87" t="s">
        <v>54</v>
      </c>
      <c r="H14" s="87" t="s">
        <v>99</v>
      </c>
      <c r="I14" s="87" t="s">
        <v>62</v>
      </c>
      <c r="J14" s="87" t="s">
        <v>128</v>
      </c>
    </row>
    <row r="15" spans="1:17" x14ac:dyDescent="0.25">
      <c r="A15" t="s">
        <v>10</v>
      </c>
      <c r="B15" s="86">
        <f>SUM('El Rosario'!$G$4:$H$4)</f>
        <v>115200</v>
      </c>
      <c r="C15" s="86">
        <f>SUM('El Rosario'!$G$5:$H$5)</f>
        <v>28644</v>
      </c>
      <c r="D15" s="86">
        <f>SUM('El Rosario'!$G$6:$H$6)</f>
        <v>22800</v>
      </c>
      <c r="E15" s="86">
        <v>0</v>
      </c>
      <c r="F15" s="86">
        <f>SUM('El Rosario'!$G$10:$H$10)</f>
        <v>37440</v>
      </c>
      <c r="G15" s="86">
        <f>SUM('El Rosario'!$G$14:$H$14)</f>
        <v>6800</v>
      </c>
      <c r="H15" s="86">
        <f>SUM('El Rosario'!$G$15:$H$15)</f>
        <v>45000</v>
      </c>
      <c r="I15" s="86">
        <f>SUM('El Rosario'!$G$16:$H$16)</f>
        <v>13920</v>
      </c>
      <c r="J15" s="1">
        <f t="shared" ref="J15:J23" si="3">SUM(B15:I15)</f>
        <v>269804</v>
      </c>
    </row>
    <row r="16" spans="1:17" x14ac:dyDescent="0.25">
      <c r="A16" t="s">
        <v>39</v>
      </c>
      <c r="B16" s="86">
        <f>SUM('Isla Natividad'!$G$4:$H$4)</f>
        <v>70000</v>
      </c>
      <c r="C16" s="86">
        <f>SUM('Isla Natividad'!$G$5:$H$5)</f>
        <v>13824</v>
      </c>
      <c r="D16" s="86">
        <f>SUM('Isla Natividad'!$G$6:$H$6)</f>
        <v>13300</v>
      </c>
      <c r="E16" s="86">
        <v>0</v>
      </c>
      <c r="F16" s="86">
        <f>SUM('Isla Natividad'!$G$10:$H$10)</f>
        <v>24570</v>
      </c>
      <c r="G16" s="86">
        <f>SUM('Isla Natividad'!$G$14:$H$14)</f>
        <v>6800</v>
      </c>
      <c r="H16" s="86">
        <f>SUM('Isla Natividad'!$G$15:$H$15)</f>
        <v>45000</v>
      </c>
      <c r="I16" s="86">
        <f>SUM('Isla Natividad'!$G$16:$H$16)</f>
        <v>17400</v>
      </c>
      <c r="J16" s="1">
        <f t="shared" si="3"/>
        <v>190894</v>
      </c>
    </row>
    <row r="17" spans="1:10" x14ac:dyDescent="0.25">
      <c r="A17" t="s">
        <v>40</v>
      </c>
      <c r="B17" s="86">
        <f>SUM('La Bocana'!$G$4:$H$4)</f>
        <v>35000</v>
      </c>
      <c r="C17" s="86">
        <f>SUM('La Bocana'!$G$5:$H$5)</f>
        <v>10224</v>
      </c>
      <c r="D17" s="86">
        <f>SUM('La Bocana'!$G$6:$H$6)</f>
        <v>4750</v>
      </c>
      <c r="E17" s="86">
        <v>0</v>
      </c>
      <c r="F17" s="86">
        <f>SUM('La Bocana'!$G$10:$H$10)</f>
        <v>9750</v>
      </c>
      <c r="G17" s="86">
        <f>SUM('La Bocana'!$G$14:$H$14)</f>
        <v>6800</v>
      </c>
      <c r="H17" s="86">
        <f>SUM('La Bocana'!$G$15:$H$15)</f>
        <v>45000</v>
      </c>
      <c r="I17" s="86">
        <f>SUM('La Bocana'!$G$16:$H$16)</f>
        <v>12180</v>
      </c>
      <c r="J17" s="1">
        <f t="shared" si="3"/>
        <v>123704</v>
      </c>
    </row>
    <row r="18" spans="1:10" x14ac:dyDescent="0.25">
      <c r="A18" t="s">
        <v>41</v>
      </c>
      <c r="B18" s="86">
        <f>SUM('Puerto Libertad'!$G$4:$H$4)</f>
        <v>24000</v>
      </c>
      <c r="C18" s="86">
        <f>SUM('Puerto Libertad'!$G$5:$H$5)</f>
        <v>6800</v>
      </c>
      <c r="D18" s="86">
        <f>SUM('Puerto Libertad'!$G$6:$H$6)</f>
        <v>1600</v>
      </c>
      <c r="E18" s="86">
        <v>0</v>
      </c>
      <c r="F18" s="86">
        <f>SUM('Puerto Libertad'!$G$10:$H$10)</f>
        <v>5619.6</v>
      </c>
      <c r="G18" s="86">
        <f>SUM('Puerto Libertad'!$G$14:$H$14)</f>
        <v>7100</v>
      </c>
      <c r="H18" s="86">
        <f>SUM('Puerto Libertad'!$G$15:$H$15)</f>
        <v>15000</v>
      </c>
      <c r="I18" s="86">
        <f>SUM('Puerto Libertad'!$G$16:$H$16)</f>
        <v>10440</v>
      </c>
      <c r="J18" s="1">
        <f t="shared" si="3"/>
        <v>70559.600000000006</v>
      </c>
    </row>
    <row r="19" spans="1:10" x14ac:dyDescent="0.25">
      <c r="A19" t="s">
        <v>42</v>
      </c>
      <c r="B19" s="86">
        <f>SUM(ISPN!$G$4:$H$4)</f>
        <v>32000</v>
      </c>
      <c r="C19" s="86">
        <f>SUM(ISPN!$G$5:$H$5)</f>
        <v>10200</v>
      </c>
      <c r="D19" s="86">
        <f>SUM(ISPN!$G$6:$H$6)</f>
        <v>0</v>
      </c>
      <c r="E19" s="86">
        <v>0</v>
      </c>
      <c r="F19" s="86">
        <f>SUM(ISPN!$G$10:$H$10)</f>
        <v>18063</v>
      </c>
      <c r="G19" s="86">
        <f>SUM(ISPN!$G$14:$H$14)</f>
        <v>16000</v>
      </c>
      <c r="H19" s="86">
        <f>SUM(ISPN!$G$15:$H$15)</f>
        <v>6500</v>
      </c>
      <c r="I19" s="86">
        <f>SUM(ISPN!$G$16:$H$16)</f>
        <v>13920</v>
      </c>
      <c r="J19" s="1">
        <f t="shared" si="3"/>
        <v>96683</v>
      </c>
    </row>
    <row r="20" spans="1:10" x14ac:dyDescent="0.25">
      <c r="A20" t="s">
        <v>43</v>
      </c>
      <c r="B20" s="86">
        <f>SUM('Punta Allen'!$G$4:$H$4)</f>
        <v>72384</v>
      </c>
      <c r="C20" s="86">
        <f>SUM('Punta Allen'!$G$5:$H$5)</f>
        <v>24128</v>
      </c>
      <c r="D20" s="86">
        <f>SUM('Punta Allen'!$G$6:$H$6)</f>
        <v>9280</v>
      </c>
      <c r="E20" s="86">
        <v>0</v>
      </c>
      <c r="F20" s="86">
        <f>SUM('Punta Allen'!$G$10:$H$10)</f>
        <v>24960</v>
      </c>
      <c r="G20" s="86">
        <f>SUM('Punta Allen'!$G$14:$H$14)</f>
        <v>7100</v>
      </c>
      <c r="H20" s="86">
        <f>SUM('Punta Allen'!$G$15:$H$15)</f>
        <v>15500</v>
      </c>
      <c r="I20" s="86">
        <f>SUM('Punta Allen'!$G$16:$H$16)</f>
        <v>10440</v>
      </c>
      <c r="J20" s="1">
        <f t="shared" si="3"/>
        <v>163792</v>
      </c>
    </row>
    <row r="21" spans="1:10" x14ac:dyDescent="0.25">
      <c r="A21" t="s">
        <v>44</v>
      </c>
      <c r="B21" s="86">
        <f>SUM('María Elena'!$G$4:$H$4)</f>
        <v>36192</v>
      </c>
      <c r="C21" s="86">
        <f>SUM('María Elena'!$G$5:$H$5)</f>
        <v>12064</v>
      </c>
      <c r="D21" s="86">
        <f>SUM('María Elena'!$G$6:$H$6)</f>
        <v>0</v>
      </c>
      <c r="E21" s="86">
        <v>0</v>
      </c>
      <c r="F21" s="86">
        <f>SUM('María Elena'!$G$10:$H$10)</f>
        <v>12480</v>
      </c>
      <c r="G21" s="86">
        <f>SUM('María Elena'!$G$14:$H$14)</f>
        <v>7100</v>
      </c>
      <c r="H21" s="86">
        <f>SUM('María Elena'!$G$15:$H$15)</f>
        <v>15500</v>
      </c>
      <c r="I21" s="86">
        <f>SUM('María Elena'!$G$16:$H$16)</f>
        <v>10440</v>
      </c>
      <c r="J21" s="1">
        <f t="shared" si="3"/>
        <v>93776</v>
      </c>
    </row>
    <row r="22" spans="1:10" x14ac:dyDescent="0.25">
      <c r="A22" t="s">
        <v>45</v>
      </c>
      <c r="B22" s="86">
        <f>SUM('Punta Herrero'!$G$4:$H$4)</f>
        <v>72384</v>
      </c>
      <c r="C22" s="86">
        <f>SUM('Punta Herrero'!$G$5:$H$5)</f>
        <v>18096</v>
      </c>
      <c r="D22" s="86">
        <f>SUM('Punta Herrero'!$G$6:$H$6)</f>
        <v>6960</v>
      </c>
      <c r="E22" s="86">
        <v>0</v>
      </c>
      <c r="F22" s="86">
        <f>SUM('Punta Herrero'!$G$10:$H$10)</f>
        <v>16380</v>
      </c>
      <c r="G22" s="86">
        <f>SUM('Punta Herrero'!$G$14:$H$14)</f>
        <v>7100</v>
      </c>
      <c r="H22" s="86">
        <f>SUM('Punta Herrero'!$G$15:$H$15)</f>
        <v>15500</v>
      </c>
      <c r="I22" s="86">
        <f>SUM('Punta Herrero'!$G$16:$H$16)</f>
        <v>13920</v>
      </c>
      <c r="J22" s="1">
        <f t="shared" si="3"/>
        <v>150340</v>
      </c>
    </row>
    <row r="23" spans="1:10" x14ac:dyDescent="0.25">
      <c r="A23" t="s">
        <v>46</v>
      </c>
      <c r="B23" s="86">
        <f>SUM('Banco Chinchorro'!$G$4:$H$4)</f>
        <v>90480</v>
      </c>
      <c r="C23" s="86">
        <f>SUM('Banco Chinchorro'!$G$5:$H$5)</f>
        <v>22620</v>
      </c>
      <c r="D23" s="86">
        <f>SUM('Banco Chinchorro'!$G$6:$H$6)</f>
        <v>26680</v>
      </c>
      <c r="E23" s="86">
        <v>0</v>
      </c>
      <c r="F23" s="86">
        <f>SUM('Banco Chinchorro'!$G$10:$H$10)</f>
        <v>26325</v>
      </c>
      <c r="G23" s="86">
        <f>SUM('Banco Chinchorro'!$G$14:$H$14)</f>
        <v>7100</v>
      </c>
      <c r="H23" s="86">
        <f>SUM('Banco Chinchorro'!$G$15:$H$15)</f>
        <v>15500</v>
      </c>
      <c r="I23" s="86">
        <f>SUM('Banco Chinchorro'!$G$16:$H$16)</f>
        <v>20880</v>
      </c>
      <c r="J23" s="1">
        <f t="shared" si="3"/>
        <v>209585</v>
      </c>
    </row>
    <row r="24" spans="1:10" x14ac:dyDescent="0.25">
      <c r="B24" s="86"/>
      <c r="C24" s="86"/>
      <c r="D24" s="86"/>
    </row>
    <row r="26" spans="1:10" x14ac:dyDescent="0.25">
      <c r="B26" s="11"/>
      <c r="C26" s="11"/>
      <c r="D26" s="11"/>
    </row>
    <row r="27" spans="1:10" ht="30" x14ac:dyDescent="0.25">
      <c r="A27" s="2" t="s">
        <v>0</v>
      </c>
      <c r="B27" s="11" t="s">
        <v>123</v>
      </c>
      <c r="C27" s="11" t="s">
        <v>145</v>
      </c>
      <c r="D27" s="11" t="s">
        <v>124</v>
      </c>
      <c r="E27" s="7" t="s">
        <v>146</v>
      </c>
      <c r="F27" s="7" t="s">
        <v>147</v>
      </c>
      <c r="G27" s="7" t="s">
        <v>148</v>
      </c>
      <c r="H27" s="7" t="s">
        <v>62</v>
      </c>
      <c r="I27" s="7" t="s">
        <v>128</v>
      </c>
    </row>
    <row r="28" spans="1:10" x14ac:dyDescent="0.25">
      <c r="A28" t="s">
        <v>10</v>
      </c>
      <c r="B28" s="86">
        <f>SUM(B3:E3)</f>
        <v>195519</v>
      </c>
      <c r="C28" s="86">
        <f>SUM(F3)</f>
        <v>84000</v>
      </c>
      <c r="D28" s="86">
        <f>SUM(G3:H3)</f>
        <v>53235</v>
      </c>
      <c r="E28" s="86">
        <f>SUM(I3:J3)</f>
        <v>60000</v>
      </c>
      <c r="F28" s="86">
        <f>K3</f>
        <v>6800</v>
      </c>
      <c r="G28" s="86">
        <f>L3</f>
        <v>45000</v>
      </c>
      <c r="H28" s="86">
        <f>M3</f>
        <v>13920</v>
      </c>
      <c r="I28" s="86">
        <f>SUM(B28:H28)</f>
        <v>458474</v>
      </c>
    </row>
    <row r="29" spans="1:10" x14ac:dyDescent="0.25">
      <c r="A29" t="s">
        <v>39</v>
      </c>
      <c r="B29" s="86">
        <f t="shared" ref="B29:B36" si="4">SUM(B4:E4)</f>
        <v>114449</v>
      </c>
      <c r="C29" s="86">
        <f t="shared" ref="C29:C36" si="5">SUM(F4)</f>
        <v>49000</v>
      </c>
      <c r="D29" s="86">
        <f t="shared" ref="D29:D36" si="6">SUM(G4:H4)</f>
        <v>37245</v>
      </c>
      <c r="E29" s="86">
        <f t="shared" ref="E29:E36" si="7">SUM(I4:J4)</f>
        <v>36000</v>
      </c>
      <c r="F29" s="86">
        <f t="shared" ref="F29:H29" si="8">K4</f>
        <v>6800</v>
      </c>
      <c r="G29" s="86">
        <f t="shared" si="8"/>
        <v>45000</v>
      </c>
      <c r="H29" s="86">
        <f t="shared" si="8"/>
        <v>17400</v>
      </c>
      <c r="I29" s="86">
        <f t="shared" ref="I29:I36" si="9">SUM(B29:H29)</f>
        <v>305894</v>
      </c>
    </row>
    <row r="30" spans="1:10" x14ac:dyDescent="0.25">
      <c r="A30" t="s">
        <v>40</v>
      </c>
      <c r="B30" s="86">
        <f t="shared" si="4"/>
        <v>63449</v>
      </c>
      <c r="C30" s="86">
        <f t="shared" si="5"/>
        <v>35000</v>
      </c>
      <c r="D30" s="86">
        <f t="shared" si="6"/>
        <v>22425</v>
      </c>
      <c r="E30" s="86">
        <f t="shared" si="7"/>
        <v>28000</v>
      </c>
      <c r="F30" s="86">
        <f t="shared" ref="F30:H30" si="10">K5</f>
        <v>6800</v>
      </c>
      <c r="G30" s="86">
        <f t="shared" si="10"/>
        <v>45000</v>
      </c>
      <c r="H30" s="86">
        <f t="shared" si="10"/>
        <v>12180</v>
      </c>
      <c r="I30" s="86">
        <f t="shared" si="9"/>
        <v>212854</v>
      </c>
    </row>
    <row r="31" spans="1:10" x14ac:dyDescent="0.25">
      <c r="A31" t="s">
        <v>41</v>
      </c>
      <c r="B31" s="86">
        <f t="shared" si="4"/>
        <v>43950</v>
      </c>
      <c r="C31" s="86">
        <f t="shared" si="5"/>
        <v>6800</v>
      </c>
      <c r="D31" s="86">
        <f t="shared" si="6"/>
        <v>9232.2000000000007</v>
      </c>
      <c r="E31" s="86">
        <f t="shared" si="7"/>
        <v>13200</v>
      </c>
      <c r="F31" s="86">
        <f t="shared" ref="F31:H31" si="11">K6</f>
        <v>7100</v>
      </c>
      <c r="G31" s="86">
        <f t="shared" si="11"/>
        <v>15000</v>
      </c>
      <c r="H31" s="86">
        <f t="shared" si="11"/>
        <v>10440</v>
      </c>
      <c r="I31" s="86">
        <f t="shared" si="9"/>
        <v>105722.2</v>
      </c>
    </row>
    <row r="32" spans="1:10" x14ac:dyDescent="0.25">
      <c r="A32" t="s">
        <v>42</v>
      </c>
      <c r="B32" s="86">
        <f t="shared" si="4"/>
        <v>53750</v>
      </c>
      <c r="C32" s="86">
        <f t="shared" si="5"/>
        <v>10200</v>
      </c>
      <c r="D32" s="86">
        <f t="shared" si="6"/>
        <v>20070</v>
      </c>
      <c r="E32" s="86">
        <f t="shared" si="7"/>
        <v>35512</v>
      </c>
      <c r="F32" s="86">
        <f t="shared" ref="F32:H32" si="12">K7</f>
        <v>16000</v>
      </c>
      <c r="G32" s="86">
        <f t="shared" si="12"/>
        <v>6500</v>
      </c>
      <c r="H32" s="86">
        <f t="shared" si="12"/>
        <v>13920</v>
      </c>
      <c r="I32" s="86">
        <f t="shared" si="9"/>
        <v>155952</v>
      </c>
    </row>
    <row r="33" spans="1:10" x14ac:dyDescent="0.25">
      <c r="A33" t="s">
        <v>43</v>
      </c>
      <c r="B33" s="86">
        <f t="shared" si="4"/>
        <v>159692</v>
      </c>
      <c r="C33" s="86">
        <f t="shared" si="5"/>
        <v>24128</v>
      </c>
      <c r="D33" s="86">
        <f t="shared" si="6"/>
        <v>26910</v>
      </c>
      <c r="E33" s="86">
        <f t="shared" si="7"/>
        <v>118048</v>
      </c>
      <c r="F33" s="86">
        <f t="shared" ref="F33:H33" si="13">K8</f>
        <v>7100</v>
      </c>
      <c r="G33" s="86">
        <f t="shared" si="13"/>
        <v>15500</v>
      </c>
      <c r="H33" s="86">
        <f t="shared" si="13"/>
        <v>10440</v>
      </c>
      <c r="I33" s="86">
        <f t="shared" si="9"/>
        <v>361818</v>
      </c>
    </row>
    <row r="34" spans="1:10" x14ac:dyDescent="0.25">
      <c r="A34" t="s">
        <v>44</v>
      </c>
      <c r="B34" s="86">
        <f t="shared" si="4"/>
        <v>67506</v>
      </c>
      <c r="C34" s="86">
        <f t="shared" si="5"/>
        <v>12064</v>
      </c>
      <c r="D34" s="86">
        <f t="shared" si="6"/>
        <v>15210</v>
      </c>
      <c r="E34" s="86">
        <f t="shared" si="7"/>
        <v>18000</v>
      </c>
      <c r="F34" s="86">
        <f t="shared" ref="F34:H34" si="14">K9</f>
        <v>7100</v>
      </c>
      <c r="G34" s="86">
        <f t="shared" si="14"/>
        <v>15500</v>
      </c>
      <c r="H34" s="86">
        <f t="shared" si="14"/>
        <v>10440</v>
      </c>
      <c r="I34" s="86">
        <f t="shared" si="9"/>
        <v>145820</v>
      </c>
    </row>
    <row r="35" spans="1:10" x14ac:dyDescent="0.25">
      <c r="A35" t="s">
        <v>45</v>
      </c>
      <c r="B35" s="86">
        <f t="shared" si="4"/>
        <v>128240</v>
      </c>
      <c r="C35" s="86">
        <f t="shared" si="5"/>
        <v>18096</v>
      </c>
      <c r="D35" s="86">
        <f t="shared" si="6"/>
        <v>19110</v>
      </c>
      <c r="E35" s="86">
        <f t="shared" si="7"/>
        <v>28800</v>
      </c>
      <c r="F35" s="86">
        <f t="shared" ref="F35:H35" si="15">K10</f>
        <v>7100</v>
      </c>
      <c r="G35" s="86">
        <f t="shared" si="15"/>
        <v>15500</v>
      </c>
      <c r="H35" s="86">
        <f t="shared" si="15"/>
        <v>13920</v>
      </c>
      <c r="I35" s="86">
        <f t="shared" si="9"/>
        <v>230766</v>
      </c>
    </row>
    <row r="36" spans="1:10" x14ac:dyDescent="0.25">
      <c r="A36" t="s">
        <v>46</v>
      </c>
      <c r="B36" s="86">
        <f t="shared" si="4"/>
        <v>164805</v>
      </c>
      <c r="C36" s="86">
        <f t="shared" si="5"/>
        <v>22620</v>
      </c>
      <c r="D36" s="86">
        <f t="shared" si="6"/>
        <v>29055</v>
      </c>
      <c r="E36" s="86">
        <f t="shared" si="7"/>
        <v>23400</v>
      </c>
      <c r="F36" s="86">
        <f t="shared" ref="F36:H36" si="16">K11</f>
        <v>7100</v>
      </c>
      <c r="G36" s="86">
        <f t="shared" si="16"/>
        <v>15500</v>
      </c>
      <c r="H36" s="86">
        <f t="shared" si="16"/>
        <v>20880</v>
      </c>
      <c r="I36" s="86">
        <f t="shared" si="9"/>
        <v>283360</v>
      </c>
    </row>
    <row r="38" spans="1:10" ht="30" x14ac:dyDescent="0.25">
      <c r="A38" s="2" t="s">
        <v>0</v>
      </c>
      <c r="B38" s="11" t="s">
        <v>152</v>
      </c>
      <c r="C38" s="11" t="s">
        <v>153</v>
      </c>
      <c r="D38" s="11" t="s">
        <v>154</v>
      </c>
      <c r="E38" s="7" t="s">
        <v>155</v>
      </c>
      <c r="F38" s="7" t="s">
        <v>156</v>
      </c>
      <c r="G38" s="7" t="s">
        <v>158</v>
      </c>
      <c r="H38" s="7" t="s">
        <v>157</v>
      </c>
    </row>
    <row r="39" spans="1:10" x14ac:dyDescent="0.25">
      <c r="A39" t="s">
        <v>10</v>
      </c>
      <c r="B39" s="86"/>
      <c r="C39" s="86"/>
      <c r="D39" s="86"/>
      <c r="E39" s="86"/>
      <c r="F39" s="86"/>
      <c r="G39" s="86"/>
      <c r="H39" s="86"/>
      <c r="I39" s="86"/>
    </row>
    <row r="40" spans="1:10" x14ac:dyDescent="0.25">
      <c r="A40" t="s">
        <v>39</v>
      </c>
      <c r="B40" s="86"/>
      <c r="C40" s="86"/>
      <c r="D40" s="86"/>
      <c r="E40" s="86"/>
      <c r="F40" s="86"/>
      <c r="G40" s="86"/>
      <c r="H40" s="86"/>
      <c r="I40" s="86"/>
    </row>
    <row r="41" spans="1:10" x14ac:dyDescent="0.25">
      <c r="A41" t="s">
        <v>40</v>
      </c>
      <c r="B41" s="86"/>
      <c r="C41" s="86"/>
      <c r="D41" s="86"/>
      <c r="E41" s="86"/>
      <c r="F41" s="86"/>
      <c r="G41" s="86"/>
      <c r="H41" s="86"/>
      <c r="I41" s="86"/>
    </row>
    <row r="42" spans="1:10" x14ac:dyDescent="0.25">
      <c r="A42" t="s">
        <v>41</v>
      </c>
      <c r="B42" s="86"/>
      <c r="C42" s="86"/>
      <c r="D42" s="86"/>
      <c r="E42" s="86"/>
      <c r="F42" s="86"/>
      <c r="G42" s="86"/>
      <c r="H42" s="86"/>
      <c r="I42" s="86"/>
    </row>
    <row r="43" spans="1:10" x14ac:dyDescent="0.25">
      <c r="A43" t="s">
        <v>42</v>
      </c>
      <c r="B43" s="86"/>
      <c r="C43" s="86"/>
      <c r="D43" s="86"/>
      <c r="E43" s="86"/>
      <c r="F43" s="86"/>
      <c r="G43" s="86"/>
      <c r="H43" s="86"/>
      <c r="I43" s="86"/>
    </row>
    <row r="44" spans="1:10" x14ac:dyDescent="0.25">
      <c r="A44" t="s">
        <v>43</v>
      </c>
      <c r="B44" s="86">
        <f t="shared" ref="B44:H44" si="17">B33/20/16</f>
        <v>499.03750000000002</v>
      </c>
      <c r="C44" s="86">
        <f t="shared" si="17"/>
        <v>75.400000000000006</v>
      </c>
      <c r="D44" s="86">
        <f t="shared" si="17"/>
        <v>84.09375</v>
      </c>
      <c r="E44" s="86">
        <f t="shared" si="17"/>
        <v>368.9</v>
      </c>
      <c r="F44" s="86">
        <f t="shared" si="17"/>
        <v>22.1875</v>
      </c>
      <c r="G44" s="86">
        <f t="shared" si="17"/>
        <v>48.4375</v>
      </c>
      <c r="H44" s="86">
        <f t="shared" si="17"/>
        <v>32.625</v>
      </c>
      <c r="I44" s="86"/>
      <c r="J44" s="7">
        <v>16</v>
      </c>
    </row>
    <row r="45" spans="1:10" x14ac:dyDescent="0.25">
      <c r="A45" t="s">
        <v>44</v>
      </c>
      <c r="B45" s="86">
        <f t="shared" ref="B45:H45" si="18">B34/20/8</f>
        <v>421.91250000000002</v>
      </c>
      <c r="C45" s="86">
        <f t="shared" si="18"/>
        <v>75.400000000000006</v>
      </c>
      <c r="D45" s="86">
        <f t="shared" si="18"/>
        <v>95.0625</v>
      </c>
      <c r="E45" s="86">
        <f t="shared" si="18"/>
        <v>112.5</v>
      </c>
      <c r="F45" s="86">
        <f t="shared" si="18"/>
        <v>44.375</v>
      </c>
      <c r="G45" s="86">
        <f t="shared" si="18"/>
        <v>96.875</v>
      </c>
      <c r="H45" s="86">
        <f t="shared" si="18"/>
        <v>65.25</v>
      </c>
      <c r="I45" s="86"/>
      <c r="J45" s="7">
        <v>8</v>
      </c>
    </row>
    <row r="46" spans="1:10" x14ac:dyDescent="0.25">
      <c r="A46" t="s">
        <v>45</v>
      </c>
      <c r="B46" s="86">
        <f t="shared" ref="B46:H46" si="19">B35/20/12</f>
        <v>534.33333333333337</v>
      </c>
      <c r="C46" s="86">
        <f t="shared" si="19"/>
        <v>75.399999999999991</v>
      </c>
      <c r="D46" s="86">
        <f t="shared" si="19"/>
        <v>79.625</v>
      </c>
      <c r="E46" s="86">
        <f t="shared" si="19"/>
        <v>120</v>
      </c>
      <c r="F46" s="86">
        <f t="shared" si="19"/>
        <v>29.583333333333332</v>
      </c>
      <c r="G46" s="86">
        <f t="shared" si="19"/>
        <v>64.583333333333329</v>
      </c>
      <c r="H46" s="86">
        <f t="shared" si="19"/>
        <v>58</v>
      </c>
      <c r="I46" s="86"/>
      <c r="J46" s="7">
        <v>12</v>
      </c>
    </row>
    <row r="47" spans="1:10" x14ac:dyDescent="0.25">
      <c r="A47" t="s">
        <v>46</v>
      </c>
      <c r="B47" s="86">
        <f t="shared" ref="B47:H47" si="20">B36/20/10</f>
        <v>824.02499999999998</v>
      </c>
      <c r="C47" s="86">
        <f t="shared" si="20"/>
        <v>113.1</v>
      </c>
      <c r="D47" s="86">
        <f t="shared" si="20"/>
        <v>145.27500000000001</v>
      </c>
      <c r="E47" s="86">
        <f t="shared" si="20"/>
        <v>117</v>
      </c>
      <c r="F47" s="86">
        <f t="shared" si="20"/>
        <v>35.5</v>
      </c>
      <c r="G47" s="86">
        <f t="shared" si="20"/>
        <v>77.5</v>
      </c>
      <c r="H47" s="86">
        <f t="shared" si="20"/>
        <v>104.4</v>
      </c>
      <c r="I47" s="86"/>
      <c r="J47" s="7">
        <v>10</v>
      </c>
    </row>
    <row r="49" spans="1:9" ht="30" x14ac:dyDescent="0.25">
      <c r="A49" s="2" t="s">
        <v>0</v>
      </c>
      <c r="B49" s="11" t="s">
        <v>123</v>
      </c>
      <c r="C49" s="11" t="s">
        <v>145</v>
      </c>
      <c r="D49" s="11" t="s">
        <v>124</v>
      </c>
      <c r="E49" s="7" t="s">
        <v>146</v>
      </c>
      <c r="F49" s="7" t="s">
        <v>147</v>
      </c>
      <c r="G49" s="7" t="s">
        <v>148</v>
      </c>
      <c r="H49" s="7" t="s">
        <v>62</v>
      </c>
    </row>
    <row r="50" spans="1:9" x14ac:dyDescent="0.25">
      <c r="A50" t="s">
        <v>159</v>
      </c>
      <c r="B50" s="86">
        <v>534.33333333333337</v>
      </c>
      <c r="C50" s="86">
        <v>75.399999999999991</v>
      </c>
      <c r="D50" s="86">
        <v>79.625</v>
      </c>
      <c r="E50" s="86">
        <v>120</v>
      </c>
      <c r="F50" s="86">
        <v>29.583333333333332</v>
      </c>
      <c r="G50" s="86">
        <v>64.583333333333329</v>
      </c>
      <c r="H50" s="86">
        <v>58</v>
      </c>
      <c r="I50" s="86"/>
    </row>
    <row r="51" spans="1:9" x14ac:dyDescent="0.25">
      <c r="A51" t="s">
        <v>160</v>
      </c>
      <c r="B51" s="86">
        <f>SUM(B22:D22)/20/12</f>
        <v>406</v>
      </c>
      <c r="C51" s="86">
        <v>75.399999999999991</v>
      </c>
      <c r="D51" s="86">
        <f>F22/20/12</f>
        <v>68.25</v>
      </c>
      <c r="E51" s="86">
        <v>0</v>
      </c>
      <c r="F51" s="86">
        <v>29.583333333333332</v>
      </c>
      <c r="G51" s="86">
        <v>64.583333333333329</v>
      </c>
      <c r="H51" s="86">
        <v>58</v>
      </c>
      <c r="I51" s="86"/>
    </row>
    <row r="52" spans="1:9" x14ac:dyDescent="0.25">
      <c r="B52" s="86"/>
      <c r="C52" s="86"/>
      <c r="D52" s="86"/>
      <c r="E52" s="86"/>
      <c r="F52" s="86"/>
      <c r="G52" s="86"/>
      <c r="H52" s="86"/>
      <c r="I52" s="86"/>
    </row>
    <row r="53" spans="1:9" x14ac:dyDescent="0.25">
      <c r="B53" s="86"/>
      <c r="C53" s="86"/>
      <c r="D53" s="86"/>
      <c r="E53" s="86"/>
      <c r="F53" s="86"/>
      <c r="G53" s="86"/>
      <c r="H53" s="86"/>
      <c r="I53" s="86"/>
    </row>
    <row r="54" spans="1:9" x14ac:dyDescent="0.25">
      <c r="B54" s="86"/>
      <c r="C54" s="86"/>
      <c r="D54" s="86"/>
      <c r="E54" s="86"/>
      <c r="F54" s="86"/>
      <c r="G54" s="86"/>
      <c r="H54" s="86"/>
      <c r="I54" s="86"/>
    </row>
    <row r="55" spans="1:9" x14ac:dyDescent="0.25">
      <c r="B55" s="86"/>
      <c r="C55" s="86"/>
      <c r="D55" s="86"/>
      <c r="E55" s="86"/>
      <c r="F55" s="86"/>
      <c r="G55" s="86"/>
      <c r="H55" s="86"/>
      <c r="I55" s="86"/>
    </row>
    <row r="56" spans="1:9" x14ac:dyDescent="0.25">
      <c r="B56" s="86"/>
      <c r="C56" s="86"/>
      <c r="D56" s="86"/>
      <c r="E56" s="86"/>
      <c r="F56" s="86"/>
      <c r="G56" s="86"/>
      <c r="H56" s="86"/>
      <c r="I56" s="86"/>
    </row>
    <row r="57" spans="1:9" x14ac:dyDescent="0.25">
      <c r="B57" s="86"/>
      <c r="C57" s="86"/>
      <c r="D57" s="86"/>
      <c r="E57" s="86"/>
      <c r="F57" s="86"/>
      <c r="G57" s="86"/>
      <c r="H57" s="86"/>
      <c r="I57" s="86"/>
    </row>
    <row r="58" spans="1:9" x14ac:dyDescent="0.25">
      <c r="B58" s="86"/>
      <c r="C58" s="86"/>
      <c r="D58" s="86"/>
      <c r="E58" s="86"/>
      <c r="F58" s="86"/>
      <c r="G58" s="86"/>
      <c r="H58" s="86"/>
      <c r="I58" s="86"/>
    </row>
    <row r="62" spans="1:9" x14ac:dyDescent="0.25">
      <c r="B62" s="90"/>
      <c r="C62" s="90"/>
      <c r="D62" s="90"/>
      <c r="E62" s="90"/>
      <c r="F62" s="90"/>
      <c r="G62" s="90"/>
      <c r="H62" s="90"/>
      <c r="I62" s="90"/>
    </row>
    <row r="63" spans="1:9" x14ac:dyDescent="0.25">
      <c r="B63" s="90"/>
      <c r="C63" s="90"/>
      <c r="D63" s="90"/>
      <c r="E63" s="90"/>
      <c r="F63" s="90"/>
      <c r="G63" s="90"/>
      <c r="H63" s="90"/>
      <c r="I63" s="90"/>
    </row>
  </sheetData>
  <mergeCells count="2">
    <mergeCell ref="A1:N1"/>
    <mergeCell ref="A13:N1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L5" sqref="L5"/>
    </sheetView>
  </sheetViews>
  <sheetFormatPr defaultRowHeight="15" x14ac:dyDescent="0.25"/>
  <cols>
    <col min="1" max="1" width="20.42578125" customWidth="1"/>
    <col min="8" max="8" width="15.28515625" bestFit="1" customWidth="1"/>
  </cols>
  <sheetData>
    <row r="1" spans="1:9" x14ac:dyDescent="0.25">
      <c r="A1" t="s">
        <v>162</v>
      </c>
    </row>
    <row r="2" spans="1:9" x14ac:dyDescent="0.25">
      <c r="B2" t="s">
        <v>176</v>
      </c>
      <c r="C2" t="s">
        <v>177</v>
      </c>
      <c r="D2" t="s">
        <v>178</v>
      </c>
    </row>
    <row r="3" spans="1:9" x14ac:dyDescent="0.25">
      <c r="A3" t="s">
        <v>163</v>
      </c>
      <c r="B3" s="91">
        <v>1627</v>
      </c>
      <c r="C3">
        <v>2200</v>
      </c>
      <c r="D3">
        <v>980</v>
      </c>
      <c r="H3" t="s">
        <v>179</v>
      </c>
    </row>
    <row r="4" spans="1:9" x14ac:dyDescent="0.25">
      <c r="B4" s="92" t="s">
        <v>166</v>
      </c>
      <c r="H4" s="93">
        <v>171170000</v>
      </c>
      <c r="I4" t="s">
        <v>180</v>
      </c>
    </row>
    <row r="5" spans="1:9" x14ac:dyDescent="0.25">
      <c r="A5" t="s">
        <v>164</v>
      </c>
      <c r="B5">
        <v>12</v>
      </c>
      <c r="H5" s="94">
        <f>H4/6</f>
        <v>28528333.333333332</v>
      </c>
      <c r="I5" t="s">
        <v>181</v>
      </c>
    </row>
    <row r="6" spans="1:9" x14ac:dyDescent="0.25">
      <c r="A6" t="s">
        <v>165</v>
      </c>
      <c r="B6">
        <v>7</v>
      </c>
      <c r="H6" s="94">
        <f>H5/19</f>
        <v>1501491.2280701753</v>
      </c>
      <c r="I6" t="s">
        <v>182</v>
      </c>
    </row>
    <row r="7" spans="1:9" x14ac:dyDescent="0.25">
      <c r="A7" t="s">
        <v>41</v>
      </c>
      <c r="B7">
        <v>4</v>
      </c>
    </row>
    <row r="8" spans="1:9" x14ac:dyDescent="0.25">
      <c r="A8" t="s">
        <v>79</v>
      </c>
      <c r="B8">
        <v>4</v>
      </c>
    </row>
    <row r="9" spans="1:9" x14ac:dyDescent="0.25">
      <c r="A9" t="s">
        <v>43</v>
      </c>
      <c r="B9">
        <v>16</v>
      </c>
    </row>
    <row r="10" spans="1:9" x14ac:dyDescent="0.25">
      <c r="A10" t="s">
        <v>44</v>
      </c>
      <c r="B10">
        <v>8</v>
      </c>
    </row>
    <row r="11" spans="1:9" x14ac:dyDescent="0.25">
      <c r="A11" t="s">
        <v>45</v>
      </c>
      <c r="B11">
        <v>12</v>
      </c>
    </row>
    <row r="12" spans="1:9" x14ac:dyDescent="0.25">
      <c r="A12" t="s">
        <v>46</v>
      </c>
      <c r="B12">
        <v>10</v>
      </c>
    </row>
    <row r="13" spans="1:9" x14ac:dyDescent="0.25">
      <c r="A13" t="s">
        <v>167</v>
      </c>
      <c r="B13">
        <v>16</v>
      </c>
    </row>
    <row r="14" spans="1:9" x14ac:dyDescent="0.25">
      <c r="A14" t="s">
        <v>168</v>
      </c>
      <c r="B14">
        <v>30</v>
      </c>
    </row>
    <row r="15" spans="1:9" x14ac:dyDescent="0.25">
      <c r="A15" t="s">
        <v>169</v>
      </c>
      <c r="B15">
        <v>7</v>
      </c>
    </row>
    <row r="16" spans="1:9" x14ac:dyDescent="0.25">
      <c r="A16" t="s">
        <v>170</v>
      </c>
      <c r="B16">
        <v>8</v>
      </c>
    </row>
    <row r="17" spans="1:4" x14ac:dyDescent="0.25">
      <c r="A17" t="s">
        <v>171</v>
      </c>
      <c r="B17">
        <v>4</v>
      </c>
    </row>
    <row r="18" spans="1:4" x14ac:dyDescent="0.25">
      <c r="A18" t="s">
        <v>174</v>
      </c>
      <c r="B18">
        <v>8</v>
      </c>
    </row>
    <row r="19" spans="1:4" x14ac:dyDescent="0.25">
      <c r="A19" t="s">
        <v>175</v>
      </c>
      <c r="B19">
        <v>4</v>
      </c>
    </row>
    <row r="21" spans="1:4" x14ac:dyDescent="0.25">
      <c r="A21" t="s">
        <v>172</v>
      </c>
      <c r="B21">
        <f>SUM(B5:B19)</f>
        <v>150</v>
      </c>
      <c r="C21">
        <v>150</v>
      </c>
      <c r="D21">
        <v>150</v>
      </c>
    </row>
    <row r="22" spans="1:4" x14ac:dyDescent="0.25">
      <c r="A22" t="s">
        <v>173</v>
      </c>
      <c r="B22" s="91">
        <f>B21*B3</f>
        <v>244050</v>
      </c>
      <c r="C22" s="91">
        <f t="shared" ref="C22:D22" si="0">C21*C3</f>
        <v>330000</v>
      </c>
      <c r="D22" s="91">
        <f t="shared" si="0"/>
        <v>147000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A21" sqref="A21"/>
    </sheetView>
  </sheetViews>
  <sheetFormatPr defaultRowHeight="15" x14ac:dyDescent="0.25"/>
  <cols>
    <col min="1" max="1" width="31.140625" customWidth="1"/>
    <col min="2" max="2" width="16.85546875" customWidth="1"/>
    <col min="3" max="3" width="35" style="4" bestFit="1" customWidth="1"/>
    <col min="4" max="4" width="5.5703125" customWidth="1"/>
    <col min="5" max="5" width="15.85546875" customWidth="1"/>
    <col min="6" max="6" width="25.7109375" customWidth="1"/>
    <col min="7" max="7" width="12.5703125" bestFit="1" customWidth="1"/>
    <col min="8" max="8" width="14.85546875" customWidth="1"/>
    <col min="11" max="12" width="12.5703125" bestFit="1" customWidth="1"/>
  </cols>
  <sheetData>
    <row r="1" spans="1:12" x14ac:dyDescent="0.25">
      <c r="A1" s="18" t="s">
        <v>0</v>
      </c>
      <c r="B1" s="16" t="s">
        <v>10</v>
      </c>
      <c r="C1" s="19" t="s">
        <v>22</v>
      </c>
      <c r="E1" s="23"/>
      <c r="F1" s="24"/>
      <c r="G1" s="40" t="s">
        <v>100</v>
      </c>
      <c r="H1" s="42" t="s">
        <v>100</v>
      </c>
    </row>
    <row r="2" spans="1:12" x14ac:dyDescent="0.25">
      <c r="A2" s="15" t="s">
        <v>1</v>
      </c>
      <c r="B2" s="12">
        <v>4</v>
      </c>
      <c r="C2" s="17" t="s">
        <v>23</v>
      </c>
      <c r="E2" s="25"/>
      <c r="F2" s="22"/>
      <c r="G2" s="41" t="s">
        <v>4</v>
      </c>
      <c r="H2" s="43" t="s">
        <v>0</v>
      </c>
      <c r="J2" s="2" t="s">
        <v>136</v>
      </c>
    </row>
    <row r="3" spans="1:12" ht="30" x14ac:dyDescent="0.25">
      <c r="A3" s="15" t="s">
        <v>2</v>
      </c>
      <c r="B3" s="12">
        <v>1349</v>
      </c>
      <c r="C3" s="17" t="s">
        <v>101</v>
      </c>
      <c r="E3" s="30" t="s">
        <v>12</v>
      </c>
      <c r="F3" s="26" t="s">
        <v>52</v>
      </c>
      <c r="G3" s="27">
        <f>(B5*B21)+(B5*B22)</f>
        <v>28875</v>
      </c>
      <c r="H3" s="28">
        <v>0</v>
      </c>
      <c r="J3" s="80"/>
      <c r="K3" s="81" t="s">
        <v>4</v>
      </c>
      <c r="L3" s="81" t="s">
        <v>0</v>
      </c>
    </row>
    <row r="4" spans="1:12" ht="23.25" x14ac:dyDescent="0.25">
      <c r="A4" s="15" t="s">
        <v>102</v>
      </c>
      <c r="B4" s="12">
        <v>12</v>
      </c>
      <c r="C4" s="17" t="s">
        <v>103</v>
      </c>
      <c r="E4" s="31"/>
      <c r="F4" s="26" t="s">
        <v>5</v>
      </c>
      <c r="G4" s="27">
        <f>B7*B14*B4*0.66</f>
        <v>76032</v>
      </c>
      <c r="H4" s="28">
        <f>B7*B14*B4*0.34</f>
        <v>39168</v>
      </c>
      <c r="J4" s="81" t="s">
        <v>123</v>
      </c>
      <c r="K4" s="82">
        <f>SUM(G3:G6)</f>
        <v>145131</v>
      </c>
      <c r="L4" s="82">
        <f>SUM(H3:H6)</f>
        <v>50388</v>
      </c>
    </row>
    <row r="5" spans="1:12" x14ac:dyDescent="0.25">
      <c r="A5" s="15" t="s">
        <v>104</v>
      </c>
      <c r="B5" s="12">
        <v>15</v>
      </c>
      <c r="C5" s="17" t="s">
        <v>105</v>
      </c>
      <c r="E5" s="31"/>
      <c r="F5" s="26" t="s">
        <v>106</v>
      </c>
      <c r="G5" s="27">
        <f>B8*B15*B4*0.66</f>
        <v>17424</v>
      </c>
      <c r="H5" s="28">
        <f>B8*B15*B5*0.34</f>
        <v>11220</v>
      </c>
      <c r="J5" s="81" t="s">
        <v>135</v>
      </c>
      <c r="K5" s="82">
        <f>G7</f>
        <v>0</v>
      </c>
      <c r="L5" s="82">
        <f>H7</f>
        <v>84000</v>
      </c>
    </row>
    <row r="6" spans="1:12" x14ac:dyDescent="0.25">
      <c r="A6" s="15" t="s">
        <v>50</v>
      </c>
      <c r="B6" s="12">
        <v>2</v>
      </c>
      <c r="C6" s="17" t="s">
        <v>51</v>
      </c>
      <c r="E6" s="31"/>
      <c r="F6" s="26" t="s">
        <v>53</v>
      </c>
      <c r="G6" s="27">
        <f>B10*B17*B4</f>
        <v>22800</v>
      </c>
      <c r="H6" s="28">
        <v>0</v>
      </c>
      <c r="J6" s="81" t="s">
        <v>124</v>
      </c>
      <c r="K6" s="82">
        <f>SUM(G9:G10)</f>
        <v>15795</v>
      </c>
      <c r="L6" s="82">
        <f>SUM(H9:H10)</f>
        <v>37440</v>
      </c>
    </row>
    <row r="7" spans="1:12" x14ac:dyDescent="0.25">
      <c r="A7" s="15" t="s">
        <v>14</v>
      </c>
      <c r="B7" s="12">
        <v>8</v>
      </c>
      <c r="C7" s="17" t="s">
        <v>24</v>
      </c>
      <c r="E7" s="31"/>
      <c r="F7" s="26" t="s">
        <v>107</v>
      </c>
      <c r="G7" s="27">
        <v>0</v>
      </c>
      <c r="H7" s="28">
        <f>B9*B16*B4</f>
        <v>84000</v>
      </c>
      <c r="J7" s="81" t="s">
        <v>73</v>
      </c>
      <c r="K7" s="82">
        <f>G11</f>
        <v>42000</v>
      </c>
      <c r="L7" s="82">
        <f>H11</f>
        <v>0</v>
      </c>
    </row>
    <row r="8" spans="1:12" x14ac:dyDescent="0.25">
      <c r="A8" s="15" t="s">
        <v>15</v>
      </c>
      <c r="B8" s="12">
        <v>2</v>
      </c>
      <c r="C8" s="17" t="s">
        <v>25</v>
      </c>
      <c r="E8" s="32"/>
      <c r="F8" s="46" t="s">
        <v>13</v>
      </c>
      <c r="G8" s="47">
        <f>SUM(G3:G7)</f>
        <v>145131</v>
      </c>
      <c r="H8" s="48">
        <f>SUM(H4:H7)</f>
        <v>134388</v>
      </c>
      <c r="J8" s="81" t="s">
        <v>125</v>
      </c>
      <c r="K8" s="82">
        <f>G12</f>
        <v>18000</v>
      </c>
      <c r="L8" s="82">
        <f>H12</f>
        <v>0</v>
      </c>
    </row>
    <row r="9" spans="1:12" x14ac:dyDescent="0.25">
      <c r="A9" s="15" t="s">
        <v>19</v>
      </c>
      <c r="B9" s="12">
        <v>2</v>
      </c>
      <c r="C9" s="17" t="s">
        <v>26</v>
      </c>
      <c r="E9" s="30" t="s">
        <v>86</v>
      </c>
      <c r="F9" s="26" t="s">
        <v>6</v>
      </c>
      <c r="G9" s="27">
        <f>B12*B18</f>
        <v>15795</v>
      </c>
      <c r="H9" s="28"/>
      <c r="J9" s="81" t="s">
        <v>3</v>
      </c>
      <c r="K9" s="83">
        <f>SUM(G14:G15)</f>
        <v>16800</v>
      </c>
      <c r="L9" s="83">
        <f>SUM(H14:H15)</f>
        <v>35000</v>
      </c>
    </row>
    <row r="10" spans="1:12" ht="23.25" x14ac:dyDescent="0.25">
      <c r="A10" s="15" t="s">
        <v>20</v>
      </c>
      <c r="B10" s="12">
        <v>2</v>
      </c>
      <c r="C10" s="17" t="s">
        <v>27</v>
      </c>
      <c r="E10" s="31"/>
      <c r="F10" s="26" t="s">
        <v>7</v>
      </c>
      <c r="G10" s="27">
        <v>0</v>
      </c>
      <c r="H10" s="28">
        <f>B11*B9*B18*B4</f>
        <v>37440</v>
      </c>
      <c r="J10" s="81" t="s">
        <v>62</v>
      </c>
      <c r="K10" s="83">
        <f>G16</f>
        <v>13920</v>
      </c>
      <c r="L10" s="83">
        <f>H16</f>
        <v>0</v>
      </c>
    </row>
    <row r="11" spans="1:12" ht="30" x14ac:dyDescent="0.25">
      <c r="A11" s="15" t="s">
        <v>108</v>
      </c>
      <c r="B11" s="57">
        <v>80</v>
      </c>
      <c r="C11" s="17" t="s">
        <v>109</v>
      </c>
      <c r="E11" s="31"/>
      <c r="F11" s="26" t="s">
        <v>8</v>
      </c>
      <c r="G11" s="27">
        <f>B5*B19*B6</f>
        <v>42000</v>
      </c>
      <c r="H11" s="28">
        <v>0</v>
      </c>
    </row>
    <row r="12" spans="1:12" ht="23.25" x14ac:dyDescent="0.25">
      <c r="A12" s="15" t="s">
        <v>18</v>
      </c>
      <c r="B12" s="52">
        <v>810</v>
      </c>
      <c r="C12" s="17" t="s">
        <v>28</v>
      </c>
      <c r="E12" s="31"/>
      <c r="F12" s="26" t="s">
        <v>9</v>
      </c>
      <c r="G12" s="27">
        <f>B5*B6*B20*B13</f>
        <v>18000</v>
      </c>
      <c r="H12" s="28">
        <v>0</v>
      </c>
      <c r="J12" s="2" t="s">
        <v>127</v>
      </c>
    </row>
    <row r="13" spans="1:12" x14ac:dyDescent="0.25">
      <c r="A13" s="15" t="s">
        <v>110</v>
      </c>
      <c r="B13" s="12">
        <v>3</v>
      </c>
      <c r="C13" s="17" t="s">
        <v>111</v>
      </c>
      <c r="E13" s="32"/>
      <c r="F13" s="46" t="s">
        <v>13</v>
      </c>
      <c r="G13" s="47">
        <f>SUM(G9:G12)</f>
        <v>75795</v>
      </c>
      <c r="H13" s="48">
        <f>SUM(H9:H12)</f>
        <v>37440</v>
      </c>
      <c r="J13" s="80"/>
      <c r="K13" s="81" t="s">
        <v>0</v>
      </c>
      <c r="L13" s="81"/>
    </row>
    <row r="14" spans="1:12" x14ac:dyDescent="0.25">
      <c r="A14" s="15" t="s">
        <v>16</v>
      </c>
      <c r="B14" s="13">
        <v>1200</v>
      </c>
      <c r="C14" s="17" t="s">
        <v>33</v>
      </c>
      <c r="E14" s="33" t="s">
        <v>3</v>
      </c>
      <c r="F14" s="26" t="s">
        <v>54</v>
      </c>
      <c r="G14" s="36">
        <f>B24</f>
        <v>6800</v>
      </c>
      <c r="H14" s="37">
        <v>0</v>
      </c>
      <c r="J14" s="81" t="s">
        <v>123</v>
      </c>
      <c r="K14" s="82">
        <f>SUM(G4:H6)</f>
        <v>166644</v>
      </c>
      <c r="L14" s="82"/>
    </row>
    <row r="15" spans="1:12" x14ac:dyDescent="0.25">
      <c r="A15" s="15" t="s">
        <v>112</v>
      </c>
      <c r="B15" s="13">
        <v>1100</v>
      </c>
      <c r="C15" s="17" t="s">
        <v>113</v>
      </c>
      <c r="E15" s="34"/>
      <c r="F15" s="26" t="s">
        <v>99</v>
      </c>
      <c r="G15" s="38">
        <v>10000</v>
      </c>
      <c r="H15" s="38">
        <v>35000</v>
      </c>
      <c r="J15" s="81" t="s">
        <v>135</v>
      </c>
      <c r="K15" s="82">
        <v>0</v>
      </c>
      <c r="L15" s="82"/>
    </row>
    <row r="16" spans="1:12" x14ac:dyDescent="0.25">
      <c r="A16" s="15" t="s">
        <v>114</v>
      </c>
      <c r="B16" s="44">
        <v>3500</v>
      </c>
      <c r="C16" s="17" t="s">
        <v>115</v>
      </c>
      <c r="E16" s="34"/>
      <c r="F16" s="45" t="s">
        <v>62</v>
      </c>
      <c r="G16" s="38">
        <f>B23*B7</f>
        <v>13920</v>
      </c>
      <c r="H16" s="39"/>
      <c r="J16" s="81" t="s">
        <v>124</v>
      </c>
      <c r="K16" s="82">
        <f>SUM(G10:H10)</f>
        <v>37440</v>
      </c>
      <c r="L16" s="82"/>
    </row>
    <row r="17" spans="1:21" ht="15.75" thickBot="1" x14ac:dyDescent="0.3">
      <c r="A17" s="15" t="s">
        <v>21</v>
      </c>
      <c r="B17" s="13">
        <v>950</v>
      </c>
      <c r="C17" s="17" t="s">
        <v>31</v>
      </c>
      <c r="E17" s="35"/>
      <c r="F17" s="49" t="s">
        <v>13</v>
      </c>
      <c r="G17" s="54">
        <f>SUM(G14:G16)</f>
        <v>30720</v>
      </c>
      <c r="H17" s="55">
        <f>SUM(H14:H16)</f>
        <v>35000</v>
      </c>
      <c r="J17" s="81" t="s">
        <v>3</v>
      </c>
      <c r="K17" s="83">
        <f>SUM(G14:H15)</f>
        <v>51800</v>
      </c>
      <c r="L17" s="83"/>
    </row>
    <row r="18" spans="1:21" x14ac:dyDescent="0.25">
      <c r="A18" s="15" t="s">
        <v>17</v>
      </c>
      <c r="B18" s="13">
        <v>19.5</v>
      </c>
      <c r="C18" s="17" t="s">
        <v>32</v>
      </c>
      <c r="J18" s="81" t="s">
        <v>62</v>
      </c>
      <c r="K18" s="83">
        <f>SUM(G16:H16)</f>
        <v>13920</v>
      </c>
      <c r="L18" s="83"/>
    </row>
    <row r="19" spans="1:21" ht="23.25" x14ac:dyDescent="0.25">
      <c r="A19" s="15" t="s">
        <v>116</v>
      </c>
      <c r="B19" s="13">
        <v>1400</v>
      </c>
      <c r="C19" s="17" t="s">
        <v>137</v>
      </c>
      <c r="J19" s="81" t="s">
        <v>128</v>
      </c>
      <c r="K19" s="84">
        <f>SUM(K14:K18)</f>
        <v>269804</v>
      </c>
      <c r="L19" s="83"/>
    </row>
    <row r="20" spans="1:21" ht="30" x14ac:dyDescent="0.25">
      <c r="A20" s="15" t="s">
        <v>29</v>
      </c>
      <c r="B20" s="13">
        <v>200</v>
      </c>
      <c r="C20" s="17" t="s">
        <v>30</v>
      </c>
      <c r="J20" s="81" t="s">
        <v>129</v>
      </c>
      <c r="K20" s="83">
        <f>K19/Notas!$C$10</f>
        <v>14052.291666666668</v>
      </c>
      <c r="L20" s="83"/>
    </row>
    <row r="21" spans="1:21" x14ac:dyDescent="0.25">
      <c r="A21" s="15" t="s">
        <v>92</v>
      </c>
      <c r="B21" s="13">
        <v>1200</v>
      </c>
      <c r="C21" s="17" t="s">
        <v>34</v>
      </c>
    </row>
    <row r="22" spans="1:21" x14ac:dyDescent="0.25">
      <c r="A22" s="15" t="s">
        <v>93</v>
      </c>
      <c r="B22" s="13">
        <v>725</v>
      </c>
      <c r="C22" s="17" t="s">
        <v>94</v>
      </c>
    </row>
    <row r="23" spans="1:21" ht="30" x14ac:dyDescent="0.25">
      <c r="A23" s="15" t="s">
        <v>36</v>
      </c>
      <c r="B23" s="13">
        <v>1740</v>
      </c>
      <c r="C23" s="17" t="s">
        <v>35</v>
      </c>
    </row>
    <row r="24" spans="1:21" ht="30" x14ac:dyDescent="0.25">
      <c r="A24" s="15" t="s">
        <v>55</v>
      </c>
      <c r="B24" s="14">
        <f>SUM(B35)</f>
        <v>6800</v>
      </c>
      <c r="C24" s="17" t="s">
        <v>95</v>
      </c>
    </row>
    <row r="25" spans="1:21" ht="23.25" x14ac:dyDescent="0.25">
      <c r="A25" s="15" t="s">
        <v>96</v>
      </c>
      <c r="B25" s="14">
        <f>SUM(B43)</f>
        <v>45000</v>
      </c>
      <c r="C25" s="17" t="s">
        <v>97</v>
      </c>
    </row>
    <row r="26" spans="1:21" x14ac:dyDescent="0.25">
      <c r="G26" s="1"/>
      <c r="H26" s="1"/>
    </row>
    <row r="28" spans="1:21" ht="30" x14ac:dyDescent="0.25">
      <c r="A28" s="21" t="s">
        <v>56</v>
      </c>
      <c r="B28" s="20" t="s">
        <v>49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5" t="s">
        <v>37</v>
      </c>
      <c r="B29" s="6">
        <v>3000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5" t="s">
        <v>38</v>
      </c>
      <c r="B30" s="6">
        <v>500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5" t="s">
        <v>98</v>
      </c>
      <c r="B31" s="6">
        <v>1800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5" t="s">
        <v>65</v>
      </c>
      <c r="B32" s="6">
        <v>1500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5"/>
      <c r="B33" s="6"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5"/>
      <c r="B34" s="6"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thickBot="1" x14ac:dyDescent="0.3">
      <c r="A35" s="8" t="s">
        <v>13</v>
      </c>
      <c r="B35" s="9">
        <f>SUM(B29:B34)</f>
        <v>6800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thickTop="1" x14ac:dyDescent="0.25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30" x14ac:dyDescent="0.25">
      <c r="A37" s="21" t="s">
        <v>99</v>
      </c>
      <c r="B37" s="20" t="s">
        <v>49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5" t="s">
        <v>48</v>
      </c>
      <c r="B38" s="6">
        <v>35000</v>
      </c>
      <c r="C38" s="77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5" t="s">
        <v>11</v>
      </c>
      <c r="B39" s="6">
        <v>7000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5" t="s">
        <v>63</v>
      </c>
      <c r="B40" s="6">
        <v>3000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A41" s="5"/>
      <c r="B41" s="6"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A42" s="5"/>
      <c r="B42" s="6"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thickBot="1" x14ac:dyDescent="0.3">
      <c r="A43" s="8" t="s">
        <v>13</v>
      </c>
      <c r="B43" s="9">
        <f>SUM(B37:B42)</f>
        <v>45000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thickTop="1" x14ac:dyDescent="0.25"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5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5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5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0:21" x14ac:dyDescent="0.25"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0:21" x14ac:dyDescent="0.25"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0:21" x14ac:dyDescent="0.25"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0:21" x14ac:dyDescent="0.25"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0:21" x14ac:dyDescent="0.25"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0:21" x14ac:dyDescent="0.25"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2" workbookViewId="0">
      <selection activeCell="B38" sqref="B38"/>
    </sheetView>
  </sheetViews>
  <sheetFormatPr defaultRowHeight="15" x14ac:dyDescent="0.25"/>
  <cols>
    <col min="1" max="1" width="31.140625" customWidth="1"/>
    <col min="2" max="2" width="16.85546875" customWidth="1"/>
    <col min="3" max="3" width="35" style="4" bestFit="1" customWidth="1"/>
    <col min="4" max="4" width="5.5703125" customWidth="1"/>
    <col min="5" max="5" width="15.85546875" customWidth="1"/>
    <col min="6" max="6" width="25.7109375" customWidth="1"/>
    <col min="7" max="7" width="12.5703125" bestFit="1" customWidth="1"/>
    <col min="8" max="8" width="14.85546875" customWidth="1"/>
    <col min="11" max="11" width="12.5703125" bestFit="1" customWidth="1"/>
    <col min="12" max="12" width="11.28515625" customWidth="1"/>
  </cols>
  <sheetData>
    <row r="1" spans="1:12" x14ac:dyDescent="0.25">
      <c r="A1" s="18" t="s">
        <v>0</v>
      </c>
      <c r="B1" s="16" t="s">
        <v>39</v>
      </c>
      <c r="C1" s="19" t="s">
        <v>22</v>
      </c>
      <c r="E1" s="23"/>
      <c r="F1" s="24"/>
      <c r="G1" s="40" t="s">
        <v>100</v>
      </c>
      <c r="H1" s="42" t="s">
        <v>100</v>
      </c>
    </row>
    <row r="2" spans="1:12" x14ac:dyDescent="0.25">
      <c r="A2" s="15" t="s">
        <v>1</v>
      </c>
      <c r="B2" s="12">
        <v>2</v>
      </c>
      <c r="C2" s="17" t="s">
        <v>23</v>
      </c>
      <c r="E2" s="25"/>
      <c r="F2" s="22"/>
      <c r="G2" s="41" t="s">
        <v>4</v>
      </c>
      <c r="H2" s="43" t="s">
        <v>0</v>
      </c>
      <c r="J2" s="2" t="s">
        <v>136</v>
      </c>
    </row>
    <row r="3" spans="1:12" ht="30" x14ac:dyDescent="0.25">
      <c r="A3" s="15" t="s">
        <v>2</v>
      </c>
      <c r="B3" s="52">
        <v>200</v>
      </c>
      <c r="C3" s="17" t="s">
        <v>101</v>
      </c>
      <c r="E3" s="30" t="s">
        <v>12</v>
      </c>
      <c r="F3" s="26" t="s">
        <v>52</v>
      </c>
      <c r="G3" s="27">
        <f>(B5*B21)+(B5*B22)</f>
        <v>17325</v>
      </c>
      <c r="H3" s="28">
        <v>0</v>
      </c>
      <c r="J3" s="80"/>
      <c r="K3" s="81" t="s">
        <v>4</v>
      </c>
      <c r="L3" s="81" t="s">
        <v>0</v>
      </c>
    </row>
    <row r="4" spans="1:12" ht="23.25" x14ac:dyDescent="0.25">
      <c r="A4" s="15" t="s">
        <v>102</v>
      </c>
      <c r="B4" s="52">
        <v>7</v>
      </c>
      <c r="C4" s="17" t="s">
        <v>103</v>
      </c>
      <c r="E4" s="31"/>
      <c r="F4" s="26" t="s">
        <v>5</v>
      </c>
      <c r="G4" s="27">
        <f>B7*B14*B4</f>
        <v>70000</v>
      </c>
      <c r="H4" s="28"/>
      <c r="J4" s="81" t="s">
        <v>123</v>
      </c>
      <c r="K4" s="82">
        <f>SUM(G3:G6)</f>
        <v>108941</v>
      </c>
      <c r="L4" s="82">
        <f>SUM(H3:H6)</f>
        <v>5508</v>
      </c>
    </row>
    <row r="5" spans="1:12" x14ac:dyDescent="0.25">
      <c r="A5" s="15" t="s">
        <v>104</v>
      </c>
      <c r="B5" s="52">
        <v>9</v>
      </c>
      <c r="C5" s="17" t="s">
        <v>105</v>
      </c>
      <c r="E5" s="31"/>
      <c r="F5" s="26" t="s">
        <v>106</v>
      </c>
      <c r="G5" s="27">
        <f>B8*B15*B4*0.66</f>
        <v>8316</v>
      </c>
      <c r="H5" s="28">
        <f>B8*B15*B5*0.34</f>
        <v>5508</v>
      </c>
      <c r="J5" s="81" t="s">
        <v>135</v>
      </c>
      <c r="K5" s="82">
        <f>G7</f>
        <v>0</v>
      </c>
      <c r="L5" s="82">
        <f>H7</f>
        <v>49000</v>
      </c>
    </row>
    <row r="6" spans="1:12" x14ac:dyDescent="0.25">
      <c r="A6" s="15" t="s">
        <v>50</v>
      </c>
      <c r="B6" s="12">
        <v>2</v>
      </c>
      <c r="C6" s="17" t="s">
        <v>51</v>
      </c>
      <c r="E6" s="31"/>
      <c r="F6" s="26" t="s">
        <v>53</v>
      </c>
      <c r="G6" s="27">
        <f>B10*B17*B4</f>
        <v>13300</v>
      </c>
      <c r="H6" s="28">
        <v>0</v>
      </c>
      <c r="J6" s="81" t="s">
        <v>124</v>
      </c>
      <c r="K6" s="82">
        <f>SUM(G9:G10)</f>
        <v>12675</v>
      </c>
      <c r="L6" s="82">
        <f>SUM(H9:H10)</f>
        <v>24570</v>
      </c>
    </row>
    <row r="7" spans="1:12" x14ac:dyDescent="0.25">
      <c r="A7" s="15" t="s">
        <v>14</v>
      </c>
      <c r="B7" s="12">
        <v>10</v>
      </c>
      <c r="C7" s="17" t="s">
        <v>24</v>
      </c>
      <c r="E7" s="31"/>
      <c r="F7" s="26" t="s">
        <v>107</v>
      </c>
      <c r="G7" s="27">
        <v>0</v>
      </c>
      <c r="H7" s="28">
        <f>B9*B16*B4</f>
        <v>49000</v>
      </c>
      <c r="J7" s="81" t="s">
        <v>73</v>
      </c>
      <c r="K7" s="82">
        <f>G11</f>
        <v>25200</v>
      </c>
      <c r="L7" s="82">
        <f>H11</f>
        <v>0</v>
      </c>
    </row>
    <row r="8" spans="1:12" x14ac:dyDescent="0.25">
      <c r="A8" s="15" t="s">
        <v>15</v>
      </c>
      <c r="B8" s="12">
        <v>2</v>
      </c>
      <c r="C8" s="17" t="s">
        <v>25</v>
      </c>
      <c r="E8" s="32"/>
      <c r="F8" s="46" t="s">
        <v>13</v>
      </c>
      <c r="G8" s="47">
        <f>SUM(G3:G7)</f>
        <v>108941</v>
      </c>
      <c r="H8" s="48">
        <f>SUM(H4:H7)</f>
        <v>54508</v>
      </c>
      <c r="J8" s="81" t="s">
        <v>125</v>
      </c>
      <c r="K8" s="82">
        <f>G12</f>
        <v>10800</v>
      </c>
      <c r="L8" s="82">
        <f>H12</f>
        <v>0</v>
      </c>
    </row>
    <row r="9" spans="1:12" x14ac:dyDescent="0.25">
      <c r="A9" s="15" t="s">
        <v>19</v>
      </c>
      <c r="B9" s="12">
        <v>2</v>
      </c>
      <c r="C9" s="17" t="s">
        <v>26</v>
      </c>
      <c r="E9" s="30" t="s">
        <v>86</v>
      </c>
      <c r="F9" s="26" t="s">
        <v>6</v>
      </c>
      <c r="G9" s="27">
        <f>B12*B18</f>
        <v>12675</v>
      </c>
      <c r="H9" s="28"/>
      <c r="J9" s="81" t="s">
        <v>3</v>
      </c>
      <c r="K9" s="83">
        <f>SUM(G14:G15)</f>
        <v>34300</v>
      </c>
      <c r="L9" s="83">
        <f>SUM(H14:H15)</f>
        <v>17500</v>
      </c>
    </row>
    <row r="10" spans="1:12" ht="23.25" x14ac:dyDescent="0.25">
      <c r="A10" s="15" t="s">
        <v>20</v>
      </c>
      <c r="B10" s="12">
        <v>2</v>
      </c>
      <c r="C10" s="17" t="s">
        <v>27</v>
      </c>
      <c r="E10" s="31"/>
      <c r="F10" s="26" t="s">
        <v>7</v>
      </c>
      <c r="G10" s="27">
        <v>0</v>
      </c>
      <c r="H10" s="28">
        <f>B11*B9*B18*B4</f>
        <v>24570</v>
      </c>
      <c r="J10" s="81" t="s">
        <v>62</v>
      </c>
      <c r="K10" s="83">
        <f>G16</f>
        <v>17400</v>
      </c>
      <c r="L10" s="83">
        <f>H16</f>
        <v>0</v>
      </c>
    </row>
    <row r="11" spans="1:12" ht="30" x14ac:dyDescent="0.25">
      <c r="A11" s="15" t="s">
        <v>108</v>
      </c>
      <c r="B11" s="57">
        <v>90</v>
      </c>
      <c r="C11" s="17" t="s">
        <v>109</v>
      </c>
      <c r="E11" s="31"/>
      <c r="F11" s="26" t="s">
        <v>8</v>
      </c>
      <c r="G11" s="27">
        <f>B5*B19*B6</f>
        <v>25200</v>
      </c>
      <c r="H11" s="28">
        <v>0</v>
      </c>
    </row>
    <row r="12" spans="1:12" ht="23.25" x14ac:dyDescent="0.25">
      <c r="A12" s="15" t="s">
        <v>18</v>
      </c>
      <c r="B12" s="52">
        <v>650</v>
      </c>
      <c r="C12" s="17" t="s">
        <v>28</v>
      </c>
      <c r="E12" s="31"/>
      <c r="F12" s="26" t="s">
        <v>9</v>
      </c>
      <c r="G12" s="27">
        <f>B5*B6*B20*B13</f>
        <v>10800</v>
      </c>
      <c r="H12" s="28">
        <v>0</v>
      </c>
      <c r="J12" s="2" t="s">
        <v>127</v>
      </c>
    </row>
    <row r="13" spans="1:12" x14ac:dyDescent="0.25">
      <c r="A13" s="15" t="s">
        <v>110</v>
      </c>
      <c r="B13" s="52">
        <v>3</v>
      </c>
      <c r="C13" s="17" t="s">
        <v>111</v>
      </c>
      <c r="E13" s="32"/>
      <c r="F13" s="46" t="s">
        <v>13</v>
      </c>
      <c r="G13" s="47">
        <f>SUM(G9:G12)</f>
        <v>48675</v>
      </c>
      <c r="H13" s="48">
        <f>SUM(H9:H12)</f>
        <v>24570</v>
      </c>
      <c r="J13" s="80"/>
      <c r="K13" s="81" t="s">
        <v>0</v>
      </c>
      <c r="L13" s="81"/>
    </row>
    <row r="14" spans="1:12" x14ac:dyDescent="0.25">
      <c r="A14" s="15" t="s">
        <v>16</v>
      </c>
      <c r="B14" s="44">
        <v>1000</v>
      </c>
      <c r="C14" s="17" t="s">
        <v>33</v>
      </c>
      <c r="E14" s="33" t="s">
        <v>3</v>
      </c>
      <c r="F14" s="26" t="s">
        <v>54</v>
      </c>
      <c r="G14" s="36">
        <f>B24</f>
        <v>6800</v>
      </c>
      <c r="H14" s="37">
        <v>0</v>
      </c>
      <c r="J14" s="81" t="s">
        <v>123</v>
      </c>
      <c r="K14" s="82">
        <f>SUM(G4:H6)</f>
        <v>97124</v>
      </c>
      <c r="L14" s="82"/>
    </row>
    <row r="15" spans="1:12" x14ac:dyDescent="0.25">
      <c r="A15" s="15" t="s">
        <v>112</v>
      </c>
      <c r="B15" s="44">
        <v>900</v>
      </c>
      <c r="C15" s="17" t="s">
        <v>113</v>
      </c>
      <c r="E15" s="34"/>
      <c r="F15" s="26" t="s">
        <v>99</v>
      </c>
      <c r="G15" s="38">
        <v>27500</v>
      </c>
      <c r="H15" s="38">
        <v>17500</v>
      </c>
      <c r="J15" s="81" t="s">
        <v>135</v>
      </c>
      <c r="K15" s="82">
        <v>0</v>
      </c>
      <c r="L15" s="82"/>
    </row>
    <row r="16" spans="1:12" x14ac:dyDescent="0.25">
      <c r="A16" s="15" t="s">
        <v>114</v>
      </c>
      <c r="B16" s="44">
        <v>3500</v>
      </c>
      <c r="C16" s="17" t="s">
        <v>115</v>
      </c>
      <c r="E16" s="34"/>
      <c r="F16" s="45" t="s">
        <v>62</v>
      </c>
      <c r="G16" s="38">
        <f>B23*B7</f>
        <v>17400</v>
      </c>
      <c r="H16" s="39"/>
      <c r="J16" s="81" t="s">
        <v>124</v>
      </c>
      <c r="K16" s="82">
        <f>SUM(G10:H10)</f>
        <v>24570</v>
      </c>
      <c r="L16" s="82"/>
    </row>
    <row r="17" spans="1:20" ht="15.75" thickBot="1" x14ac:dyDescent="0.3">
      <c r="A17" s="15" t="s">
        <v>21</v>
      </c>
      <c r="B17" s="44">
        <v>950</v>
      </c>
      <c r="C17" s="17" t="s">
        <v>31</v>
      </c>
      <c r="E17" s="35"/>
      <c r="F17" s="49" t="s">
        <v>13</v>
      </c>
      <c r="G17" s="54">
        <f>SUM(G14:G16)</f>
        <v>51700</v>
      </c>
      <c r="H17" s="55">
        <f>SUM(H14:H16)</f>
        <v>17500</v>
      </c>
      <c r="J17" s="81" t="s">
        <v>3</v>
      </c>
      <c r="K17" s="83">
        <f>SUM(G14:H15)</f>
        <v>51800</v>
      </c>
      <c r="L17" s="83"/>
    </row>
    <row r="18" spans="1:20" x14ac:dyDescent="0.25">
      <c r="A18" s="15" t="s">
        <v>17</v>
      </c>
      <c r="B18" s="44">
        <v>19.5</v>
      </c>
      <c r="C18" s="17" t="s">
        <v>32</v>
      </c>
      <c r="J18" s="81" t="s">
        <v>62</v>
      </c>
      <c r="K18" s="83">
        <f>SUM(G16:H16)</f>
        <v>17400</v>
      </c>
      <c r="L18" s="83"/>
    </row>
    <row r="19" spans="1:20" ht="23.25" x14ac:dyDescent="0.25">
      <c r="A19" s="15" t="s">
        <v>116</v>
      </c>
      <c r="B19" s="44">
        <v>1400</v>
      </c>
      <c r="C19" s="17" t="s">
        <v>137</v>
      </c>
      <c r="J19" s="81" t="s">
        <v>128</v>
      </c>
      <c r="K19" s="84">
        <f>SUM(K14:K18)</f>
        <v>190894</v>
      </c>
      <c r="L19" s="83"/>
    </row>
    <row r="20" spans="1:20" ht="30" x14ac:dyDescent="0.25">
      <c r="A20" s="15" t="s">
        <v>29</v>
      </c>
      <c r="B20" s="44">
        <v>200</v>
      </c>
      <c r="C20" s="17" t="s">
        <v>30</v>
      </c>
      <c r="J20" s="81" t="s">
        <v>129</v>
      </c>
      <c r="K20" s="83">
        <f>K19/Notas!$C$10</f>
        <v>9942.3958333333339</v>
      </c>
      <c r="L20" s="83"/>
    </row>
    <row r="21" spans="1:20" x14ac:dyDescent="0.25">
      <c r="A21" s="15" t="s">
        <v>92</v>
      </c>
      <c r="B21" s="13">
        <v>1200</v>
      </c>
      <c r="C21" s="17" t="s">
        <v>34</v>
      </c>
    </row>
    <row r="22" spans="1:20" x14ac:dyDescent="0.25">
      <c r="A22" s="15" t="s">
        <v>93</v>
      </c>
      <c r="B22" s="13">
        <v>725</v>
      </c>
      <c r="C22" s="17" t="s">
        <v>94</v>
      </c>
    </row>
    <row r="23" spans="1:20" ht="30" x14ac:dyDescent="0.25">
      <c r="A23" s="15" t="s">
        <v>36</v>
      </c>
      <c r="B23" s="13">
        <v>1740</v>
      </c>
      <c r="C23" s="17" t="s">
        <v>35</v>
      </c>
    </row>
    <row r="24" spans="1:20" ht="30" x14ac:dyDescent="0.25">
      <c r="A24" s="15" t="s">
        <v>55</v>
      </c>
      <c r="B24" s="14">
        <f>SUM(B35)</f>
        <v>6800</v>
      </c>
      <c r="C24" s="17" t="s">
        <v>95</v>
      </c>
    </row>
    <row r="25" spans="1:20" ht="23.25" x14ac:dyDescent="0.25">
      <c r="A25" s="15" t="s">
        <v>96</v>
      </c>
      <c r="B25" s="14">
        <f>SUM(B43)</f>
        <v>45000</v>
      </c>
      <c r="C25" s="17" t="s">
        <v>97</v>
      </c>
    </row>
    <row r="26" spans="1:20" x14ac:dyDescent="0.25">
      <c r="G26" s="1"/>
      <c r="H26" s="1"/>
    </row>
    <row r="28" spans="1:20" ht="30" x14ac:dyDescent="0.25">
      <c r="A28" s="21" t="s">
        <v>56</v>
      </c>
      <c r="B28" s="20" t="s">
        <v>49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5" t="s">
        <v>37</v>
      </c>
      <c r="B29" s="6">
        <v>3000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5" t="s">
        <v>38</v>
      </c>
      <c r="B30" s="6">
        <v>500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5" t="s">
        <v>98</v>
      </c>
      <c r="B31" s="6">
        <v>1800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5" t="s">
        <v>65</v>
      </c>
      <c r="B32" s="6">
        <v>1500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5"/>
      <c r="B33" s="6"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5"/>
      <c r="B34" s="6"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thickBot="1" x14ac:dyDescent="0.3">
      <c r="A35" s="8" t="s">
        <v>13</v>
      </c>
      <c r="B35" s="9">
        <f>SUM(B29:B34)</f>
        <v>6800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thickTop="1" x14ac:dyDescent="0.25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30" x14ac:dyDescent="0.25">
      <c r="A37" s="21" t="s">
        <v>99</v>
      </c>
      <c r="B37" s="20" t="s">
        <v>49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5" t="s">
        <v>48</v>
      </c>
      <c r="B38" s="6">
        <v>35000</v>
      </c>
      <c r="C38" s="77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5" t="s">
        <v>11</v>
      </c>
      <c r="B39" s="6">
        <v>7000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5" t="s">
        <v>63</v>
      </c>
      <c r="B40" s="6">
        <v>3000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5"/>
      <c r="B41" s="6"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5"/>
      <c r="B42" s="6"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thickBot="1" x14ac:dyDescent="0.3">
      <c r="A43" s="8" t="s">
        <v>13</v>
      </c>
      <c r="B43" s="9">
        <f>SUM(B37:B42)</f>
        <v>45000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thickTop="1" x14ac:dyDescent="0.25"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0:20" x14ac:dyDescent="0.25"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0:20" x14ac:dyDescent="0.25"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0:20" x14ac:dyDescent="0.25"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0:20" x14ac:dyDescent="0.25"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0:20" x14ac:dyDescent="0.25"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0:20" x14ac:dyDescent="0.25"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B4" sqref="B4"/>
    </sheetView>
  </sheetViews>
  <sheetFormatPr defaultRowHeight="15" x14ac:dyDescent="0.25"/>
  <cols>
    <col min="1" max="1" width="31.140625" customWidth="1"/>
    <col min="2" max="2" width="16.85546875" customWidth="1"/>
    <col min="3" max="3" width="35" style="4" bestFit="1" customWidth="1"/>
    <col min="4" max="4" width="5.5703125" customWidth="1"/>
    <col min="5" max="5" width="15.85546875" customWidth="1"/>
    <col min="6" max="6" width="25.7109375" customWidth="1"/>
    <col min="7" max="7" width="12.5703125" bestFit="1" customWidth="1"/>
    <col min="8" max="8" width="14.85546875" customWidth="1"/>
    <col min="11" max="12" width="12.5703125" bestFit="1" customWidth="1"/>
  </cols>
  <sheetData>
    <row r="1" spans="1:12" x14ac:dyDescent="0.25">
      <c r="A1" s="18" t="s">
        <v>0</v>
      </c>
      <c r="B1" s="16" t="s">
        <v>40</v>
      </c>
      <c r="C1" s="19" t="s">
        <v>22</v>
      </c>
      <c r="E1" s="23"/>
      <c r="F1" s="24"/>
      <c r="G1" s="40" t="s">
        <v>100</v>
      </c>
      <c r="H1" s="42" t="s">
        <v>100</v>
      </c>
    </row>
    <row r="2" spans="1:12" x14ac:dyDescent="0.25">
      <c r="A2" s="15" t="s">
        <v>1</v>
      </c>
      <c r="B2" s="52">
        <v>3</v>
      </c>
      <c r="C2" s="17" t="s">
        <v>23</v>
      </c>
      <c r="E2" s="25"/>
      <c r="F2" s="22"/>
      <c r="G2" s="41" t="s">
        <v>4</v>
      </c>
      <c r="H2" s="43" t="s">
        <v>0</v>
      </c>
      <c r="J2" s="2" t="s">
        <v>136</v>
      </c>
    </row>
    <row r="3" spans="1:12" ht="30" x14ac:dyDescent="0.25">
      <c r="A3" s="15" t="s">
        <v>2</v>
      </c>
      <c r="B3" s="52">
        <v>59.76</v>
      </c>
      <c r="C3" s="17" t="s">
        <v>101</v>
      </c>
      <c r="E3" s="30" t="s">
        <v>12</v>
      </c>
      <c r="F3" s="26" t="s">
        <v>52</v>
      </c>
      <c r="G3" s="27">
        <f>(B5*B21)+(B5*B22)</f>
        <v>13475</v>
      </c>
      <c r="H3" s="28">
        <v>0</v>
      </c>
      <c r="J3" s="80"/>
      <c r="K3" s="81" t="s">
        <v>4</v>
      </c>
      <c r="L3" s="81" t="s">
        <v>0</v>
      </c>
    </row>
    <row r="4" spans="1:12" ht="23.25" x14ac:dyDescent="0.25">
      <c r="A4" s="15" t="s">
        <v>102</v>
      </c>
      <c r="B4" s="52">
        <v>5</v>
      </c>
      <c r="C4" s="17" t="s">
        <v>103</v>
      </c>
      <c r="E4" s="31"/>
      <c r="F4" s="26" t="s">
        <v>5</v>
      </c>
      <c r="G4" s="27">
        <f>B7*B14*B4</f>
        <v>35000</v>
      </c>
      <c r="H4" s="28"/>
      <c r="J4" s="81" t="s">
        <v>123</v>
      </c>
      <c r="K4" s="82">
        <f>SUM(G3:G6)</f>
        <v>59165</v>
      </c>
      <c r="L4" s="82">
        <f>SUM(H3:H6)</f>
        <v>4284</v>
      </c>
    </row>
    <row r="5" spans="1:12" x14ac:dyDescent="0.25">
      <c r="A5" s="15" t="s">
        <v>104</v>
      </c>
      <c r="B5" s="52">
        <v>7</v>
      </c>
      <c r="C5" s="17" t="s">
        <v>105</v>
      </c>
      <c r="E5" s="31"/>
      <c r="F5" s="26" t="s">
        <v>106</v>
      </c>
      <c r="G5" s="27">
        <f>B8*B15*B4*0.66</f>
        <v>5940</v>
      </c>
      <c r="H5" s="28">
        <f>B8*B15*B5*0.34</f>
        <v>4284</v>
      </c>
      <c r="J5" s="81" t="s">
        <v>135</v>
      </c>
      <c r="K5" s="82">
        <f>G7</f>
        <v>0</v>
      </c>
      <c r="L5" s="82">
        <f>H7</f>
        <v>35000</v>
      </c>
    </row>
    <row r="6" spans="1:12" x14ac:dyDescent="0.25">
      <c r="A6" s="15" t="s">
        <v>50</v>
      </c>
      <c r="B6" s="12">
        <v>2</v>
      </c>
      <c r="C6" s="17" t="s">
        <v>51</v>
      </c>
      <c r="E6" s="31"/>
      <c r="F6" s="26" t="s">
        <v>53</v>
      </c>
      <c r="G6" s="27">
        <f>B10*B17*B4</f>
        <v>4750</v>
      </c>
      <c r="H6" s="28">
        <v>0</v>
      </c>
      <c r="J6" s="81" t="s">
        <v>124</v>
      </c>
      <c r="K6" s="82">
        <f>SUM(G9:G10)</f>
        <v>12675</v>
      </c>
      <c r="L6" s="82">
        <f>SUM(H9:H10)</f>
        <v>9750</v>
      </c>
    </row>
    <row r="7" spans="1:12" x14ac:dyDescent="0.25">
      <c r="A7" s="15" t="s">
        <v>14</v>
      </c>
      <c r="B7" s="12">
        <v>7</v>
      </c>
      <c r="C7" s="17" t="s">
        <v>24</v>
      </c>
      <c r="E7" s="31"/>
      <c r="F7" s="26" t="s">
        <v>107</v>
      </c>
      <c r="G7" s="27">
        <v>0</v>
      </c>
      <c r="H7" s="28">
        <f>B9*B16*B4</f>
        <v>35000</v>
      </c>
      <c r="J7" s="81" t="s">
        <v>73</v>
      </c>
      <c r="K7" s="82">
        <f>G11</f>
        <v>19600</v>
      </c>
      <c r="L7" s="82">
        <f>H11</f>
        <v>0</v>
      </c>
    </row>
    <row r="8" spans="1:12" x14ac:dyDescent="0.25">
      <c r="A8" s="15" t="s">
        <v>15</v>
      </c>
      <c r="B8" s="12">
        <v>2</v>
      </c>
      <c r="C8" s="17" t="s">
        <v>25</v>
      </c>
      <c r="E8" s="32"/>
      <c r="F8" s="46" t="s">
        <v>13</v>
      </c>
      <c r="G8" s="47">
        <f>SUM(G3:G7)</f>
        <v>59165</v>
      </c>
      <c r="H8" s="48">
        <f>SUM(H4:H7)</f>
        <v>39284</v>
      </c>
      <c r="J8" s="81" t="s">
        <v>125</v>
      </c>
      <c r="K8" s="82">
        <f>G12</f>
        <v>8400</v>
      </c>
      <c r="L8" s="82">
        <f>H12</f>
        <v>0</v>
      </c>
    </row>
    <row r="9" spans="1:12" x14ac:dyDescent="0.25">
      <c r="A9" s="15" t="s">
        <v>19</v>
      </c>
      <c r="B9" s="12">
        <v>2</v>
      </c>
      <c r="C9" s="17" t="s">
        <v>26</v>
      </c>
      <c r="E9" s="30" t="s">
        <v>86</v>
      </c>
      <c r="F9" s="26" t="s">
        <v>6</v>
      </c>
      <c r="G9" s="27">
        <f>B12*B18</f>
        <v>12675</v>
      </c>
      <c r="H9" s="28"/>
      <c r="J9" s="81" t="s">
        <v>3</v>
      </c>
      <c r="K9" s="83">
        <f>SUM(G14:G15)</f>
        <v>51800</v>
      </c>
      <c r="L9" s="83">
        <f>SUM(H14:H15)</f>
        <v>0</v>
      </c>
    </row>
    <row r="10" spans="1:12" ht="23.25" x14ac:dyDescent="0.25">
      <c r="A10" s="15" t="s">
        <v>20</v>
      </c>
      <c r="B10" s="52">
        <v>1</v>
      </c>
      <c r="C10" s="17" t="s">
        <v>27</v>
      </c>
      <c r="E10" s="31"/>
      <c r="F10" s="26" t="s">
        <v>7</v>
      </c>
      <c r="G10" s="27">
        <v>0</v>
      </c>
      <c r="H10" s="28">
        <f>B11*B9*B18*B4</f>
        <v>9750</v>
      </c>
      <c r="J10" s="81" t="s">
        <v>62</v>
      </c>
      <c r="K10" s="83">
        <f>G16</f>
        <v>12180</v>
      </c>
      <c r="L10" s="83">
        <f>H16</f>
        <v>0</v>
      </c>
    </row>
    <row r="11" spans="1:12" ht="30" x14ac:dyDescent="0.25">
      <c r="A11" s="15" t="s">
        <v>108</v>
      </c>
      <c r="B11" s="57">
        <v>50</v>
      </c>
      <c r="C11" s="17" t="s">
        <v>109</v>
      </c>
      <c r="E11" s="31"/>
      <c r="F11" s="26" t="s">
        <v>8</v>
      </c>
      <c r="G11" s="27">
        <f>B5*B19*B6</f>
        <v>19600</v>
      </c>
      <c r="H11" s="28">
        <v>0</v>
      </c>
    </row>
    <row r="12" spans="1:12" ht="23.25" x14ac:dyDescent="0.25">
      <c r="A12" s="15" t="s">
        <v>18</v>
      </c>
      <c r="B12" s="52">
        <v>650</v>
      </c>
      <c r="C12" s="17" t="s">
        <v>28</v>
      </c>
      <c r="E12" s="31"/>
      <c r="F12" s="26" t="s">
        <v>9</v>
      </c>
      <c r="G12" s="27">
        <f>B5*B6*B20*B13</f>
        <v>8400</v>
      </c>
      <c r="H12" s="28">
        <v>0</v>
      </c>
      <c r="J12" s="2" t="s">
        <v>127</v>
      </c>
    </row>
    <row r="13" spans="1:12" x14ac:dyDescent="0.25">
      <c r="A13" s="15" t="s">
        <v>110</v>
      </c>
      <c r="B13" s="52">
        <v>3</v>
      </c>
      <c r="C13" s="17" t="s">
        <v>111</v>
      </c>
      <c r="E13" s="32"/>
      <c r="F13" s="46" t="s">
        <v>13</v>
      </c>
      <c r="G13" s="47">
        <f>SUM(G9:G12)</f>
        <v>40675</v>
      </c>
      <c r="H13" s="48">
        <f>SUM(H9:H12)</f>
        <v>9750</v>
      </c>
      <c r="J13" s="80"/>
      <c r="K13" s="81" t="s">
        <v>0</v>
      </c>
      <c r="L13" s="81"/>
    </row>
    <row r="14" spans="1:12" x14ac:dyDescent="0.25">
      <c r="A14" s="15" t="s">
        <v>16</v>
      </c>
      <c r="B14" s="44">
        <v>1000</v>
      </c>
      <c r="C14" s="17" t="s">
        <v>33</v>
      </c>
      <c r="E14" s="33" t="s">
        <v>3</v>
      </c>
      <c r="F14" s="26" t="s">
        <v>54</v>
      </c>
      <c r="G14" s="36">
        <f>B24</f>
        <v>6800</v>
      </c>
      <c r="H14" s="37">
        <v>0</v>
      </c>
      <c r="J14" s="81" t="s">
        <v>123</v>
      </c>
      <c r="K14" s="82">
        <f>SUM(G4:H6)</f>
        <v>49974</v>
      </c>
      <c r="L14" s="82"/>
    </row>
    <row r="15" spans="1:12" x14ac:dyDescent="0.25">
      <c r="A15" s="15" t="s">
        <v>112</v>
      </c>
      <c r="B15" s="44">
        <v>900</v>
      </c>
      <c r="C15" s="17" t="s">
        <v>113</v>
      </c>
      <c r="E15" s="34"/>
      <c r="F15" s="26" t="s">
        <v>99</v>
      </c>
      <c r="G15" s="38">
        <f>B25</f>
        <v>45000</v>
      </c>
      <c r="H15" s="38"/>
      <c r="J15" s="81" t="s">
        <v>135</v>
      </c>
      <c r="K15" s="82">
        <v>0</v>
      </c>
      <c r="L15" s="82"/>
    </row>
    <row r="16" spans="1:12" x14ac:dyDescent="0.25">
      <c r="A16" s="15" t="s">
        <v>114</v>
      </c>
      <c r="B16" s="44">
        <v>3500</v>
      </c>
      <c r="C16" s="17" t="s">
        <v>115</v>
      </c>
      <c r="E16" s="34"/>
      <c r="F16" s="45" t="s">
        <v>62</v>
      </c>
      <c r="G16" s="38">
        <f>B23*B7</f>
        <v>12180</v>
      </c>
      <c r="H16" s="39"/>
      <c r="J16" s="81" t="s">
        <v>124</v>
      </c>
      <c r="K16" s="82">
        <f>SUM(G10:H10)</f>
        <v>9750</v>
      </c>
      <c r="L16" s="82"/>
    </row>
    <row r="17" spans="1:20" ht="15.75" thickBot="1" x14ac:dyDescent="0.3">
      <c r="A17" s="15" t="s">
        <v>21</v>
      </c>
      <c r="B17" s="44">
        <v>950</v>
      </c>
      <c r="C17" s="17" t="s">
        <v>31</v>
      </c>
      <c r="E17" s="35"/>
      <c r="F17" s="49" t="s">
        <v>13</v>
      </c>
      <c r="G17" s="54">
        <f>SUM(G14:G16)</f>
        <v>63980</v>
      </c>
      <c r="H17" s="55">
        <f>SUM(H14:H16)</f>
        <v>0</v>
      </c>
      <c r="J17" s="81" t="s">
        <v>3</v>
      </c>
      <c r="K17" s="83">
        <f>SUM(G14:H15)</f>
        <v>51800</v>
      </c>
      <c r="L17" s="83"/>
    </row>
    <row r="18" spans="1:20" x14ac:dyDescent="0.25">
      <c r="A18" s="15" t="s">
        <v>17</v>
      </c>
      <c r="B18" s="44">
        <v>19.5</v>
      </c>
      <c r="C18" s="17" t="s">
        <v>32</v>
      </c>
      <c r="J18" s="81" t="s">
        <v>62</v>
      </c>
      <c r="K18" s="83">
        <f>SUM(G16:H16)</f>
        <v>12180</v>
      </c>
      <c r="L18" s="83"/>
    </row>
    <row r="19" spans="1:20" x14ac:dyDescent="0.25">
      <c r="A19" s="15" t="s">
        <v>116</v>
      </c>
      <c r="B19" s="44">
        <v>1400</v>
      </c>
      <c r="C19" s="17" t="s">
        <v>117</v>
      </c>
      <c r="J19" s="81" t="s">
        <v>128</v>
      </c>
      <c r="K19" s="84">
        <f>SUM(K14:K18)</f>
        <v>123704</v>
      </c>
      <c r="L19" s="83"/>
    </row>
    <row r="20" spans="1:20" ht="30" x14ac:dyDescent="0.25">
      <c r="A20" s="15" t="s">
        <v>29</v>
      </c>
      <c r="B20" s="13">
        <v>200</v>
      </c>
      <c r="C20" s="17" t="s">
        <v>30</v>
      </c>
      <c r="J20" s="81" t="s">
        <v>129</v>
      </c>
      <c r="K20" s="83">
        <f>K19/Notas!$C$10</f>
        <v>6442.916666666667</v>
      </c>
      <c r="L20" s="83"/>
    </row>
    <row r="21" spans="1:20" x14ac:dyDescent="0.25">
      <c r="A21" s="15" t="s">
        <v>92</v>
      </c>
      <c r="B21" s="13">
        <v>1200</v>
      </c>
      <c r="C21" s="17" t="s">
        <v>34</v>
      </c>
    </row>
    <row r="22" spans="1:20" x14ac:dyDescent="0.25">
      <c r="A22" s="15" t="s">
        <v>93</v>
      </c>
      <c r="B22" s="13">
        <v>725</v>
      </c>
      <c r="C22" s="17" t="s">
        <v>94</v>
      </c>
    </row>
    <row r="23" spans="1:20" ht="30" x14ac:dyDescent="0.25">
      <c r="A23" s="15" t="s">
        <v>36</v>
      </c>
      <c r="B23" s="13">
        <v>1740</v>
      </c>
      <c r="C23" s="17" t="s">
        <v>35</v>
      </c>
    </row>
    <row r="24" spans="1:20" ht="30" x14ac:dyDescent="0.25">
      <c r="A24" s="15" t="s">
        <v>55</v>
      </c>
      <c r="B24" s="14">
        <f>SUM(B35)</f>
        <v>6800</v>
      </c>
      <c r="C24" s="17" t="s">
        <v>95</v>
      </c>
    </row>
    <row r="25" spans="1:20" ht="23.25" x14ac:dyDescent="0.25">
      <c r="A25" s="15" t="s">
        <v>96</v>
      </c>
      <c r="B25" s="14">
        <f>SUM(B43)</f>
        <v>45000</v>
      </c>
      <c r="C25" s="17" t="s">
        <v>97</v>
      </c>
    </row>
    <row r="26" spans="1:20" x14ac:dyDescent="0.25">
      <c r="G26" s="1"/>
      <c r="H26" s="1"/>
    </row>
    <row r="28" spans="1:20" ht="30" x14ac:dyDescent="0.25">
      <c r="A28" s="21" t="s">
        <v>56</v>
      </c>
      <c r="B28" s="20" t="s">
        <v>49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5" t="s">
        <v>37</v>
      </c>
      <c r="B29" s="6">
        <v>3000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5" t="s">
        <v>38</v>
      </c>
      <c r="B30" s="6">
        <v>500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5" t="s">
        <v>98</v>
      </c>
      <c r="B31" s="6">
        <v>1800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5" t="s">
        <v>65</v>
      </c>
      <c r="B32" s="6">
        <v>1500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5"/>
      <c r="B33" s="6"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5"/>
      <c r="B34" s="6"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thickBot="1" x14ac:dyDescent="0.3">
      <c r="A35" s="8" t="s">
        <v>13</v>
      </c>
      <c r="B35" s="9">
        <f>SUM(B29:B34)</f>
        <v>6800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thickTop="1" x14ac:dyDescent="0.25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30" x14ac:dyDescent="0.25">
      <c r="A37" s="21" t="s">
        <v>99</v>
      </c>
      <c r="B37" s="20" t="s">
        <v>49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5" t="s">
        <v>48</v>
      </c>
      <c r="B38" s="6">
        <v>35000</v>
      </c>
      <c r="C38" s="77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5" t="s">
        <v>11</v>
      </c>
      <c r="B39" s="6">
        <v>7000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5" t="s">
        <v>63</v>
      </c>
      <c r="B40" s="6">
        <v>3000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5"/>
      <c r="B41" s="6"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5"/>
      <c r="B42" s="6"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thickBot="1" x14ac:dyDescent="0.3">
      <c r="A43" s="8" t="s">
        <v>13</v>
      </c>
      <c r="B43" s="9">
        <f>SUM(B37:B42)</f>
        <v>45000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thickTop="1" x14ac:dyDescent="0.25"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25"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0:20" x14ac:dyDescent="0.25"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0:20" x14ac:dyDescent="0.25"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0:20" x14ac:dyDescent="0.25"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0:20" x14ac:dyDescent="0.25"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0:20" x14ac:dyDescent="0.25"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0:20" x14ac:dyDescent="0.25"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H20" sqref="H20"/>
    </sheetView>
  </sheetViews>
  <sheetFormatPr defaultRowHeight="15" x14ac:dyDescent="0.25"/>
  <cols>
    <col min="1" max="1" width="31.140625" customWidth="1"/>
    <col min="2" max="2" width="16.85546875" customWidth="1"/>
    <col min="3" max="3" width="32.42578125" style="4" customWidth="1"/>
    <col min="4" max="4" width="5.5703125" customWidth="1"/>
    <col min="5" max="5" width="15.85546875" customWidth="1"/>
    <col min="6" max="6" width="25.7109375" customWidth="1"/>
    <col min="7" max="7" width="12.5703125" bestFit="1" customWidth="1"/>
    <col min="8" max="8" width="14.85546875" customWidth="1"/>
    <col min="11" max="12" width="12.5703125" bestFit="1" customWidth="1"/>
  </cols>
  <sheetData>
    <row r="1" spans="1:12" x14ac:dyDescent="0.25">
      <c r="A1" s="18" t="s">
        <v>0</v>
      </c>
      <c r="B1" s="16" t="s">
        <v>41</v>
      </c>
      <c r="C1" s="19" t="s">
        <v>22</v>
      </c>
      <c r="E1" s="23"/>
      <c r="F1" s="24"/>
      <c r="G1" s="40" t="s">
        <v>100</v>
      </c>
      <c r="H1" s="42" t="s">
        <v>100</v>
      </c>
    </row>
    <row r="2" spans="1:12" x14ac:dyDescent="0.25">
      <c r="A2" s="15" t="s">
        <v>1</v>
      </c>
      <c r="B2" s="12">
        <v>1</v>
      </c>
      <c r="C2" s="17" t="s">
        <v>23</v>
      </c>
      <c r="E2" s="25"/>
      <c r="F2" s="22"/>
      <c r="G2" s="41" t="s">
        <v>4</v>
      </c>
      <c r="H2" s="43" t="s">
        <v>0</v>
      </c>
      <c r="J2" s="2" t="s">
        <v>136</v>
      </c>
    </row>
    <row r="3" spans="1:12" ht="30" x14ac:dyDescent="0.25">
      <c r="A3" s="15" t="s">
        <v>2</v>
      </c>
      <c r="B3" s="12">
        <v>74.760000000000005</v>
      </c>
      <c r="C3" s="17" t="s">
        <v>101</v>
      </c>
      <c r="E3" s="30" t="s">
        <v>12</v>
      </c>
      <c r="F3" s="26" t="s">
        <v>52</v>
      </c>
      <c r="G3" s="27">
        <f>(B5*B21)+(B5*B22)</f>
        <v>11550</v>
      </c>
      <c r="H3" s="28">
        <v>0</v>
      </c>
      <c r="J3" s="80"/>
      <c r="K3" s="81" t="s">
        <v>4</v>
      </c>
      <c r="L3" s="81" t="s">
        <v>0</v>
      </c>
    </row>
    <row r="4" spans="1:12" ht="23.25" customHeight="1" x14ac:dyDescent="0.25">
      <c r="A4" s="15" t="s">
        <v>102</v>
      </c>
      <c r="B4" s="52">
        <v>4</v>
      </c>
      <c r="C4" s="17" t="s">
        <v>103</v>
      </c>
      <c r="E4" s="31"/>
      <c r="F4" s="26" t="s">
        <v>5</v>
      </c>
      <c r="G4" s="27">
        <f>B7*B14*B4</f>
        <v>24000</v>
      </c>
      <c r="H4" s="28">
        <v>0</v>
      </c>
      <c r="J4" s="81" t="s">
        <v>123</v>
      </c>
      <c r="K4" s="82">
        <f>SUM(G3:G6)</f>
        <v>43950</v>
      </c>
      <c r="L4" s="82">
        <f>SUM(H3:H6)</f>
        <v>0</v>
      </c>
    </row>
    <row r="5" spans="1:12" ht="23.25" x14ac:dyDescent="0.25">
      <c r="A5" s="15" t="s">
        <v>104</v>
      </c>
      <c r="B5" s="52">
        <v>6</v>
      </c>
      <c r="C5" s="17" t="s">
        <v>105</v>
      </c>
      <c r="E5" s="31"/>
      <c r="F5" s="26" t="s">
        <v>106</v>
      </c>
      <c r="G5" s="27">
        <f>B8*B15*B4</f>
        <v>6800</v>
      </c>
      <c r="H5" s="28">
        <v>0</v>
      </c>
      <c r="J5" s="81" t="s">
        <v>135</v>
      </c>
      <c r="K5" s="82">
        <f>G7</f>
        <v>6800</v>
      </c>
      <c r="L5" s="82">
        <f>H7</f>
        <v>0</v>
      </c>
    </row>
    <row r="6" spans="1:12" ht="23.25" x14ac:dyDescent="0.25">
      <c r="A6" s="15" t="s">
        <v>50</v>
      </c>
      <c r="B6" s="12">
        <v>2</v>
      </c>
      <c r="C6" s="17" t="s">
        <v>51</v>
      </c>
      <c r="E6" s="31"/>
      <c r="F6" s="26" t="s">
        <v>53</v>
      </c>
      <c r="G6" s="27">
        <f>B10*B17*B4</f>
        <v>1600</v>
      </c>
      <c r="H6" s="29"/>
      <c r="J6" s="81" t="s">
        <v>124</v>
      </c>
      <c r="K6" s="82">
        <f>SUM(G9:G10)</f>
        <v>9232.2000000000007</v>
      </c>
      <c r="L6" s="82">
        <f>SUM(H9:H10)</f>
        <v>0</v>
      </c>
    </row>
    <row r="7" spans="1:12" x14ac:dyDescent="0.25">
      <c r="A7" s="15" t="s">
        <v>14</v>
      </c>
      <c r="B7" s="12">
        <v>6</v>
      </c>
      <c r="C7" s="17" t="s">
        <v>24</v>
      </c>
      <c r="E7" s="31"/>
      <c r="F7" s="26" t="s">
        <v>107</v>
      </c>
      <c r="G7" s="59">
        <f>B9*B16*B4</f>
        <v>6800</v>
      </c>
      <c r="H7" s="28"/>
      <c r="J7" s="81" t="s">
        <v>73</v>
      </c>
      <c r="K7" s="82">
        <f>G11</f>
        <v>6000</v>
      </c>
      <c r="L7" s="82">
        <f>H11</f>
        <v>0</v>
      </c>
    </row>
    <row r="8" spans="1:12" x14ac:dyDescent="0.25">
      <c r="A8" s="15" t="s">
        <v>15</v>
      </c>
      <c r="B8" s="12">
        <v>2</v>
      </c>
      <c r="C8" s="17" t="s">
        <v>25</v>
      </c>
      <c r="E8" s="32"/>
      <c r="F8" s="46" t="s">
        <v>13</v>
      </c>
      <c r="G8" s="47">
        <f>SUM(G3:G7)</f>
        <v>50750</v>
      </c>
      <c r="H8" s="48">
        <f>SUM(H4:H7)</f>
        <v>0</v>
      </c>
      <c r="J8" s="81" t="s">
        <v>125</v>
      </c>
      <c r="K8" s="82">
        <f>G12</f>
        <v>7200</v>
      </c>
      <c r="L8" s="82">
        <f>H12</f>
        <v>0</v>
      </c>
    </row>
    <row r="9" spans="1:12" x14ac:dyDescent="0.25">
      <c r="A9" s="15" t="s">
        <v>19</v>
      </c>
      <c r="B9" s="12">
        <v>2</v>
      </c>
      <c r="C9" s="17" t="s">
        <v>26</v>
      </c>
      <c r="E9" s="30" t="s">
        <v>86</v>
      </c>
      <c r="F9" s="26" t="s">
        <v>6</v>
      </c>
      <c r="G9" s="27">
        <f>B12*B18</f>
        <v>3612.6</v>
      </c>
      <c r="H9" s="28"/>
      <c r="J9" s="81" t="s">
        <v>3</v>
      </c>
      <c r="K9" s="83">
        <f>SUM(G14:G15)</f>
        <v>22100</v>
      </c>
      <c r="L9" s="83">
        <f>SUM(H14:H15)</f>
        <v>0</v>
      </c>
    </row>
    <row r="10" spans="1:12" ht="34.5" x14ac:dyDescent="0.25">
      <c r="A10" s="15" t="s">
        <v>20</v>
      </c>
      <c r="B10" s="12">
        <v>1</v>
      </c>
      <c r="C10" s="17" t="s">
        <v>27</v>
      </c>
      <c r="E10" s="31"/>
      <c r="F10" s="26" t="s">
        <v>7</v>
      </c>
      <c r="G10" s="27">
        <f>B11*B9*B18*B4</f>
        <v>5619.6</v>
      </c>
      <c r="H10" s="28"/>
      <c r="J10" s="81" t="s">
        <v>62</v>
      </c>
      <c r="K10" s="83">
        <f>G16</f>
        <v>10440</v>
      </c>
      <c r="L10" s="83">
        <f>H16</f>
        <v>0</v>
      </c>
    </row>
    <row r="11" spans="1:12" ht="30" x14ac:dyDescent="0.25">
      <c r="A11" s="15" t="s">
        <v>108</v>
      </c>
      <c r="B11" s="52">
        <v>35</v>
      </c>
      <c r="C11" s="17" t="s">
        <v>109</v>
      </c>
      <c r="E11" s="31"/>
      <c r="F11" s="26" t="s">
        <v>8</v>
      </c>
      <c r="G11" s="27">
        <f>B5*B19*B6</f>
        <v>6000</v>
      </c>
      <c r="H11" s="28"/>
    </row>
    <row r="12" spans="1:12" ht="23.25" x14ac:dyDescent="0.25">
      <c r="A12" s="15" t="s">
        <v>18</v>
      </c>
      <c r="B12" s="52">
        <v>180</v>
      </c>
      <c r="C12" s="17" t="s">
        <v>28</v>
      </c>
      <c r="E12" s="31"/>
      <c r="F12" s="26" t="s">
        <v>9</v>
      </c>
      <c r="G12" s="27">
        <f>B5*B6*B20*B13</f>
        <v>7200</v>
      </c>
      <c r="H12" s="28"/>
      <c r="J12" s="2" t="s">
        <v>127</v>
      </c>
    </row>
    <row r="13" spans="1:12" ht="23.25" x14ac:dyDescent="0.25">
      <c r="A13" s="15" t="s">
        <v>110</v>
      </c>
      <c r="B13" s="52">
        <v>3</v>
      </c>
      <c r="C13" s="17" t="s">
        <v>111</v>
      </c>
      <c r="E13" s="32"/>
      <c r="F13" s="46" t="s">
        <v>13</v>
      </c>
      <c r="G13" s="47">
        <f>SUM(G9:G12)</f>
        <v>22432.2</v>
      </c>
      <c r="H13" s="48">
        <f>SUM(H9:H12)</f>
        <v>0</v>
      </c>
      <c r="J13" s="80"/>
      <c r="K13" s="81" t="s">
        <v>0</v>
      </c>
      <c r="L13" s="81"/>
    </row>
    <row r="14" spans="1:12" x14ac:dyDescent="0.25">
      <c r="A14" s="15" t="s">
        <v>16</v>
      </c>
      <c r="B14" s="44">
        <v>1000</v>
      </c>
      <c r="C14" s="17" t="s">
        <v>33</v>
      </c>
      <c r="E14" s="33" t="s">
        <v>3</v>
      </c>
      <c r="F14" s="26" t="s">
        <v>54</v>
      </c>
      <c r="G14" s="36">
        <f>B24</f>
        <v>7100</v>
      </c>
      <c r="H14" s="37"/>
      <c r="J14" s="81" t="s">
        <v>123</v>
      </c>
      <c r="K14" s="82">
        <f>SUM(G4:H6)</f>
        <v>32400</v>
      </c>
      <c r="L14" s="82"/>
    </row>
    <row r="15" spans="1:12" x14ac:dyDescent="0.25">
      <c r="A15" s="15" t="s">
        <v>112</v>
      </c>
      <c r="B15" s="44">
        <v>850</v>
      </c>
      <c r="C15" s="17" t="s">
        <v>113</v>
      </c>
      <c r="E15" s="34"/>
      <c r="F15" s="26" t="s">
        <v>99</v>
      </c>
      <c r="G15" s="38">
        <f>B25</f>
        <v>15000</v>
      </c>
      <c r="H15" s="39"/>
      <c r="J15" s="81" t="s">
        <v>135</v>
      </c>
      <c r="K15" s="82">
        <v>0</v>
      </c>
      <c r="L15" s="82"/>
    </row>
    <row r="16" spans="1:12" x14ac:dyDescent="0.25">
      <c r="A16" s="15" t="s">
        <v>114</v>
      </c>
      <c r="B16" s="44">
        <v>850</v>
      </c>
      <c r="C16" s="17" t="s">
        <v>118</v>
      </c>
      <c r="E16" s="34"/>
      <c r="F16" s="45" t="s">
        <v>62</v>
      </c>
      <c r="G16" s="38">
        <f>(B23*B7)</f>
        <v>10440</v>
      </c>
      <c r="H16" s="39"/>
      <c r="J16" s="81" t="s">
        <v>124</v>
      </c>
      <c r="K16" s="82">
        <f>SUM(G10:H10)</f>
        <v>5619.6</v>
      </c>
      <c r="L16" s="82"/>
    </row>
    <row r="17" spans="1:12" ht="15.75" thickBot="1" x14ac:dyDescent="0.3">
      <c r="A17" s="15" t="s">
        <v>21</v>
      </c>
      <c r="B17" s="44">
        <v>400</v>
      </c>
      <c r="C17" s="17" t="s">
        <v>31</v>
      </c>
      <c r="E17" s="35"/>
      <c r="F17" s="49" t="s">
        <v>13</v>
      </c>
      <c r="G17" s="50">
        <f>SUM(G14:G16)</f>
        <v>32540</v>
      </c>
      <c r="H17" s="51">
        <f>SUM(H14:H16)</f>
        <v>0</v>
      </c>
      <c r="J17" s="81" t="s">
        <v>3</v>
      </c>
      <c r="K17" s="83">
        <f>SUM(G14:H15)</f>
        <v>22100</v>
      </c>
      <c r="L17" s="83"/>
    </row>
    <row r="18" spans="1:12" x14ac:dyDescent="0.25">
      <c r="A18" s="15" t="s">
        <v>17</v>
      </c>
      <c r="B18" s="44">
        <v>20.07</v>
      </c>
      <c r="C18" s="17" t="s">
        <v>32</v>
      </c>
      <c r="J18" s="81" t="s">
        <v>62</v>
      </c>
      <c r="K18" s="83">
        <f>SUM(G16:H16)</f>
        <v>10440</v>
      </c>
      <c r="L18" s="83"/>
    </row>
    <row r="19" spans="1:12" x14ac:dyDescent="0.25">
      <c r="A19" s="15" t="s">
        <v>116</v>
      </c>
      <c r="B19" s="44">
        <v>500</v>
      </c>
      <c r="C19" s="17" t="s">
        <v>117</v>
      </c>
      <c r="J19" s="81" t="s">
        <v>128</v>
      </c>
      <c r="K19" s="84">
        <f>SUM(K14:K18)</f>
        <v>70559.600000000006</v>
      </c>
      <c r="L19" s="83"/>
    </row>
    <row r="20" spans="1:12" ht="30" x14ac:dyDescent="0.25">
      <c r="A20" s="15" t="s">
        <v>29</v>
      </c>
      <c r="B20" s="44">
        <v>200</v>
      </c>
      <c r="C20" s="17" t="s">
        <v>30</v>
      </c>
      <c r="J20" s="81" t="s">
        <v>129</v>
      </c>
      <c r="K20" s="83">
        <f>K19/Notas!$C$10</f>
        <v>3674.979166666667</v>
      </c>
      <c r="L20" s="83"/>
    </row>
    <row r="21" spans="1:12" x14ac:dyDescent="0.25">
      <c r="A21" s="15" t="s">
        <v>92</v>
      </c>
      <c r="B21" s="13">
        <v>1200</v>
      </c>
      <c r="C21" s="17" t="s">
        <v>34</v>
      </c>
    </row>
    <row r="22" spans="1:12" x14ac:dyDescent="0.25">
      <c r="A22" s="15" t="s">
        <v>93</v>
      </c>
      <c r="B22" s="13">
        <v>725</v>
      </c>
      <c r="C22" s="17" t="s">
        <v>94</v>
      </c>
    </row>
    <row r="23" spans="1:12" ht="30" x14ac:dyDescent="0.25">
      <c r="A23" s="15" t="s">
        <v>36</v>
      </c>
      <c r="B23" s="13">
        <v>1740</v>
      </c>
      <c r="C23" s="17" t="s">
        <v>35</v>
      </c>
    </row>
    <row r="24" spans="1:12" ht="30" x14ac:dyDescent="0.25">
      <c r="A24" s="15" t="s">
        <v>55</v>
      </c>
      <c r="B24" s="14">
        <f>SUM(B40)</f>
        <v>7100</v>
      </c>
      <c r="C24" s="17" t="s">
        <v>95</v>
      </c>
    </row>
    <row r="25" spans="1:12" ht="23.25" x14ac:dyDescent="0.25">
      <c r="A25" s="15" t="s">
        <v>96</v>
      </c>
      <c r="B25" s="14">
        <f>SUM(B53)</f>
        <v>15000</v>
      </c>
      <c r="C25" s="17" t="s">
        <v>97</v>
      </c>
    </row>
    <row r="26" spans="1:12" x14ac:dyDescent="0.25">
      <c r="G26" s="1"/>
      <c r="H26" s="1"/>
    </row>
    <row r="28" spans="1:12" s="4" customFormat="1" ht="26.25" customHeight="1" x14ac:dyDescent="0.25">
      <c r="A28" s="21" t="s">
        <v>56</v>
      </c>
      <c r="B28" s="53" t="s">
        <v>49</v>
      </c>
      <c r="D28"/>
      <c r="E28"/>
      <c r="F28"/>
      <c r="G28"/>
      <c r="H28"/>
    </row>
    <row r="29" spans="1:12" s="4" customFormat="1" x14ac:dyDescent="0.25">
      <c r="A29" s="5" t="s">
        <v>37</v>
      </c>
      <c r="B29" s="6">
        <v>1900</v>
      </c>
      <c r="D29"/>
      <c r="E29"/>
      <c r="F29"/>
      <c r="G29"/>
      <c r="H29"/>
    </row>
    <row r="30" spans="1:12" s="4" customFormat="1" x14ac:dyDescent="0.25">
      <c r="A30" s="5" t="s">
        <v>38</v>
      </c>
      <c r="B30" s="6">
        <v>500</v>
      </c>
      <c r="D30"/>
      <c r="E30"/>
      <c r="F30"/>
      <c r="G30"/>
      <c r="H30"/>
    </row>
    <row r="31" spans="1:12" s="4" customFormat="1" x14ac:dyDescent="0.25">
      <c r="A31" s="5" t="s">
        <v>98</v>
      </c>
      <c r="B31" s="6">
        <v>2200</v>
      </c>
      <c r="D31"/>
      <c r="E31"/>
      <c r="F31"/>
      <c r="G31"/>
      <c r="H31"/>
    </row>
    <row r="32" spans="1:12" s="4" customFormat="1" x14ac:dyDescent="0.25">
      <c r="A32" s="5" t="s">
        <v>64</v>
      </c>
      <c r="B32" s="6">
        <v>1000</v>
      </c>
      <c r="D32"/>
      <c r="E32"/>
      <c r="F32"/>
      <c r="G32"/>
      <c r="H32"/>
    </row>
    <row r="33" spans="1:8" s="4" customFormat="1" x14ac:dyDescent="0.25">
      <c r="A33" s="5" t="s">
        <v>65</v>
      </c>
      <c r="B33" s="6">
        <v>1500</v>
      </c>
      <c r="D33"/>
      <c r="E33"/>
      <c r="F33"/>
      <c r="G33"/>
      <c r="H33"/>
    </row>
    <row r="34" spans="1:8" s="4" customFormat="1" x14ac:dyDescent="0.25">
      <c r="A34" s="5"/>
      <c r="B34" s="6">
        <v>0</v>
      </c>
      <c r="D34"/>
      <c r="E34"/>
      <c r="F34"/>
      <c r="G34"/>
      <c r="H34"/>
    </row>
    <row r="35" spans="1:8" s="4" customFormat="1" x14ac:dyDescent="0.25">
      <c r="A35" s="5"/>
      <c r="B35" s="6">
        <v>0</v>
      </c>
      <c r="D35"/>
      <c r="E35"/>
      <c r="F35"/>
      <c r="G35"/>
      <c r="H35"/>
    </row>
    <row r="36" spans="1:8" s="4" customFormat="1" x14ac:dyDescent="0.25">
      <c r="A36" s="5"/>
      <c r="B36" s="6">
        <v>0</v>
      </c>
      <c r="D36"/>
      <c r="E36"/>
      <c r="F36"/>
      <c r="G36"/>
      <c r="H36"/>
    </row>
    <row r="37" spans="1:8" s="4" customFormat="1" x14ac:dyDescent="0.25">
      <c r="A37" s="5"/>
      <c r="B37" s="6">
        <v>0</v>
      </c>
      <c r="D37"/>
      <c r="E37"/>
      <c r="F37"/>
      <c r="G37"/>
      <c r="H37"/>
    </row>
    <row r="38" spans="1:8" s="4" customFormat="1" x14ac:dyDescent="0.25">
      <c r="A38" s="5"/>
      <c r="B38" s="6">
        <v>0</v>
      </c>
      <c r="D38"/>
      <c r="E38"/>
      <c r="F38"/>
      <c r="G38"/>
      <c r="H38"/>
    </row>
    <row r="39" spans="1:8" s="4" customFormat="1" x14ac:dyDescent="0.25">
      <c r="A39" s="5"/>
      <c r="B39" s="6">
        <v>0</v>
      </c>
      <c r="D39"/>
      <c r="E39"/>
      <c r="F39"/>
      <c r="G39"/>
      <c r="H39"/>
    </row>
    <row r="40" spans="1:8" s="4" customFormat="1" ht="15.75" thickBot="1" x14ac:dyDescent="0.3">
      <c r="A40" s="8" t="s">
        <v>13</v>
      </c>
      <c r="B40" s="9">
        <f>SUM(B29:B39)</f>
        <v>7100</v>
      </c>
      <c r="D40"/>
      <c r="E40"/>
      <c r="F40"/>
      <c r="G40"/>
      <c r="H40"/>
    </row>
    <row r="41" spans="1:8" s="4" customFormat="1" ht="15.75" thickTop="1" x14ac:dyDescent="0.25">
      <c r="A41"/>
      <c r="B41"/>
      <c r="D41"/>
      <c r="E41"/>
      <c r="F41"/>
      <c r="G41"/>
      <c r="H41"/>
    </row>
    <row r="42" spans="1:8" s="4" customFormat="1" ht="30" x14ac:dyDescent="0.25">
      <c r="A42" s="21" t="s">
        <v>99</v>
      </c>
      <c r="B42" s="53" t="s">
        <v>49</v>
      </c>
      <c r="D42"/>
      <c r="E42"/>
      <c r="F42"/>
      <c r="G42"/>
      <c r="H42"/>
    </row>
    <row r="43" spans="1:8" s="4" customFormat="1" x14ac:dyDescent="0.25">
      <c r="A43" s="5" t="s">
        <v>47</v>
      </c>
      <c r="B43" s="6">
        <v>1500</v>
      </c>
      <c r="D43"/>
      <c r="E43"/>
      <c r="F43"/>
      <c r="G43"/>
      <c r="H43"/>
    </row>
    <row r="44" spans="1:8" s="4" customFormat="1" x14ac:dyDescent="0.25">
      <c r="A44" s="5" t="s">
        <v>11</v>
      </c>
      <c r="B44" s="6">
        <v>7000</v>
      </c>
      <c r="D44"/>
      <c r="E44"/>
      <c r="F44"/>
      <c r="G44"/>
      <c r="H44"/>
    </row>
    <row r="45" spans="1:8" s="4" customFormat="1" x14ac:dyDescent="0.25">
      <c r="A45" s="5" t="s">
        <v>48</v>
      </c>
      <c r="B45" s="6">
        <v>4000</v>
      </c>
      <c r="D45"/>
      <c r="E45"/>
      <c r="F45"/>
      <c r="G45"/>
      <c r="H45"/>
    </row>
    <row r="46" spans="1:8" s="4" customFormat="1" x14ac:dyDescent="0.25">
      <c r="A46" s="5" t="s">
        <v>63</v>
      </c>
      <c r="B46" s="6">
        <v>2500</v>
      </c>
      <c r="D46"/>
      <c r="E46"/>
      <c r="F46"/>
      <c r="G46"/>
      <c r="H46"/>
    </row>
    <row r="47" spans="1:8" s="4" customFormat="1" x14ac:dyDescent="0.25">
      <c r="A47" s="5"/>
      <c r="B47" s="6">
        <v>0</v>
      </c>
      <c r="D47"/>
      <c r="E47"/>
      <c r="F47"/>
      <c r="G47"/>
      <c r="H47"/>
    </row>
    <row r="48" spans="1:8" s="4" customFormat="1" x14ac:dyDescent="0.25">
      <c r="A48" s="5"/>
      <c r="B48" s="6">
        <v>0</v>
      </c>
      <c r="D48"/>
      <c r="E48"/>
      <c r="F48"/>
      <c r="G48"/>
      <c r="H48"/>
    </row>
    <row r="49" spans="1:8" s="4" customFormat="1" x14ac:dyDescent="0.25">
      <c r="A49" s="5"/>
      <c r="B49" s="6">
        <v>0</v>
      </c>
      <c r="D49"/>
      <c r="E49"/>
      <c r="F49"/>
      <c r="G49"/>
      <c r="H49"/>
    </row>
    <row r="50" spans="1:8" s="4" customFormat="1" x14ac:dyDescent="0.25">
      <c r="A50" s="5"/>
      <c r="B50" s="6">
        <v>0</v>
      </c>
      <c r="D50"/>
      <c r="E50"/>
      <c r="F50"/>
      <c r="G50"/>
      <c r="H50"/>
    </row>
    <row r="51" spans="1:8" s="4" customFormat="1" x14ac:dyDescent="0.25">
      <c r="A51" s="5"/>
      <c r="B51" s="6">
        <v>0</v>
      </c>
      <c r="D51"/>
      <c r="E51"/>
      <c r="F51"/>
      <c r="G51"/>
      <c r="H51"/>
    </row>
    <row r="52" spans="1:8" s="4" customFormat="1" x14ac:dyDescent="0.25">
      <c r="A52" s="5"/>
      <c r="B52" s="6">
        <v>0</v>
      </c>
      <c r="D52"/>
      <c r="E52"/>
      <c r="F52"/>
      <c r="G52"/>
      <c r="H52"/>
    </row>
    <row r="53" spans="1:8" s="4" customFormat="1" ht="15.75" thickBot="1" x14ac:dyDescent="0.3">
      <c r="A53" s="8" t="s">
        <v>13</v>
      </c>
      <c r="B53" s="9">
        <f>SUM(B42:B52)</f>
        <v>15000</v>
      </c>
      <c r="D53"/>
      <c r="E53"/>
      <c r="F53"/>
      <c r="G53"/>
      <c r="H53"/>
    </row>
    <row r="54" spans="1:8" s="4" customFormat="1" ht="15.75" thickTop="1" x14ac:dyDescent="0.25">
      <c r="A54"/>
      <c r="B54"/>
      <c r="D54"/>
      <c r="E54"/>
      <c r="F54"/>
      <c r="G54"/>
      <c r="H54"/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K15" sqref="K15"/>
    </sheetView>
  </sheetViews>
  <sheetFormatPr defaultRowHeight="15" x14ac:dyDescent="0.25"/>
  <cols>
    <col min="1" max="1" width="31.140625" customWidth="1"/>
    <col min="2" max="2" width="16.85546875" customWidth="1"/>
    <col min="3" max="3" width="32.42578125" style="4" customWidth="1"/>
    <col min="4" max="4" width="5.5703125" customWidth="1"/>
    <col min="5" max="5" width="15.85546875" customWidth="1"/>
    <col min="6" max="6" width="25.7109375" customWidth="1"/>
    <col min="7" max="7" width="12.5703125" bestFit="1" customWidth="1"/>
    <col min="8" max="8" width="14.85546875" customWidth="1"/>
    <col min="11" max="12" width="12.5703125" bestFit="1" customWidth="1"/>
  </cols>
  <sheetData>
    <row r="1" spans="1:12" x14ac:dyDescent="0.25">
      <c r="A1" s="18" t="s">
        <v>0</v>
      </c>
      <c r="B1" s="16" t="s">
        <v>79</v>
      </c>
      <c r="C1" s="19" t="s">
        <v>22</v>
      </c>
      <c r="E1" s="23"/>
      <c r="F1" s="24"/>
      <c r="G1" s="40" t="s">
        <v>100</v>
      </c>
      <c r="H1" s="42" t="s">
        <v>100</v>
      </c>
    </row>
    <row r="2" spans="1:12" x14ac:dyDescent="0.25">
      <c r="A2" s="15" t="s">
        <v>1</v>
      </c>
      <c r="B2" s="12">
        <v>3</v>
      </c>
      <c r="C2" s="17" t="s">
        <v>23</v>
      </c>
      <c r="E2" s="25"/>
      <c r="F2" s="22"/>
      <c r="G2" s="41" t="s">
        <v>4</v>
      </c>
      <c r="H2" s="43" t="s">
        <v>0</v>
      </c>
      <c r="J2" s="2" t="s">
        <v>136</v>
      </c>
    </row>
    <row r="3" spans="1:12" ht="30" x14ac:dyDescent="0.25">
      <c r="A3" s="15" t="s">
        <v>2</v>
      </c>
      <c r="B3" s="12">
        <v>138</v>
      </c>
      <c r="C3" s="17" t="s">
        <v>101</v>
      </c>
      <c r="E3" s="30" t="s">
        <v>12</v>
      </c>
      <c r="F3" s="26" t="s">
        <v>52</v>
      </c>
      <c r="G3" s="27">
        <f>(B5*B21)+(B5*B22)</f>
        <v>11550</v>
      </c>
      <c r="H3" s="28">
        <v>0</v>
      </c>
      <c r="J3" s="80"/>
      <c r="K3" s="81" t="s">
        <v>4</v>
      </c>
      <c r="L3" s="81" t="s">
        <v>0</v>
      </c>
    </row>
    <row r="4" spans="1:12" ht="23.25" customHeight="1" x14ac:dyDescent="0.25">
      <c r="A4" s="15" t="s">
        <v>102</v>
      </c>
      <c r="B4" s="52">
        <v>4</v>
      </c>
      <c r="C4" s="17" t="s">
        <v>103</v>
      </c>
      <c r="E4" s="31"/>
      <c r="F4" s="26" t="s">
        <v>5</v>
      </c>
      <c r="G4" s="27">
        <f>B7*B14*B4</f>
        <v>32000</v>
      </c>
      <c r="H4" s="28">
        <v>0</v>
      </c>
      <c r="J4" s="81" t="s">
        <v>123</v>
      </c>
      <c r="K4" s="82">
        <f>SUM(G3:G6)</f>
        <v>53750</v>
      </c>
      <c r="L4" s="82">
        <f>SUM(H3:H6)</f>
        <v>0</v>
      </c>
    </row>
    <row r="5" spans="1:12" ht="23.25" x14ac:dyDescent="0.25">
      <c r="A5" s="15" t="s">
        <v>104</v>
      </c>
      <c r="B5" s="52">
        <v>6</v>
      </c>
      <c r="C5" s="17" t="s">
        <v>105</v>
      </c>
      <c r="E5" s="31"/>
      <c r="F5" s="26" t="s">
        <v>106</v>
      </c>
      <c r="G5" s="27">
        <f>B8*B15*B4</f>
        <v>10200</v>
      </c>
      <c r="H5" s="28">
        <v>0</v>
      </c>
      <c r="J5" s="81" t="s">
        <v>135</v>
      </c>
      <c r="K5" s="82">
        <f>G7</f>
        <v>10200</v>
      </c>
      <c r="L5" s="82">
        <f>H7</f>
        <v>0</v>
      </c>
    </row>
    <row r="6" spans="1:12" ht="23.25" x14ac:dyDescent="0.25">
      <c r="A6" s="15" t="s">
        <v>50</v>
      </c>
      <c r="B6" s="52">
        <v>2</v>
      </c>
      <c r="C6" s="17" t="s">
        <v>51</v>
      </c>
      <c r="E6" s="31"/>
      <c r="F6" s="26" t="s">
        <v>53</v>
      </c>
      <c r="G6" s="27">
        <f>B10*B17*B4</f>
        <v>0</v>
      </c>
      <c r="H6" s="29"/>
      <c r="J6" s="81" t="s">
        <v>124</v>
      </c>
      <c r="K6" s="82">
        <f>SUM(G9:G10)</f>
        <v>20070</v>
      </c>
      <c r="L6" s="82">
        <f>SUM(H9:H10)</f>
        <v>0</v>
      </c>
    </row>
    <row r="7" spans="1:12" x14ac:dyDescent="0.25">
      <c r="A7" s="15" t="s">
        <v>14</v>
      </c>
      <c r="B7" s="52">
        <v>8</v>
      </c>
      <c r="C7" s="17" t="s">
        <v>24</v>
      </c>
      <c r="E7" s="31"/>
      <c r="F7" s="26" t="s">
        <v>107</v>
      </c>
      <c r="G7" s="59">
        <f>B9*B16*B4</f>
        <v>10200</v>
      </c>
      <c r="H7" s="28"/>
      <c r="J7" s="81" t="s">
        <v>73</v>
      </c>
      <c r="K7" s="82">
        <f>G11</f>
        <v>15312</v>
      </c>
      <c r="L7" s="82">
        <f>H11</f>
        <v>0</v>
      </c>
    </row>
    <row r="8" spans="1:12" x14ac:dyDescent="0.25">
      <c r="A8" s="15" t="s">
        <v>15</v>
      </c>
      <c r="B8" s="52">
        <v>3</v>
      </c>
      <c r="C8" s="17" t="s">
        <v>25</v>
      </c>
      <c r="E8" s="32"/>
      <c r="F8" s="46" t="s">
        <v>13</v>
      </c>
      <c r="G8" s="47">
        <f>SUM(G3:G7)</f>
        <v>63950</v>
      </c>
      <c r="H8" s="48">
        <f>SUM(H4:H7)</f>
        <v>0</v>
      </c>
      <c r="J8" s="81" t="s">
        <v>125</v>
      </c>
      <c r="K8" s="82">
        <f>G12</f>
        <v>20200</v>
      </c>
      <c r="L8" s="82">
        <f>H12</f>
        <v>0</v>
      </c>
    </row>
    <row r="9" spans="1:12" x14ac:dyDescent="0.25">
      <c r="A9" s="15" t="s">
        <v>19</v>
      </c>
      <c r="B9" s="52">
        <v>3</v>
      </c>
      <c r="C9" s="17" t="s">
        <v>26</v>
      </c>
      <c r="E9" s="30" t="s">
        <v>86</v>
      </c>
      <c r="F9" s="26" t="s">
        <v>6</v>
      </c>
      <c r="G9" s="27">
        <f>B12*B18</f>
        <v>2007</v>
      </c>
      <c r="H9" s="28"/>
      <c r="J9" s="81" t="s">
        <v>3</v>
      </c>
      <c r="K9" s="83">
        <f>SUM(G14:G15)</f>
        <v>22500</v>
      </c>
      <c r="L9" s="83">
        <f>SUM(H14:H15)</f>
        <v>0</v>
      </c>
    </row>
    <row r="10" spans="1:12" ht="34.5" x14ac:dyDescent="0.25">
      <c r="A10" s="15" t="s">
        <v>20</v>
      </c>
      <c r="B10" s="52">
        <v>0</v>
      </c>
      <c r="C10" s="17" t="s">
        <v>27</v>
      </c>
      <c r="E10" s="31"/>
      <c r="F10" s="26" t="s">
        <v>7</v>
      </c>
      <c r="G10" s="27">
        <f>B11*B9*B18*B4</f>
        <v>18063</v>
      </c>
      <c r="H10" s="28"/>
      <c r="J10" s="81" t="s">
        <v>62</v>
      </c>
      <c r="K10" s="83">
        <f>G16</f>
        <v>13920</v>
      </c>
      <c r="L10" s="83">
        <f>H16</f>
        <v>0</v>
      </c>
    </row>
    <row r="11" spans="1:12" ht="30" x14ac:dyDescent="0.25">
      <c r="A11" s="15" t="s">
        <v>108</v>
      </c>
      <c r="B11" s="52">
        <v>75</v>
      </c>
      <c r="C11" s="17" t="s">
        <v>109</v>
      </c>
      <c r="E11" s="31"/>
      <c r="F11" s="26" t="s">
        <v>8</v>
      </c>
      <c r="G11" s="85">
        <f>B19</f>
        <v>15312</v>
      </c>
      <c r="H11" s="28"/>
    </row>
    <row r="12" spans="1:12" ht="23.25" x14ac:dyDescent="0.25">
      <c r="A12" s="15" t="s">
        <v>18</v>
      </c>
      <c r="B12" s="52">
        <v>100</v>
      </c>
      <c r="C12" s="17" t="s">
        <v>28</v>
      </c>
      <c r="E12" s="31"/>
      <c r="F12" s="26" t="s">
        <v>9</v>
      </c>
      <c r="G12" s="85">
        <f>B20</f>
        <v>20200</v>
      </c>
      <c r="H12" s="28"/>
      <c r="J12" s="2" t="s">
        <v>127</v>
      </c>
    </row>
    <row r="13" spans="1:12" ht="23.25" x14ac:dyDescent="0.25">
      <c r="A13" s="15" t="s">
        <v>110</v>
      </c>
      <c r="B13" s="52">
        <v>3</v>
      </c>
      <c r="C13" s="17" t="s">
        <v>111</v>
      </c>
      <c r="E13" s="32"/>
      <c r="F13" s="46" t="s">
        <v>13</v>
      </c>
      <c r="G13" s="47">
        <f>SUM(G9:G12)</f>
        <v>55582</v>
      </c>
      <c r="H13" s="48">
        <f>SUM(H9:H12)</f>
        <v>0</v>
      </c>
      <c r="J13" s="80"/>
      <c r="K13" s="81" t="s">
        <v>0</v>
      </c>
      <c r="L13" s="81"/>
    </row>
    <row r="14" spans="1:12" x14ac:dyDescent="0.25">
      <c r="A14" s="15" t="s">
        <v>16</v>
      </c>
      <c r="B14" s="44">
        <v>1000</v>
      </c>
      <c r="C14" s="17" t="s">
        <v>33</v>
      </c>
      <c r="E14" s="33" t="s">
        <v>3</v>
      </c>
      <c r="F14" s="26" t="s">
        <v>54</v>
      </c>
      <c r="G14" s="36">
        <f>B24</f>
        <v>16000</v>
      </c>
      <c r="H14" s="37"/>
      <c r="J14" s="81" t="s">
        <v>123</v>
      </c>
      <c r="K14" s="82">
        <f>SUM(G4:H6)</f>
        <v>42200</v>
      </c>
      <c r="L14" s="82"/>
    </row>
    <row r="15" spans="1:12" x14ac:dyDescent="0.25">
      <c r="A15" s="15" t="s">
        <v>112</v>
      </c>
      <c r="B15" s="44">
        <v>850</v>
      </c>
      <c r="C15" s="17" t="s">
        <v>113</v>
      </c>
      <c r="E15" s="34"/>
      <c r="F15" s="26" t="s">
        <v>99</v>
      </c>
      <c r="G15" s="38">
        <f>B25</f>
        <v>6500</v>
      </c>
      <c r="H15" s="39"/>
      <c r="J15" s="81" t="s">
        <v>135</v>
      </c>
      <c r="K15" s="82">
        <f>SUM(G7:H7)</f>
        <v>10200</v>
      </c>
      <c r="L15" s="82"/>
    </row>
    <row r="16" spans="1:12" x14ac:dyDescent="0.25">
      <c r="A16" s="15" t="s">
        <v>114</v>
      </c>
      <c r="B16" s="44">
        <v>850</v>
      </c>
      <c r="C16" s="17" t="s">
        <v>118</v>
      </c>
      <c r="E16" s="34"/>
      <c r="F16" s="45" t="s">
        <v>62</v>
      </c>
      <c r="G16" s="38">
        <f>(B23*B7)</f>
        <v>13920</v>
      </c>
      <c r="H16" s="39"/>
      <c r="J16" s="81" t="s">
        <v>124</v>
      </c>
      <c r="K16" s="82">
        <f>SUM(G10:H10)</f>
        <v>18063</v>
      </c>
      <c r="L16" s="82"/>
    </row>
    <row r="17" spans="1:12" ht="15.75" thickBot="1" x14ac:dyDescent="0.3">
      <c r="A17" s="15" t="s">
        <v>21</v>
      </c>
      <c r="B17" s="44">
        <v>0</v>
      </c>
      <c r="C17" s="17" t="s">
        <v>31</v>
      </c>
      <c r="E17" s="35"/>
      <c r="F17" s="49" t="s">
        <v>13</v>
      </c>
      <c r="G17" s="50">
        <f>SUM(G14:G16)</f>
        <v>36420</v>
      </c>
      <c r="H17" s="51">
        <f>SUM(H14:H16)</f>
        <v>0</v>
      </c>
      <c r="J17" s="81" t="s">
        <v>3</v>
      </c>
      <c r="K17" s="83">
        <f>SUM(G14:H15)</f>
        <v>22500</v>
      </c>
      <c r="L17" s="83"/>
    </row>
    <row r="18" spans="1:12" x14ac:dyDescent="0.25">
      <c r="A18" s="15" t="s">
        <v>17</v>
      </c>
      <c r="B18" s="44">
        <v>20.07</v>
      </c>
      <c r="C18" s="17" t="s">
        <v>32</v>
      </c>
      <c r="J18" s="81" t="s">
        <v>62</v>
      </c>
      <c r="K18" s="83">
        <f>SUM(G16:H16)</f>
        <v>13920</v>
      </c>
      <c r="L18" s="83"/>
    </row>
    <row r="19" spans="1:12" ht="23.25" x14ac:dyDescent="0.25">
      <c r="A19" s="15" t="s">
        <v>116</v>
      </c>
      <c r="B19" s="44">
        <v>15312</v>
      </c>
      <c r="C19" s="17" t="s">
        <v>134</v>
      </c>
      <c r="J19" s="81" t="s">
        <v>128</v>
      </c>
      <c r="K19" s="84">
        <f>SUM(K14:K18)</f>
        <v>106883</v>
      </c>
      <c r="L19" s="83"/>
    </row>
    <row r="20" spans="1:12" ht="23.25" x14ac:dyDescent="0.25">
      <c r="A20" s="15" t="s">
        <v>132</v>
      </c>
      <c r="B20" s="44">
        <v>20200</v>
      </c>
      <c r="C20" s="17" t="s">
        <v>133</v>
      </c>
      <c r="J20" s="81" t="s">
        <v>129</v>
      </c>
      <c r="K20" s="83">
        <f>K19/Notas!$C$10</f>
        <v>5566.822916666667</v>
      </c>
      <c r="L20" s="83"/>
    </row>
    <row r="21" spans="1:12" x14ac:dyDescent="0.25">
      <c r="A21" s="15" t="s">
        <v>92</v>
      </c>
      <c r="B21" s="13">
        <v>1200</v>
      </c>
      <c r="C21" s="17" t="s">
        <v>34</v>
      </c>
    </row>
    <row r="22" spans="1:12" x14ac:dyDescent="0.25">
      <c r="A22" s="15" t="s">
        <v>93</v>
      </c>
      <c r="B22" s="13">
        <v>725</v>
      </c>
      <c r="C22" s="17" t="s">
        <v>94</v>
      </c>
    </row>
    <row r="23" spans="1:12" ht="30" x14ac:dyDescent="0.25">
      <c r="A23" s="15" t="s">
        <v>36</v>
      </c>
      <c r="B23" s="13">
        <v>1740</v>
      </c>
      <c r="C23" s="17" t="s">
        <v>35</v>
      </c>
    </row>
    <row r="24" spans="1:12" ht="30" x14ac:dyDescent="0.25">
      <c r="A24" s="15" t="s">
        <v>55</v>
      </c>
      <c r="B24" s="14">
        <f>SUM(B40)</f>
        <v>16000</v>
      </c>
      <c r="C24" s="17" t="s">
        <v>95</v>
      </c>
    </row>
    <row r="25" spans="1:12" ht="23.25" x14ac:dyDescent="0.25">
      <c r="A25" s="15" t="s">
        <v>96</v>
      </c>
      <c r="B25" s="14">
        <f>SUM(B53)</f>
        <v>6500</v>
      </c>
      <c r="C25" s="17" t="s">
        <v>97</v>
      </c>
    </row>
    <row r="26" spans="1:12" x14ac:dyDescent="0.25">
      <c r="G26" s="1"/>
      <c r="H26" s="1"/>
    </row>
    <row r="28" spans="1:12" s="4" customFormat="1" ht="26.25" customHeight="1" x14ac:dyDescent="0.25">
      <c r="A28" s="21" t="s">
        <v>56</v>
      </c>
      <c r="B28" s="53" t="s">
        <v>49</v>
      </c>
      <c r="D28"/>
      <c r="E28"/>
      <c r="F28"/>
      <c r="G28"/>
      <c r="H28"/>
    </row>
    <row r="29" spans="1:12" s="4" customFormat="1" x14ac:dyDescent="0.25">
      <c r="A29" s="5" t="s">
        <v>37</v>
      </c>
      <c r="B29" s="6">
        <v>0</v>
      </c>
      <c r="D29"/>
      <c r="E29"/>
      <c r="F29"/>
      <c r="G29"/>
      <c r="H29"/>
    </row>
    <row r="30" spans="1:12" s="4" customFormat="1" x14ac:dyDescent="0.25">
      <c r="A30" s="5" t="s">
        <v>38</v>
      </c>
      <c r="B30" s="6">
        <v>500</v>
      </c>
      <c r="D30"/>
      <c r="E30"/>
      <c r="F30"/>
      <c r="G30"/>
      <c r="H30"/>
    </row>
    <row r="31" spans="1:12" s="4" customFormat="1" x14ac:dyDescent="0.25">
      <c r="A31" s="5" t="s">
        <v>98</v>
      </c>
      <c r="B31" s="6">
        <v>0</v>
      </c>
      <c r="D31"/>
      <c r="E31"/>
      <c r="F31"/>
      <c r="G31"/>
      <c r="H31"/>
    </row>
    <row r="32" spans="1:12" s="4" customFormat="1" x14ac:dyDescent="0.25">
      <c r="A32" s="5" t="s">
        <v>64</v>
      </c>
      <c r="B32" s="6">
        <v>1000</v>
      </c>
      <c r="D32"/>
      <c r="E32"/>
      <c r="F32"/>
      <c r="G32"/>
      <c r="H32"/>
    </row>
    <row r="33" spans="1:8" s="4" customFormat="1" x14ac:dyDescent="0.25">
      <c r="A33" s="5" t="s">
        <v>65</v>
      </c>
      <c r="B33" s="6">
        <v>1500</v>
      </c>
      <c r="D33"/>
      <c r="E33"/>
      <c r="F33"/>
      <c r="G33"/>
      <c r="H33"/>
    </row>
    <row r="34" spans="1:8" s="4" customFormat="1" x14ac:dyDescent="0.25">
      <c r="A34" s="5" t="s">
        <v>131</v>
      </c>
      <c r="B34" s="6">
        <v>13000</v>
      </c>
      <c r="D34"/>
      <c r="E34"/>
      <c r="F34"/>
      <c r="G34"/>
      <c r="H34"/>
    </row>
    <row r="35" spans="1:8" s="4" customFormat="1" x14ac:dyDescent="0.25">
      <c r="A35" s="5"/>
      <c r="B35" s="6">
        <v>0</v>
      </c>
      <c r="D35"/>
      <c r="E35"/>
      <c r="F35"/>
      <c r="G35"/>
      <c r="H35"/>
    </row>
    <row r="36" spans="1:8" s="4" customFormat="1" x14ac:dyDescent="0.25">
      <c r="A36" s="5"/>
      <c r="B36" s="6">
        <v>0</v>
      </c>
      <c r="D36"/>
      <c r="E36"/>
      <c r="F36"/>
      <c r="G36"/>
      <c r="H36"/>
    </row>
    <row r="37" spans="1:8" s="4" customFormat="1" x14ac:dyDescent="0.25">
      <c r="A37" s="5"/>
      <c r="B37" s="6">
        <v>0</v>
      </c>
      <c r="D37"/>
      <c r="E37"/>
      <c r="F37"/>
      <c r="G37"/>
      <c r="H37"/>
    </row>
    <row r="38" spans="1:8" s="4" customFormat="1" x14ac:dyDescent="0.25">
      <c r="A38" s="5"/>
      <c r="B38" s="6">
        <v>0</v>
      </c>
      <c r="D38"/>
      <c r="E38"/>
      <c r="F38"/>
      <c r="G38"/>
      <c r="H38"/>
    </row>
    <row r="39" spans="1:8" s="4" customFormat="1" x14ac:dyDescent="0.25">
      <c r="A39" s="5"/>
      <c r="B39" s="6">
        <v>0</v>
      </c>
      <c r="D39"/>
      <c r="E39"/>
      <c r="F39"/>
      <c r="G39"/>
      <c r="H39"/>
    </row>
    <row r="40" spans="1:8" s="4" customFormat="1" ht="15.75" thickBot="1" x14ac:dyDescent="0.3">
      <c r="A40" s="8" t="s">
        <v>13</v>
      </c>
      <c r="B40" s="9">
        <f>SUM(B29:B39)</f>
        <v>16000</v>
      </c>
      <c r="D40"/>
      <c r="E40"/>
      <c r="F40"/>
      <c r="G40"/>
      <c r="H40"/>
    </row>
    <row r="41" spans="1:8" s="4" customFormat="1" ht="15.75" thickTop="1" x14ac:dyDescent="0.25">
      <c r="A41"/>
      <c r="B41"/>
      <c r="D41"/>
      <c r="E41"/>
      <c r="F41"/>
      <c r="G41"/>
      <c r="H41"/>
    </row>
    <row r="42" spans="1:8" s="4" customFormat="1" ht="30" x14ac:dyDescent="0.25">
      <c r="A42" s="21" t="s">
        <v>99</v>
      </c>
      <c r="B42" s="53" t="s">
        <v>49</v>
      </c>
      <c r="D42"/>
      <c r="E42"/>
      <c r="F42"/>
      <c r="G42"/>
      <c r="H42"/>
    </row>
    <row r="43" spans="1:8" s="4" customFormat="1" x14ac:dyDescent="0.25">
      <c r="A43" s="5" t="s">
        <v>47</v>
      </c>
      <c r="B43" s="6">
        <v>0</v>
      </c>
      <c r="D43"/>
      <c r="E43"/>
      <c r="F43"/>
      <c r="G43"/>
      <c r="H43"/>
    </row>
    <row r="44" spans="1:8" s="4" customFormat="1" x14ac:dyDescent="0.25">
      <c r="A44" s="5" t="s">
        <v>11</v>
      </c>
      <c r="B44" s="6">
        <v>0</v>
      </c>
      <c r="D44"/>
      <c r="E44"/>
      <c r="F44"/>
      <c r="G44"/>
      <c r="H44"/>
    </row>
    <row r="45" spans="1:8" s="4" customFormat="1" x14ac:dyDescent="0.25">
      <c r="A45" s="5" t="s">
        <v>48</v>
      </c>
      <c r="B45" s="6">
        <v>4000</v>
      </c>
      <c r="D45"/>
      <c r="E45"/>
      <c r="F45"/>
      <c r="G45"/>
      <c r="H45"/>
    </row>
    <row r="46" spans="1:8" s="4" customFormat="1" x14ac:dyDescent="0.25">
      <c r="A46" s="5" t="s">
        <v>63</v>
      </c>
      <c r="B46" s="6">
        <v>2500</v>
      </c>
      <c r="D46"/>
      <c r="E46"/>
      <c r="F46"/>
      <c r="G46"/>
      <c r="H46"/>
    </row>
    <row r="47" spans="1:8" s="4" customFormat="1" x14ac:dyDescent="0.25">
      <c r="A47" s="5"/>
      <c r="B47" s="6">
        <v>0</v>
      </c>
      <c r="D47"/>
      <c r="E47"/>
      <c r="F47"/>
      <c r="G47"/>
      <c r="H47"/>
    </row>
    <row r="48" spans="1:8" s="4" customFormat="1" x14ac:dyDescent="0.25">
      <c r="A48" s="5"/>
      <c r="B48" s="6">
        <v>0</v>
      </c>
      <c r="D48"/>
      <c r="E48"/>
      <c r="F48"/>
      <c r="G48"/>
      <c r="H48"/>
    </row>
    <row r="49" spans="1:8" s="4" customFormat="1" x14ac:dyDescent="0.25">
      <c r="A49" s="5"/>
      <c r="B49" s="6">
        <v>0</v>
      </c>
      <c r="D49"/>
      <c r="E49"/>
      <c r="F49"/>
      <c r="G49"/>
      <c r="H49"/>
    </row>
    <row r="50" spans="1:8" s="4" customFormat="1" x14ac:dyDescent="0.25">
      <c r="A50" s="5"/>
      <c r="B50" s="6">
        <v>0</v>
      </c>
      <c r="D50"/>
      <c r="E50"/>
      <c r="F50"/>
      <c r="G50"/>
      <c r="H50"/>
    </row>
    <row r="51" spans="1:8" s="4" customFormat="1" x14ac:dyDescent="0.25">
      <c r="A51" s="5"/>
      <c r="B51" s="6">
        <v>0</v>
      </c>
      <c r="D51"/>
      <c r="E51"/>
      <c r="F51"/>
      <c r="G51"/>
      <c r="H51"/>
    </row>
    <row r="52" spans="1:8" s="4" customFormat="1" x14ac:dyDescent="0.25">
      <c r="A52" s="5"/>
      <c r="B52" s="6">
        <v>0</v>
      </c>
      <c r="D52"/>
      <c r="E52"/>
      <c r="F52"/>
      <c r="G52"/>
      <c r="H52"/>
    </row>
    <row r="53" spans="1:8" s="4" customFormat="1" ht="15.75" thickBot="1" x14ac:dyDescent="0.3">
      <c r="A53" s="8" t="s">
        <v>13</v>
      </c>
      <c r="B53" s="9">
        <f>SUM(B42:B52)</f>
        <v>6500</v>
      </c>
      <c r="D53"/>
      <c r="E53"/>
      <c r="F53"/>
      <c r="G53"/>
      <c r="H53"/>
    </row>
    <row r="54" spans="1:8" s="4" customFormat="1" ht="15.75" thickTop="1" x14ac:dyDescent="0.25">
      <c r="A54"/>
      <c r="B54"/>
      <c r="D54"/>
      <c r="E54"/>
      <c r="F54"/>
      <c r="G54"/>
      <c r="H54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Notas</vt:lpstr>
      <vt:lpstr>Resumen</vt:lpstr>
      <vt:lpstr>Detallado</vt:lpstr>
      <vt:lpstr>Sheet2</vt:lpstr>
      <vt:lpstr>El Rosario</vt:lpstr>
      <vt:lpstr>Isla Natividad</vt:lpstr>
      <vt:lpstr>La Bocana</vt:lpstr>
      <vt:lpstr>Puerto Libertad</vt:lpstr>
      <vt:lpstr>ISPN</vt:lpstr>
      <vt:lpstr>Punta Allen</vt:lpstr>
      <vt:lpstr>María Elena</vt:lpstr>
      <vt:lpstr>Punta Herrero</vt:lpstr>
      <vt:lpstr>Banco Chinchorro</vt:lpstr>
      <vt:lpstr>Red Oceanografica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2019-03-13T02:56:14Z</dcterms:created>
  <dcterms:modified xsi:type="dcterms:W3CDTF">2019-10-09T22:11:35Z</dcterms:modified>
</cp:coreProperties>
</file>